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showInkAnnotation="0" codeName="ThisWorkbook" defaultThemeVersion="124226"/>
  <mc:AlternateContent xmlns:mc="http://schemas.openxmlformats.org/markup-compatibility/2006">
    <mc:Choice Requires="x15">
      <x15ac:absPath xmlns:x15ac="http://schemas.microsoft.com/office/spreadsheetml/2010/11/ac" url="/Users/pretty/Downloads/"/>
    </mc:Choice>
  </mc:AlternateContent>
  <xr:revisionPtr revIDLastSave="0" documentId="13_ncr:1_{B42A0CC2-39AA-D547-A07A-391D727B76E6}" xr6:coauthVersionLast="47" xr6:coauthVersionMax="47" xr10:uidLastSave="{00000000-0000-0000-0000-000000000000}"/>
  <bookViews>
    <workbookView xWindow="0" yWindow="500" windowWidth="18460" windowHeight="14080" firstSheet="7" activeTab="10"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W877" i="3"/>
  <c r="F86" i="13"/>
  <c r="F85" i="13"/>
  <c r="C86" i="13"/>
  <c r="C85" i="13"/>
  <c r="C75" i="13"/>
  <c r="F43" i="13"/>
  <c r="AM558" i="3"/>
  <c r="AF1026" i="3" l="1"/>
  <c r="S85" i="4"/>
  <c r="S86" i="4"/>
  <c r="E86" i="4"/>
  <c r="C86" i="4"/>
  <c r="E85" i="4"/>
  <c r="C85" i="4"/>
  <c r="E75" i="4"/>
  <c r="S43" i="4"/>
  <c r="AG448" i="3"/>
  <c r="AG446" i="3"/>
  <c r="E99" i="4" l="1"/>
  <c r="E34" i="4"/>
  <c r="E31" i="4"/>
  <c r="E30" i="4"/>
  <c r="F30" i="4"/>
  <c r="I30" i="4"/>
  <c r="C95" i="4"/>
  <c r="Q630" i="3"/>
  <c r="Q629" i="3"/>
  <c r="W846" i="3" l="1"/>
  <c r="W843" i="3"/>
  <c r="W842" i="3"/>
  <c r="W844" i="3"/>
  <c r="W866" i="3"/>
  <c r="W854" i="3"/>
  <c r="Q627" i="3" l="1"/>
  <c r="T627" i="3"/>
  <c r="W474" i="3"/>
  <c r="H306" i="3" l="1"/>
  <c r="H305" i="3"/>
  <c r="H304" i="3"/>
  <c r="H303"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BS599" i="3"/>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BX601" i="3"/>
  <c r="BX602" i="3"/>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CC604" i="3"/>
  <c r="CC605" i="3"/>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D101" i="11" s="1"/>
  <c r="C102" i="11"/>
  <c r="C103" i="11"/>
  <c r="C104" i="11"/>
  <c r="B101" i="11"/>
  <c r="B102" i="11"/>
  <c r="D102" i="11" s="1"/>
  <c r="B103" i="11"/>
  <c r="B104" i="11"/>
  <c r="C85" i="11"/>
  <c r="C86" i="11"/>
  <c r="C87" i="11"/>
  <c r="D87" i="11" s="1"/>
  <c r="C88" i="11"/>
  <c r="C89" i="11"/>
  <c r="D89" i="11" s="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D34" i="11" s="1"/>
  <c r="C35" i="11"/>
  <c r="C36" i="11"/>
  <c r="D36" i="11" s="1"/>
  <c r="C37" i="11"/>
  <c r="C38" i="11"/>
  <c r="B31" i="11"/>
  <c r="B32" i="11"/>
  <c r="B33" i="11"/>
  <c r="B34" i="11"/>
  <c r="B35" i="11"/>
  <c r="B36" i="11"/>
  <c r="B37" i="11"/>
  <c r="B38" i="11"/>
  <c r="C24" i="11"/>
  <c r="C25" i="11"/>
  <c r="C26" i="1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c r="M57" i="7"/>
  <c r="O57" i="7" s="1"/>
  <c r="Q57" i="7" s="1"/>
  <c r="S57" i="7" s="1"/>
  <c r="U57" i="7" s="1"/>
  <c r="W57" i="7" s="1"/>
  <c r="Y57" i="7" s="1"/>
  <c r="AA57" i="7" s="1"/>
  <c r="AC57" i="7" s="1"/>
  <c r="AE57" i="7" s="1"/>
  <c r="AG57" i="7" s="1"/>
  <c r="G53" i="7"/>
  <c r="I53" i="7"/>
  <c r="K53" i="7" s="1"/>
  <c r="M53" i="7" s="1"/>
  <c r="O53" i="7" s="1"/>
  <c r="Q53" i="7" s="1"/>
  <c r="S53" i="7" s="1"/>
  <c r="U53" i="7" s="1"/>
  <c r="W53" i="7" s="1"/>
  <c r="Y53" i="7" s="1"/>
  <c r="AA53" i="7" s="1"/>
  <c r="AC53" i="7" s="1"/>
  <c r="AE53" i="7" s="1"/>
  <c r="AG53" i="7" s="1"/>
  <c r="A61" i="15"/>
  <c r="BA479" i="3"/>
  <c r="BA470" i="3"/>
  <c r="G24" i="7"/>
  <c r="I24" i="7"/>
  <c r="K24" i="7"/>
  <c r="M24" i="7"/>
  <c r="O24" i="7"/>
  <c r="Q24" i="7"/>
  <c r="S24" i="7"/>
  <c r="U24" i="7"/>
  <c r="W24" i="7"/>
  <c r="Y24" i="7"/>
  <c r="AA24" i="7"/>
  <c r="AC24" i="7"/>
  <c r="AE24" i="7"/>
  <c r="AG24" i="7"/>
  <c r="B100" i="4"/>
  <c r="R100" i="4"/>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BA676" i="3"/>
  <c r="X727" i="3"/>
  <c r="BA674"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B80" i="11"/>
  <c r="D80" i="11" s="1"/>
  <c r="B81" i="11"/>
  <c r="B82" i="11" s="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13" s="1"/>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G63" i="13" s="1"/>
  <c r="G97" i="13" s="1"/>
  <c r="G105" i="13" s="1"/>
  <c r="G107" i="13" s="1"/>
  <c r="D26" i="13"/>
  <c r="C26" i="13"/>
  <c r="J11" i="13"/>
  <c r="D11" i="13"/>
  <c r="C11" i="13"/>
  <c r="C8" i="13"/>
  <c r="C12" i="13" s="1"/>
  <c r="D8" i="13"/>
  <c r="T104" i="4"/>
  <c r="H104" i="13"/>
  <c r="R103" i="4"/>
  <c r="R102" i="4"/>
  <c r="R101" i="4"/>
  <c r="R99" i="4"/>
  <c r="R95" i="4"/>
  <c r="R94" i="4"/>
  <c r="R93" i="4"/>
  <c r="R92" i="4"/>
  <c r="R90" i="4"/>
  <c r="R89" i="4"/>
  <c r="R88" i="4"/>
  <c r="R87" i="4"/>
  <c r="R86" i="4"/>
  <c r="R85" i="4"/>
  <c r="R83" i="4"/>
  <c r="R76" i="4"/>
  <c r="R75" i="4"/>
  <c r="R72" i="4"/>
  <c r="R73" i="4"/>
  <c r="R74" i="4"/>
  <c r="R69" i="4"/>
  <c r="R70" i="4" s="1"/>
  <c r="R65" i="4"/>
  <c r="R61" i="4"/>
  <c r="R60" i="4"/>
  <c r="R59" i="4"/>
  <c r="R58" i="4"/>
  <c r="R57" i="4"/>
  <c r="R56" i="4"/>
  <c r="R53" i="4"/>
  <c r="R52" i="4"/>
  <c r="R51" i="4"/>
  <c r="R50" i="4"/>
  <c r="R49" i="4"/>
  <c r="R48" i="4"/>
  <c r="R47" i="4"/>
  <c r="R46" i="4"/>
  <c r="R45" i="4"/>
  <c r="R43" i="4"/>
  <c r="R41" i="4"/>
  <c r="R42" i="4" s="1"/>
  <c r="R40" i="4"/>
  <c r="R37" i="4"/>
  <c r="R35" i="4"/>
  <c r="R34" i="4"/>
  <c r="R33" i="4"/>
  <c r="R32" i="4"/>
  <c r="R31" i="4"/>
  <c r="R30" i="4"/>
  <c r="R29" i="4"/>
  <c r="R27" i="4"/>
  <c r="R25" i="4"/>
  <c r="R23" i="4"/>
  <c r="R26" i="4" s="1"/>
  <c r="R22" i="4"/>
  <c r="R21" i="4"/>
  <c r="R20" i="4"/>
  <c r="R19" i="4"/>
  <c r="R18" i="4"/>
  <c r="R17" i="4"/>
  <c r="R15" i="4"/>
  <c r="R14" i="4"/>
  <c r="R13" i="4"/>
  <c r="R9" i="4"/>
  <c r="R7" i="4"/>
  <c r="R6" i="4"/>
  <c r="R5" i="4"/>
  <c r="R4" i="4"/>
  <c r="B5" i="11"/>
  <c r="C5" i="11"/>
  <c r="D5" i="11" s="1"/>
  <c r="B6" i="11"/>
  <c r="C6" i="11"/>
  <c r="D6" i="11" s="1"/>
  <c r="B7" i="11"/>
  <c r="C7" i="11"/>
  <c r="D7" i="11" s="1"/>
  <c r="C8" i="11"/>
  <c r="B8" i="11"/>
  <c r="B10" i="11"/>
  <c r="D10" i="11" s="1"/>
  <c r="B11" i="11"/>
  <c r="C10" i="11"/>
  <c r="C11" i="11"/>
  <c r="C12" i="11" s="1"/>
  <c r="B14" i="11"/>
  <c r="C14" i="11"/>
  <c r="B15" i="11"/>
  <c r="C15" i="11"/>
  <c r="D15" i="11" s="1"/>
  <c r="B16" i="11"/>
  <c r="C16" i="11"/>
  <c r="B18" i="11"/>
  <c r="C18" i="11"/>
  <c r="D18" i="11" s="1"/>
  <c r="B19" i="11"/>
  <c r="D19" i="11" s="1"/>
  <c r="C19" i="11"/>
  <c r="B20" i="11"/>
  <c r="C20" i="11"/>
  <c r="D20" i="11" s="1"/>
  <c r="B21" i="11"/>
  <c r="C21" i="11"/>
  <c r="B22" i="11"/>
  <c r="C22" i="11"/>
  <c r="B23" i="11"/>
  <c r="C23" i="11"/>
  <c r="D23" i="11" s="1"/>
  <c r="B24" i="11"/>
  <c r="D24" i="11" s="1"/>
  <c r="B28" i="11"/>
  <c r="C28" i="11"/>
  <c r="B30" i="11"/>
  <c r="C30" i="11"/>
  <c r="B41" i="11"/>
  <c r="C41" i="11"/>
  <c r="C42" i="11"/>
  <c r="B42" i="11"/>
  <c r="B43" i="11" s="1"/>
  <c r="B44" i="11"/>
  <c r="C44" i="11"/>
  <c r="B46" i="11"/>
  <c r="C46" i="11"/>
  <c r="B47" i="11"/>
  <c r="C47" i="11"/>
  <c r="B48" i="11"/>
  <c r="B49" i="11"/>
  <c r="B50" i="11"/>
  <c r="B51" i="11"/>
  <c r="B52" i="11"/>
  <c r="B53" i="11"/>
  <c r="D53" i="11" s="1"/>
  <c r="C48" i="11"/>
  <c r="D48" i="11" s="1"/>
  <c r="C49" i="11"/>
  <c r="D49" i="11" s="1"/>
  <c r="C50" i="11"/>
  <c r="C51" i="11"/>
  <c r="D51" i="11" s="1"/>
  <c r="C52" i="11"/>
  <c r="C53" i="11"/>
  <c r="B57" i="11"/>
  <c r="C57" i="11"/>
  <c r="D57" i="11" s="1"/>
  <c r="B58" i="11"/>
  <c r="C58" i="11"/>
  <c r="D58" i="11" s="1"/>
  <c r="B59" i="11"/>
  <c r="C59" i="11"/>
  <c r="B60" i="11"/>
  <c r="C60" i="11"/>
  <c r="D60" i="11" s="1"/>
  <c r="B61" i="11"/>
  <c r="C61" i="11"/>
  <c r="D61" i="11" s="1"/>
  <c r="B62" i="11"/>
  <c r="D62" i="11" s="1"/>
  <c r="C62" i="11"/>
  <c r="B66" i="11"/>
  <c r="C66" i="11"/>
  <c r="D66" i="11" s="1"/>
  <c r="B73" i="11"/>
  <c r="C73" i="11"/>
  <c r="B74" i="11"/>
  <c r="C74" i="11"/>
  <c r="B75" i="11"/>
  <c r="C75" i="11"/>
  <c r="D75" i="11" s="1"/>
  <c r="B76" i="11"/>
  <c r="C76" i="11"/>
  <c r="B77" i="11"/>
  <c r="D77" i="11" s="1"/>
  <c r="C77" i="11"/>
  <c r="B84" i="11"/>
  <c r="C84" i="11"/>
  <c r="D84" i="11" s="1"/>
  <c r="B100" i="11"/>
  <c r="C100"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T63" i="4" s="1"/>
  <c r="H54" i="13"/>
  <c r="T70" i="4"/>
  <c r="H70" i="13" s="1"/>
  <c r="T96" i="4"/>
  <c r="H96" i="13"/>
  <c r="C11" i="4"/>
  <c r="B11" i="13" s="1"/>
  <c r="C38" i="4"/>
  <c r="B38" i="13" s="1"/>
  <c r="C54" i="4"/>
  <c r="B54" i="4" s="1"/>
  <c r="C62" i="4"/>
  <c r="B62" i="13" s="1"/>
  <c r="C77" i="4"/>
  <c r="B77" i="4" s="1"/>
  <c r="B77" i="13"/>
  <c r="C96" i="4"/>
  <c r="B96" i="13" s="1"/>
  <c r="D8" i="4"/>
  <c r="D11" i="4"/>
  <c r="D12" i="4" s="1"/>
  <c r="D26" i="4"/>
  <c r="D38" i="4"/>
  <c r="D42" i="4"/>
  <c r="D54" i="4"/>
  <c r="D62" i="4"/>
  <c r="D77" i="4"/>
  <c r="D96" i="4"/>
  <c r="D104" i="4"/>
  <c r="E26" i="13"/>
  <c r="S38" i="4"/>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G12" i="4" s="1"/>
  <c r="H8" i="4"/>
  <c r="H12" i="4" s="1"/>
  <c r="H11" i="4"/>
  <c r="I8" i="4"/>
  <c r="I12" i="4" s="1"/>
  <c r="I11" i="4"/>
  <c r="J8" i="4"/>
  <c r="J12" i="4" s="1"/>
  <c r="J11" i="4"/>
  <c r="J26" i="4"/>
  <c r="J38" i="4"/>
  <c r="J42" i="4"/>
  <c r="J54" i="4"/>
  <c r="J62" i="4"/>
  <c r="J70" i="4"/>
  <c r="J77" i="4"/>
  <c r="J96" i="4"/>
  <c r="J104" i="4"/>
  <c r="K8" i="4"/>
  <c r="K12" i="4" s="1"/>
  <c r="K11" i="4"/>
  <c r="L8" i="4"/>
  <c r="L12" i="4" s="1"/>
  <c r="L11" i="4"/>
  <c r="M8" i="4"/>
  <c r="M11" i="4"/>
  <c r="N8" i="4"/>
  <c r="N63" i="4" s="1"/>
  <c r="N97" i="4" s="1"/>
  <c r="N105" i="4" s="1"/>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63" i="4" s="1"/>
  <c r="M97" i="4" s="1"/>
  <c r="M105" i="4" s="1"/>
  <c r="M42" i="4"/>
  <c r="M54" i="4"/>
  <c r="M62" i="4"/>
  <c r="M70" i="4"/>
  <c r="M77" i="4"/>
  <c r="M96" i="4"/>
  <c r="M104" i="4"/>
  <c r="N26" i="4"/>
  <c r="N38" i="4"/>
  <c r="N42" i="4"/>
  <c r="N54" i="4"/>
  <c r="N62" i="4"/>
  <c r="N70" i="4"/>
  <c r="N77" i="4"/>
  <c r="N96" i="4"/>
  <c r="N104" i="4"/>
  <c r="O26" i="4"/>
  <c r="P26" i="4"/>
  <c r="Q26" i="4"/>
  <c r="Q63" i="4" s="1"/>
  <c r="Q97" i="4" s="1"/>
  <c r="Q105" i="4" s="1"/>
  <c r="B27" i="4"/>
  <c r="B29" i="4"/>
  <c r="B30" i="4"/>
  <c r="B31" i="4"/>
  <c r="B32" i="4"/>
  <c r="B33" i="4"/>
  <c r="B34" i="4"/>
  <c r="B35" i="4"/>
  <c r="B37" i="4"/>
  <c r="E38" i="4"/>
  <c r="G38" i="4"/>
  <c r="G63" i="4" s="1"/>
  <c r="G97"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J63" i="13"/>
  <c r="J97" i="13"/>
  <c r="J105" i="13"/>
  <c r="J107" i="13"/>
  <c r="Q12" i="4"/>
  <c r="D85" i="11"/>
  <c r="D22" i="11"/>
  <c r="O12" i="4"/>
  <c r="D73" i="11"/>
  <c r="D35" i="11"/>
  <c r="D14" i="11"/>
  <c r="M12" i="4"/>
  <c r="D74" i="11"/>
  <c r="D59" i="11"/>
  <c r="D38" i="11"/>
  <c r="D88" i="11"/>
  <c r="D42" i="11"/>
  <c r="D21" i="11"/>
  <c r="D16" i="11"/>
  <c r="AD199" i="20"/>
  <c r="K63" i="4"/>
  <c r="K97" i="4" s="1"/>
  <c r="K105" i="4" s="1"/>
  <c r="D11" i="11"/>
  <c r="C12" i="4"/>
  <c r="B12" i="13" s="1"/>
  <c r="D44" i="11" l="1"/>
  <c r="K54" i="7"/>
  <c r="I58" i="7"/>
  <c r="G58" i="7"/>
  <c r="F63" i="4"/>
  <c r="F97" i="4" s="1"/>
  <c r="F105" i="4" s="1"/>
  <c r="D96" i="11"/>
  <c r="D76" i="11"/>
  <c r="D47" i="11"/>
  <c r="B54" i="13"/>
  <c r="S63" i="4"/>
  <c r="E63" i="13" s="1"/>
  <c r="R96" i="4"/>
  <c r="R77" i="4"/>
  <c r="R62" i="4"/>
  <c r="R54" i="4"/>
  <c r="R8" i="4"/>
  <c r="R12" i="4" s="1"/>
  <c r="D31" i="11"/>
  <c r="E63" i="4"/>
  <c r="E97" i="4" s="1"/>
  <c r="E105" i="4" s="1"/>
  <c r="AO640" i="3" s="1"/>
  <c r="E108" i="4" s="1"/>
  <c r="H63" i="13"/>
  <c r="T97" i="4"/>
  <c r="D28" i="11"/>
  <c r="F63" i="13"/>
  <c r="F97" i="13" s="1"/>
  <c r="F105" i="13" s="1"/>
  <c r="F107" i="13" s="1"/>
  <c r="B104" i="4"/>
  <c r="D8" i="11"/>
  <c r="D94" i="11"/>
  <c r="J63" i="4"/>
  <c r="J97" i="4" s="1"/>
  <c r="J105" i="4" s="1"/>
  <c r="B8" i="4"/>
  <c r="N187" i="27" s="1"/>
  <c r="D46" i="11"/>
  <c r="E12" i="4"/>
  <c r="G105" i="4"/>
  <c r="D92" i="11"/>
  <c r="D104" i="11"/>
  <c r="F12" i="4"/>
  <c r="C78" i="11"/>
  <c r="D63" i="13"/>
  <c r="D97" i="13" s="1"/>
  <c r="D105" i="13" s="1"/>
  <c r="D25" i="11"/>
  <c r="D103" i="11"/>
  <c r="L63" i="4"/>
  <c r="L97" i="4" s="1"/>
  <c r="L105" i="4" s="1"/>
  <c r="B26" i="13"/>
  <c r="B70" i="13"/>
  <c r="C63" i="13"/>
  <c r="C97" i="13" s="1"/>
  <c r="C105" i="13" s="1"/>
  <c r="D63" i="4"/>
  <c r="D97" i="4" s="1"/>
  <c r="D105" i="4" s="1"/>
  <c r="H63" i="4"/>
  <c r="H97" i="4" s="1"/>
  <c r="H105" i="4" s="1"/>
  <c r="N12" i="4"/>
  <c r="O63" i="4"/>
  <c r="O97" i="4" s="1"/>
  <c r="O105" i="4" s="1"/>
  <c r="B42" i="4"/>
  <c r="E38" i="13"/>
  <c r="D30" i="11"/>
  <c r="D54" i="11"/>
  <c r="D86" i="11"/>
  <c r="AB48" i="15"/>
  <c r="P63" i="4"/>
  <c r="P97" i="4" s="1"/>
  <c r="P105" i="4" s="1"/>
  <c r="B78" i="11"/>
  <c r="D33" i="11"/>
  <c r="B62" i="4"/>
  <c r="D50" i="11"/>
  <c r="D32" i="11"/>
  <c r="B12" i="11"/>
  <c r="D12" i="11" s="1"/>
  <c r="R104" i="4"/>
  <c r="C63" i="11"/>
  <c r="R38" i="4"/>
  <c r="R63" i="4" s="1"/>
  <c r="C27" i="11"/>
  <c r="C105" i="11"/>
  <c r="D91" i="11"/>
  <c r="D100" i="11"/>
  <c r="B105" i="11"/>
  <c r="B9" i="11"/>
  <c r="D90" i="11"/>
  <c r="D12" i="13"/>
  <c r="D52" i="11"/>
  <c r="D95" i="11"/>
  <c r="D93" i="11"/>
  <c r="B63" i="11"/>
  <c r="D81" i="11"/>
  <c r="B104" i="13"/>
  <c r="B97" i="11"/>
  <c r="C97" i="11"/>
  <c r="N186" i="27"/>
  <c r="B96" i="4"/>
  <c r="C82" i="11"/>
  <c r="D82" i="11" s="1"/>
  <c r="B71" i="11"/>
  <c r="C71" i="11"/>
  <c r="B55" i="11"/>
  <c r="C55" i="11"/>
  <c r="C43" i="11"/>
  <c r="D43" i="11" s="1"/>
  <c r="D41" i="11"/>
  <c r="C39" i="11"/>
  <c r="B39" i="11"/>
  <c r="D39" i="11"/>
  <c r="B38" i="4"/>
  <c r="B11" i="4"/>
  <c r="B13" i="11"/>
  <c r="C9" i="11"/>
  <c r="D9" i="1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78" i="11" l="1"/>
  <c r="AY1004" i="3"/>
  <c r="AJ610" i="20"/>
  <c r="G62" i="21"/>
  <c r="M54" i="7"/>
  <c r="K58" i="7"/>
  <c r="S97" i="4"/>
  <c r="S105" i="4" s="1"/>
  <c r="R97" i="4"/>
  <c r="R105" i="4" s="1"/>
  <c r="B12" i="4"/>
  <c r="H97" i="13"/>
  <c r="T105" i="4"/>
  <c r="D27" i="11"/>
  <c r="N193" i="27"/>
  <c r="D105" i="11"/>
  <c r="C64" i="11"/>
  <c r="C13" i="11"/>
  <c r="D13" i="11" s="1"/>
  <c r="B64" i="11"/>
  <c r="B98" i="11" s="1"/>
  <c r="B106" i="11" s="1"/>
  <c r="D63" i="11"/>
  <c r="D97" i="11"/>
  <c r="D71" i="11"/>
  <c r="D55" i="11"/>
  <c r="B63" i="4"/>
  <c r="C97" i="4"/>
  <c r="C105" i="4" s="1"/>
  <c r="AC455" i="3" s="1"/>
  <c r="DX635" i="3"/>
  <c r="BH702" i="3"/>
  <c r="BI702" i="3" s="1"/>
  <c r="BH701" i="3"/>
  <c r="BI701" i="3" s="1"/>
  <c r="BU669" i="3"/>
  <c r="BU677" i="3"/>
  <c r="BV677" i="3" s="1"/>
  <c r="BU685" i="3"/>
  <c r="BV685" i="3" s="1"/>
  <c r="BU693" i="3"/>
  <c r="BV693" i="3" s="1"/>
  <c r="BU702" i="3"/>
  <c r="BV702" i="3" s="1"/>
  <c r="BU670" i="3"/>
  <c r="BU678" i="3"/>
  <c r="BV678" i="3" s="1"/>
  <c r="BU686" i="3"/>
  <c r="BV686" i="3" s="1"/>
  <c r="BU694" i="3"/>
  <c r="BV694" i="3" s="1"/>
  <c r="BU668" i="3"/>
  <c r="BU671" i="3"/>
  <c r="BU679" i="3"/>
  <c r="BV679" i="3" s="1"/>
  <c r="BU687" i="3"/>
  <c r="BV687" i="3" s="1"/>
  <c r="BU695" i="3"/>
  <c r="BV695" i="3" s="1"/>
  <c r="BU681" i="3"/>
  <c r="BV681" i="3" s="1"/>
  <c r="BU689" i="3"/>
  <c r="BV689" i="3" s="1"/>
  <c r="BU698" i="3"/>
  <c r="BV698" i="3" s="1"/>
  <c r="BU684" i="3"/>
  <c r="BV684" i="3" s="1"/>
  <c r="BU700" i="3"/>
  <c r="BV700" i="3" s="1"/>
  <c r="BU672" i="3"/>
  <c r="BU680" i="3"/>
  <c r="BV680" i="3" s="1"/>
  <c r="BU688" i="3"/>
  <c r="BV688" i="3" s="1"/>
  <c r="BU696" i="3"/>
  <c r="BV696" i="3" s="1"/>
  <c r="BU673" i="3"/>
  <c r="BU697" i="3"/>
  <c r="BV697" i="3" s="1"/>
  <c r="BU674" i="3"/>
  <c r="BU682" i="3"/>
  <c r="BV682" i="3" s="1"/>
  <c r="BU690" i="3"/>
  <c r="BV690" i="3" s="1"/>
  <c r="BU676" i="3"/>
  <c r="BU692" i="3"/>
  <c r="BV692" i="3" s="1"/>
  <c r="BU675" i="3"/>
  <c r="BU683" i="3"/>
  <c r="BV683" i="3" s="1"/>
  <c r="BU691" i="3"/>
  <c r="BV691" i="3" s="1"/>
  <c r="BU699" i="3"/>
  <c r="BV699" i="3" s="1"/>
  <c r="BH674" i="3"/>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G22" i="7"/>
  <c r="G35" i="7" s="1"/>
  <c r="EC645" i="3"/>
  <c r="EC647" i="3"/>
  <c r="EC653" i="3"/>
  <c r="EC649" i="3"/>
  <c r="DX646" i="3"/>
  <c r="EC638" i="3"/>
  <c r="EC650" i="3"/>
  <c r="CS642" i="3"/>
  <c r="EC657" i="3"/>
  <c r="EC656" i="3"/>
  <c r="EC643" i="3"/>
  <c r="EC668" i="3"/>
  <c r="EC669" i="3"/>
  <c r="EC646" i="3"/>
  <c r="EC651" i="3"/>
  <c r="EC640" i="3"/>
  <c r="EC644" i="3"/>
  <c r="EC655" i="3"/>
  <c r="AW112" i="20"/>
  <c r="AW110" i="20"/>
  <c r="EM636" i="3"/>
  <c r="EC654" i="3"/>
  <c r="EC641" i="3"/>
  <c r="I8" i="7"/>
  <c r="I9" i="7" s="1"/>
  <c r="S18" i="21"/>
  <c r="G44" i="21"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51" i="3"/>
  <c r="EH635" i="3"/>
  <c r="EH647" i="3"/>
  <c r="EH645" i="3"/>
  <c r="EH649" i="3"/>
  <c r="EH650" i="3"/>
  <c r="EH669" i="3"/>
  <c r="EH652" i="3"/>
  <c r="EH648" i="3"/>
  <c r="EH636" i="3"/>
  <c r="CB634" i="3"/>
  <c r="EH642"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54" i="3"/>
  <c r="CG634" i="3"/>
  <c r="EM669" i="3"/>
  <c r="EM637" i="3"/>
  <c r="EM657" i="3"/>
  <c r="EM655" i="3"/>
  <c r="EM668" i="3"/>
  <c r="EM640" i="3"/>
  <c r="EM645" i="3"/>
  <c r="EM647" i="3"/>
  <c r="EM639" i="3"/>
  <c r="EM649" i="3"/>
  <c r="EM656" i="3"/>
  <c r="EM644" i="3"/>
  <c r="EM638" i="3"/>
  <c r="EM648" i="3"/>
  <c r="BI675" i="3"/>
  <c r="BI674" i="3"/>
  <c r="EH637" i="3"/>
  <c r="DR657" i="3"/>
  <c r="EM635" i="3"/>
  <c r="E6" i="7"/>
  <c r="K15" i="7"/>
  <c r="I22" i="7"/>
  <c r="I35" i="7" s="1"/>
  <c r="E27" i="21"/>
  <c r="G22" i="21"/>
  <c r="O54" i="7" l="1"/>
  <c r="M58" i="7"/>
  <c r="E97" i="13"/>
  <c r="D64" i="11"/>
  <c r="C98" i="11"/>
  <c r="C106" i="11" s="1"/>
  <c r="D106" i="11" s="1"/>
  <c r="S107" i="4"/>
  <c r="E105" i="13"/>
  <c r="T107" i="4"/>
  <c r="H107" i="13" s="1"/>
  <c r="H105" i="13"/>
  <c r="B97" i="4"/>
  <c r="B105" i="13"/>
  <c r="B97" i="13"/>
  <c r="B105" i="4"/>
  <c r="AC454" i="3" s="1"/>
  <c r="F457" i="3" s="1"/>
  <c r="AG258" i="20"/>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EW670" i="3"/>
  <c r="AD124" i="20" s="1"/>
  <c r="AD127" i="20" s="1"/>
  <c r="AD130" i="20" s="1"/>
  <c r="ER670" i="3"/>
  <c r="Y124" i="20" s="1"/>
  <c r="Y127" i="20" s="1"/>
  <c r="Y130" i="20" s="1"/>
  <c r="AJ985" i="3"/>
  <c r="AB989" i="3"/>
  <c r="AJ989" i="3" s="1"/>
  <c r="G6" i="7"/>
  <c r="E7" i="7"/>
  <c r="M15" i="7"/>
  <c r="K22" i="7"/>
  <c r="K35" i="7" s="1"/>
  <c r="F25" i="21"/>
  <c r="G54" i="21"/>
  <c r="G56" i="21" s="1"/>
  <c r="G58" i="21" s="1"/>
  <c r="E12" i="21" s="1"/>
  <c r="F26" i="21"/>
  <c r="G26" i="21" s="1"/>
  <c r="G45" i="21"/>
  <c r="G47" i="21" s="1"/>
  <c r="G49" i="21" s="1"/>
  <c r="E11" i="21" s="1"/>
  <c r="O58" i="7" l="1"/>
  <c r="Q54" i="7"/>
  <c r="D98" i="11"/>
  <c r="AD11" i="15"/>
  <c r="AD23" i="15" s="1"/>
  <c r="AD26" i="15" s="1"/>
  <c r="AD28" i="15" s="1"/>
  <c r="AI11" i="15"/>
  <c r="AI23" i="15" s="1"/>
  <c r="AI26" i="15" s="1"/>
  <c r="AI28" i="15" s="1"/>
  <c r="AC456" i="3"/>
  <c r="AF540" i="20"/>
  <c r="E107" i="13"/>
  <c r="N183" i="27"/>
  <c r="N184" i="27" s="1"/>
  <c r="AB255" i="20"/>
  <c r="AG257" i="20" s="1"/>
  <c r="AG259" i="20" s="1"/>
  <c r="AK262" i="20" s="1"/>
  <c r="T801" i="20" s="1"/>
  <c r="AF801" i="20" s="1"/>
  <c r="AB47" i="15"/>
  <c r="AB49" i="15" s="1"/>
  <c r="AB54" i="15" s="1"/>
  <c r="AB55" i="15" s="1"/>
  <c r="G38" i="21"/>
  <c r="G40" i="21" s="1"/>
  <c r="E10" i="21" s="1"/>
  <c r="AP694" i="20"/>
  <c r="AJ700" i="20" s="1"/>
  <c r="AK783" i="20" s="1"/>
  <c r="T808" i="20" s="1"/>
  <c r="AF808" i="20" s="1"/>
  <c r="AP695" i="20"/>
  <c r="K9" i="7"/>
  <c r="AJ991" i="3"/>
  <c r="AB990" i="3"/>
  <c r="CS660" i="3"/>
  <c r="U362" i="20" s="1"/>
  <c r="P421" i="3"/>
  <c r="I6" i="7"/>
  <c r="G7" i="7"/>
  <c r="M22" i="7"/>
  <c r="M35" i="7" s="1"/>
  <c r="O15" i="7"/>
  <c r="M9" i="7"/>
  <c r="O8" i="7"/>
  <c r="G25" i="21"/>
  <c r="F24" i="21"/>
  <c r="AJ1028" i="3" l="1"/>
  <c r="AJ993" i="3"/>
  <c r="AJ1035" i="3"/>
  <c r="I14" i="21" s="1"/>
  <c r="Q58" i="7"/>
  <c r="S54" i="7"/>
  <c r="T11" i="15"/>
  <c r="T23" i="15" s="1"/>
  <c r="Y11" i="15"/>
  <c r="Y23" i="15" s="1"/>
  <c r="Y26" i="15" s="1"/>
  <c r="Y28" i="15" s="1"/>
  <c r="N194" i="27"/>
  <c r="B1059" i="3"/>
  <c r="AJ1044" i="3"/>
  <c r="AP541" i="20" s="1"/>
  <c r="AJ1048" i="3"/>
  <c r="AP542" i="20" s="1"/>
  <c r="AP539" i="20"/>
  <c r="AJ1052" i="3"/>
  <c r="K6" i="7"/>
  <c r="I7" i="7"/>
  <c r="G24" i="21"/>
  <c r="F27" i="21"/>
  <c r="G27" i="21"/>
  <c r="O22" i="7"/>
  <c r="O35" i="7" s="1"/>
  <c r="Q15" i="7"/>
  <c r="O9" i="7"/>
  <c r="Q8" i="7"/>
  <c r="AZ846" i="3" l="1"/>
  <c r="AZ843" i="3"/>
  <c r="AZ851" i="3" s="1"/>
  <c r="AP543" i="20"/>
  <c r="U54" i="7"/>
  <c r="S58" i="7"/>
  <c r="T26" i="15"/>
  <c r="T28" i="15" s="1"/>
  <c r="T29" i="15" s="1"/>
  <c r="Y64" i="15"/>
  <c r="Y68" i="15" s="1"/>
  <c r="Y69" i="15" s="1"/>
  <c r="T24" i="15"/>
  <c r="AP546" i="20"/>
  <c r="AP545" i="20" s="1"/>
  <c r="M6" i="7"/>
  <c r="K7" i="7"/>
  <c r="Q22" i="7"/>
  <c r="Q35" i="7" s="1"/>
  <c r="S15" i="7"/>
  <c r="G95" i="21"/>
  <c r="G96" i="21" s="1"/>
  <c r="G29" i="21"/>
  <c r="G31" i="21" s="1"/>
  <c r="E9" i="21" s="1"/>
  <c r="G104" i="21"/>
  <c r="G106" i="21" s="1"/>
  <c r="G79" i="21"/>
  <c r="G64" i="21"/>
  <c r="Q9" i="7"/>
  <c r="S8" i="7"/>
  <c r="AP548" i="20" l="1"/>
  <c r="AF541" i="20" s="1"/>
  <c r="AF542" i="20" s="1"/>
  <c r="AK548" i="20" s="1"/>
  <c r="T807" i="20" s="1"/>
  <c r="AF807" i="20" s="1"/>
  <c r="W54" i="7"/>
  <c r="U58" i="7"/>
  <c r="Y38" i="15"/>
  <c r="Y40" i="15" s="1"/>
  <c r="AD38" i="15"/>
  <c r="AD40" i="15" s="1"/>
  <c r="M7" i="7"/>
  <c r="O6" i="7"/>
  <c r="G69" i="21"/>
  <c r="G81" i="21"/>
  <c r="G65" i="21"/>
  <c r="S22" i="7"/>
  <c r="S35" i="7" s="1"/>
  <c r="U15" i="7"/>
  <c r="E14" i="21"/>
  <c r="E15" i="21" s="1"/>
  <c r="U8" i="7"/>
  <c r="S9" i="7"/>
  <c r="W58" i="7" l="1"/>
  <c r="Y54" i="7"/>
  <c r="Y41" i="15"/>
  <c r="AB56" i="15" s="1"/>
  <c r="M26" i="3" s="1"/>
  <c r="O7" i="7"/>
  <c r="Q6" i="7"/>
  <c r="U22" i="7"/>
  <c r="U35" i="7" s="1"/>
  <c r="W15" i="7"/>
  <c r="G83" i="21"/>
  <c r="E13" i="21" s="1"/>
  <c r="E16" i="21" s="1"/>
  <c r="H3" i="21" s="1"/>
  <c r="U9" i="7"/>
  <c r="W8" i="7"/>
  <c r="AA54" i="7" l="1"/>
  <c r="Y58" i="7"/>
  <c r="AB57" i="15"/>
  <c r="P204" i="3"/>
  <c r="Q7" i="7"/>
  <c r="S6" i="7"/>
  <c r="W22" i="7"/>
  <c r="W35" i="7" s="1"/>
  <c r="Y15" i="7"/>
  <c r="W9" i="7"/>
  <c r="Y8" i="7"/>
  <c r="AA58" i="7" l="1"/>
  <c r="AC54" i="7"/>
  <c r="AB59" i="15"/>
  <c r="AB77" i="15" s="1"/>
  <c r="S7" i="7"/>
  <c r="U6" i="7"/>
  <c r="Y22" i="7"/>
  <c r="Y35" i="7" s="1"/>
  <c r="AA15" i="7"/>
  <c r="Y9" i="7"/>
  <c r="AA8" i="7"/>
  <c r="AE54" i="7" l="1"/>
  <c r="AC58" i="7"/>
  <c r="AB78" i="15"/>
  <c r="AB79" i="15" s="1"/>
  <c r="AB81" i="15" s="1"/>
  <c r="J82" i="15" s="1"/>
  <c r="U7" i="7"/>
  <c r="W6" i="7"/>
  <c r="AC15" i="7"/>
  <c r="AA22" i="7"/>
  <c r="AA35" i="7" s="1"/>
  <c r="AC8" i="7"/>
  <c r="AA9" i="7"/>
  <c r="AG54" i="7" l="1"/>
  <c r="AG58" i="7" s="1"/>
  <c r="AE58" i="7"/>
  <c r="I10" i="21"/>
  <c r="I11" i="21" s="1"/>
  <c r="I16" i="21" s="1"/>
  <c r="H4" i="21" s="1"/>
  <c r="H5" i="21" s="1"/>
  <c r="M27" i="3"/>
  <c r="P205" i="3" s="1"/>
  <c r="Y6" i="7"/>
  <c r="W7" i="7"/>
  <c r="AE15" i="7"/>
  <c r="AC22" i="7"/>
  <c r="AC35" i="7" s="1"/>
  <c r="AC9" i="7"/>
  <c r="AE8" i="7"/>
  <c r="Y7" i="7" l="1"/>
  <c r="AA6" i="7"/>
  <c r="AE22" i="7"/>
  <c r="AE35" i="7" s="1"/>
  <c r="AG15" i="7"/>
  <c r="AG22" i="7" s="1"/>
  <c r="AG35" i="7" s="1"/>
  <c r="AE9" i="7"/>
  <c r="AG8" i="7"/>
  <c r="AG9" i="7" s="1"/>
  <c r="AC6" i="7" l="1"/>
  <c r="AA7" i="7"/>
  <c r="AE6" i="7" l="1"/>
  <c r="AC7" i="7"/>
  <c r="AE7" i="7" l="1"/>
  <c r="AG6" i="7"/>
  <c r="AG7" i="7" l="1"/>
  <c r="BI693" i="3" l="1"/>
  <c r="BI703" i="3" l="1"/>
  <c r="AC753" i="3" s="1"/>
  <c r="E87" i="20" l="1"/>
  <c r="E88" i="20" s="1"/>
  <c r="E89" i="20" s="1"/>
  <c r="E97" i="20"/>
  <c r="E100" i="20" s="1"/>
  <c r="AP100" i="20" s="1"/>
  <c r="AK103" i="20" s="1"/>
  <c r="T795" i="20" s="1"/>
  <c r="AF795" i="20" s="1"/>
  <c r="EH602" i="3"/>
  <c r="EH640" i="3" s="1"/>
  <c r="BV673" i="3"/>
  <c r="X723" i="3"/>
  <c r="AH723" i="3"/>
  <c r="AQ111" i="20"/>
  <c r="D9" i="8"/>
  <c r="EM605" i="3"/>
  <c r="EM643" i="3"/>
  <c r="X726" i="3"/>
  <c r="AH726" i="3" s="1"/>
  <c r="BV676" i="3" s="1"/>
  <c r="AQ114" i="20"/>
  <c r="D12" i="8"/>
  <c r="AF810" i="20"/>
  <c r="AF796" i="20"/>
  <c r="T796" i="20"/>
  <c r="AK137" i="20"/>
  <c r="E133" i="20"/>
  <c r="E132" i="20"/>
  <c r="J130" i="20"/>
  <c r="J127" i="20"/>
  <c r="J124" i="20"/>
  <c r="EC670" i="3"/>
  <c r="EC635" i="3"/>
  <c r="BV675" i="3"/>
  <c r="AH725" i="3"/>
  <c r="AH753" i="3"/>
  <c r="BV703" i="3"/>
  <c r="BV668" i="3"/>
  <c r="AH718" i="3"/>
  <c r="Q70" i="7"/>
  <c r="Q66" i="7"/>
  <c r="I70" i="7"/>
  <c r="I66" i="7"/>
  <c r="AG70" i="7"/>
  <c r="AG66" i="7"/>
  <c r="I49" i="7"/>
  <c r="EC636" i="3"/>
  <c r="EC598" i="3"/>
  <c r="K70" i="7"/>
  <c r="K66" i="7"/>
  <c r="AC5" i="7"/>
  <c r="BV670" i="3"/>
  <c r="AH720" i="3"/>
  <c r="EH632" i="3"/>
  <c r="Q49" i="7"/>
  <c r="G70" i="7"/>
  <c r="G66" i="7"/>
  <c r="BV671" i="3"/>
  <c r="AH721" i="3"/>
  <c r="EC597" i="3"/>
  <c r="EC632" i="3"/>
  <c r="U5" i="7"/>
  <c r="G49" i="7"/>
  <c r="T130" i="20"/>
  <c r="T127" i="20"/>
  <c r="T124" i="20"/>
  <c r="EM670" i="3"/>
  <c r="EM641" i="3"/>
  <c r="U49" i="7"/>
  <c r="S5" i="7"/>
  <c r="S62" i="7"/>
  <c r="S67" i="7"/>
  <c r="S72" i="7"/>
  <c r="Y62" i="7"/>
  <c r="Y67" i="7"/>
  <c r="Y72" i="7"/>
  <c r="AA49" i="7"/>
  <c r="AE5" i="7"/>
  <c r="EC637" i="3"/>
  <c r="EC599" i="3"/>
  <c r="AC49" i="7"/>
  <c r="E5" i="7"/>
  <c r="Y60" i="7"/>
  <c r="Y66" i="7"/>
  <c r="Y70" i="7"/>
  <c r="AG5" i="7"/>
  <c r="W47" i="7"/>
  <c r="W48" i="7"/>
  <c r="O70" i="7"/>
  <c r="O66" i="7"/>
  <c r="M49" i="7"/>
  <c r="M70" i="7"/>
  <c r="M66" i="7"/>
  <c r="EH639" i="3"/>
  <c r="EH601" i="3"/>
  <c r="U47" i="7"/>
  <c r="U48" i="7"/>
  <c r="S60" i="7"/>
  <c r="S66" i="7"/>
  <c r="S70" i="7"/>
  <c r="AA70" i="7"/>
  <c r="AA66" i="7"/>
  <c r="BV672" i="3"/>
  <c r="AH722" i="3"/>
  <c r="K5" i="7"/>
  <c r="S47" i="7"/>
  <c r="S45" i="7"/>
  <c r="S48" i="7"/>
  <c r="AG62" i="7"/>
  <c r="AG67" i="7"/>
  <c r="AG60" i="7"/>
  <c r="AG72" i="7"/>
  <c r="EM603" i="3"/>
  <c r="EM632" i="3"/>
  <c r="Z818" i="3"/>
  <c r="D6" i="8"/>
  <c r="X720" i="3"/>
  <c r="O720" i="3"/>
  <c r="AQ108" i="20"/>
  <c r="AQ107" i="20"/>
  <c r="D5" i="8"/>
  <c r="O719" i="3"/>
  <c r="X719" i="3"/>
  <c r="AH719" i="3"/>
  <c r="BV669" i="3"/>
  <c r="D11" i="8"/>
  <c r="AQ113" i="20"/>
  <c r="K47" i="7"/>
  <c r="K48" i="7"/>
  <c r="AQ106" i="20"/>
  <c r="D4" i="8"/>
  <c r="W62" i="7"/>
  <c r="W72" i="7"/>
  <c r="W67" i="7"/>
  <c r="AC70" i="7"/>
  <c r="AC66" i="7"/>
  <c r="Y5" i="7"/>
  <c r="I5" i="7"/>
  <c r="AC47" i="7"/>
  <c r="AC48" i="7"/>
  <c r="U67" i="7"/>
  <c r="U72" i="7"/>
  <c r="U62" i="7"/>
  <c r="AG48" i="7"/>
  <c r="AG45" i="7"/>
  <c r="AG47" i="7"/>
  <c r="Y49" i="7"/>
  <c r="M5" i="7"/>
  <c r="I62" i="7"/>
  <c r="I72" i="7"/>
  <c r="I60" i="7"/>
  <c r="I67" i="7"/>
  <c r="W49" i="7"/>
  <c r="O5" i="7"/>
  <c r="E49" i="7"/>
  <c r="K49" i="7"/>
  <c r="AE47" i="7"/>
  <c r="AE48" i="7"/>
  <c r="AA5" i="7"/>
  <c r="W11" i="7"/>
  <c r="W37" i="7"/>
  <c r="W45" i="7"/>
  <c r="W60" i="7"/>
  <c r="W66" i="7"/>
  <c r="W70" i="7"/>
  <c r="AE72" i="7"/>
  <c r="AE62" i="7"/>
  <c r="AE67" i="7"/>
  <c r="D40" i="8"/>
  <c r="Y800" i="3"/>
  <c r="I47" i="7"/>
  <c r="I11" i="7"/>
  <c r="I37" i="7"/>
  <c r="I45" i="7"/>
  <c r="I48" i="7"/>
  <c r="E67" i="7"/>
  <c r="E72" i="7"/>
  <c r="E62" i="7"/>
  <c r="O49" i="7"/>
  <c r="Y48" i="7"/>
  <c r="Y11" i="7"/>
  <c r="Y37" i="7"/>
  <c r="Y45" i="7"/>
  <c r="Y47" i="7"/>
  <c r="W5" i="7"/>
  <c r="G5" i="7"/>
  <c r="Q5" i="7"/>
  <c r="Q48" i="7"/>
  <c r="Q47" i="7"/>
  <c r="G48" i="7"/>
  <c r="G47" i="7"/>
  <c r="AG4" i="7"/>
  <c r="AG11" i="7"/>
  <c r="AG37" i="7"/>
  <c r="AG49" i="7"/>
  <c r="M47" i="7"/>
  <c r="M48" i="7"/>
  <c r="EH600" i="3"/>
  <c r="EH638" i="3"/>
  <c r="EH670" i="3"/>
  <c r="O124" i="20"/>
  <c r="O127" i="20"/>
  <c r="O130" i="20"/>
  <c r="AA72" i="7"/>
  <c r="AA62" i="7"/>
  <c r="AA60" i="7"/>
  <c r="AA67" i="7"/>
  <c r="O62" i="7"/>
  <c r="O72" i="7"/>
  <c r="O60" i="7"/>
  <c r="O67" i="7"/>
  <c r="AQ110" i="20"/>
  <c r="X722" i="3"/>
  <c r="O722" i="3"/>
  <c r="D8" i="8"/>
  <c r="AC62" i="7"/>
  <c r="AC72" i="7"/>
  <c r="AC11" i="7"/>
  <c r="AC37" i="7"/>
  <c r="AC45" i="7"/>
  <c r="AC60" i="7"/>
  <c r="AC67" i="7"/>
  <c r="D7" i="8"/>
  <c r="X721" i="3"/>
  <c r="O721" i="3"/>
  <c r="AQ109" i="20"/>
  <c r="AE49" i="7"/>
  <c r="G67" i="7"/>
  <c r="G62" i="7"/>
  <c r="G11" i="7"/>
  <c r="G37" i="7"/>
  <c r="G45" i="7"/>
  <c r="G60" i="7"/>
  <c r="G72" i="7"/>
  <c r="K72" i="7"/>
  <c r="K62" i="7"/>
  <c r="K11" i="7"/>
  <c r="K37" i="7"/>
  <c r="K45" i="7"/>
  <c r="K60" i="7"/>
  <c r="K67" i="7"/>
  <c r="AC4" i="7"/>
  <c r="AE4" i="7"/>
  <c r="AE11" i="7"/>
  <c r="AE37" i="7"/>
  <c r="AE45" i="7"/>
  <c r="AE60" i="7"/>
  <c r="AE66" i="7"/>
  <c r="AE70" i="7"/>
  <c r="Q67" i="7"/>
  <c r="Q62" i="7"/>
  <c r="Q11" i="7"/>
  <c r="Q37" i="7"/>
  <c r="Q45" i="7"/>
  <c r="Q60" i="7"/>
  <c r="Q72" i="7"/>
  <c r="O47" i="7"/>
  <c r="O11" i="7"/>
  <c r="O37" i="7"/>
  <c r="O45" i="7"/>
  <c r="O48" i="7"/>
  <c r="AA47" i="7"/>
  <c r="W4" i="7"/>
  <c r="Y4" i="7"/>
  <c r="AA4" i="7"/>
  <c r="AA11" i="7"/>
  <c r="AA37" i="7"/>
  <c r="AA45" i="7"/>
  <c r="AA48" i="7"/>
  <c r="M72" i="7"/>
  <c r="M67" i="7"/>
  <c r="M11" i="7"/>
  <c r="M37" i="7"/>
  <c r="M45" i="7"/>
  <c r="M60" i="7"/>
  <c r="M62" i="7"/>
  <c r="S11" i="7"/>
  <c r="S37" i="7"/>
  <c r="S49" i="7"/>
  <c r="E60" i="7"/>
  <c r="E66" i="7"/>
  <c r="E70" i="7"/>
  <c r="AQ112" i="20"/>
  <c r="D10" i="8"/>
  <c r="X725" i="3"/>
  <c r="O725" i="3"/>
  <c r="EM604" i="3"/>
  <c r="EM642" i="3"/>
  <c r="E47" i="7"/>
  <c r="E11" i="7"/>
  <c r="E37" i="7"/>
  <c r="E45" i="7"/>
  <c r="E48" i="7"/>
  <c r="O724" i="3"/>
  <c r="X724" i="3"/>
  <c r="AH724" i="3"/>
  <c r="BV674" i="3"/>
  <c r="X718" i="3"/>
  <c r="O718" i="3"/>
  <c r="O753" i="3"/>
  <c r="Y801" i="3"/>
  <c r="E4" i="7"/>
  <c r="G4" i="7"/>
  <c r="I4" i="7"/>
  <c r="K4" i="7"/>
  <c r="M4" i="7"/>
  <c r="O4" i="7"/>
  <c r="Q4" i="7"/>
  <c r="S4" i="7"/>
  <c r="U4" i="7"/>
  <c r="U11" i="7"/>
  <c r="U37" i="7"/>
  <c r="U45" i="7"/>
  <c r="U60" i="7"/>
  <c r="U66" i="7"/>
  <c r="U7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413FFD85-ECFA-4A64-8D13-FEC2CA368EF1}">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<sst xmlns="http://schemas.openxmlformats.org/spreadsheetml/2006/main" count="5301" uniqueCount="2788">
  <si>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</si>
  <si>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</si>
  <si>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</si>
  <si>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</si>
  <si>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</si>
  <si>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</si>
  <si>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</si>
  <si>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</si>
  <si>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</si>
  <si>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</si>
  <si>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</si>
  <si>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</si>
  <si>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</si>
  <si>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</si>
  <si>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</si>
  <si>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</si>
  <si>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</si>
  <si>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</si>
  <si>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</si>
  <si>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</si>
  <si>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</si>
  <si>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</si>
  <si>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</si>
  <si>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</si>
  <si>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</si>
  <si>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</si>
  <si>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</si>
  <si>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</si>
  <si>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</si>
  <si>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</si>
  <si>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</si>
  <si>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</si>
  <si>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</si>
  <si>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</si>
  <si>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</si>
  <si>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</si>
  <si>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</si>
  <si>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</si>
  <si>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</si>
  <si>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</si>
  <si>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</si>
  <si>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</si>
  <si>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</si>
  <si>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</si>
  <si>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</si>
  <si>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</si>
  <si>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</si>
  <si>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</si>
  <si>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</si>
  <si>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</si>
  <si>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</si>
  <si>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</si>
  <si>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</si>
  <si>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</si>
  <si>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</si>
  <si>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</si>
  <si>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</si>
  <si>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</si>
  <si>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</si>
  <si>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</si>
  <si>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</si>
  <si>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</si>
  <si>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</si>
  <si>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</si>
  <si>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</si>
  <si>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</si>
  <si>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</si>
  <si>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</si>
  <si>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</si>
  <si>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</si>
  <si>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</si>
  <si>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</si>
  <si>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</si>
  <si>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</si>
  <si>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</si>
  <si>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</si>
  <si>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</si>
  <si>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</si>
  <si>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</si>
  <si>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</si>
  <si>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</si>
  <si>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</si>
  <si>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</si>
  <si>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</si>
  <si>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</si>
  <si>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</si>
  <si>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</si>
  <si>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</si>
  <si>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</si>
  <si>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</si>
  <si>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</si>
  <si>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</si>
  <si>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</si>
  <si>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</si>
  <si>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</si>
  <si>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</si>
  <si>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</si>
  <si>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</si>
  <si>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</si>
  <si>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</si>
  <si>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</si>
  <si>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</si>
  <si>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</si>
  <si>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</si>
  <si>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</si>
  <si>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</si>
  <si>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</si>
  <si>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</si>
  <si>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</si>
  <si>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</si>
  <si>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</si>
  <si>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</si>
  <si>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</si>
  <si>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</si>
  <si>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</si>
  <si>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</si>
  <si>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</si>
  <si>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</si>
  <si>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</si>
  <si>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</si>
  <si>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</si>
  <si>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</si>
  <si>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</si>
  <si>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</si>
  <si>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</si>
  <si>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</si>
  <si>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</si>
  <si>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</si>
  <si>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</si>
  <si>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</si>
  <si>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</si>
  <si>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</si>
  <si>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</si>
  <si>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</si>
  <si>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</si>
  <si>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</si>
  <si>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</si>
  <si>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</si>
  <si>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</si>
  <si>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</si>
  <si>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</si>
  <si>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</si>
  <si>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</si>
  <si>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</si>
  <si>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</si>
  <si>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</si>
  <si>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</si>
  <si>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</si>
  <si>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</si>
  <si>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</si>
  <si>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</si>
  <si>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</si>
  <si>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</si>
  <si>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</si>
  <si>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</si>
  <si>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</si>
  <si>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</si>
  <si>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</si>
  <si>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</si>
  <si>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</si>
  <si>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</si>
  <si>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</si>
  <si>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</si>
  <si>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</si>
  <si>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</si>
  <si>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</si>
  <si>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</si>
  <si>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</si>
  <si>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</si>
  <si>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</si>
  <si>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</si>
  <si>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</si>
  <si>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</si>
  <si>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</si>
  <si>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</si>
  <si>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</si>
  <si>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</si>
  <si>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</si>
  <si>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</si>
  <si>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</si>
  <si>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</si>
  <si>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</si>
  <si>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</si>
  <si>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</si>
  <si>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</si>
  <si>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</si>
  <si>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</si>
  <si>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</si>
  <si>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</si>
  <si>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</si>
  <si>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</si>
  <si>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</si>
  <si>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</si>
  <si>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</si>
  <si>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</si>
  <si>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</si>
  <si>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</si>
  <si>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</si>
  <si>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</si>
  <si>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</si>
  <si>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</si>
  <si>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</si>
  <si>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</si>
  <si>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</si>
  <si>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</si>
  <si>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</si>
  <si>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</si>
  <si>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</si>
  <si>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</si>
  <si>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</si>
  <si>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</si>
  <si>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</si>
  <si>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</si>
  <si>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</si>
  <si>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</si>
  <si>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</si>
  <si>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</si>
  <si>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</si>
  <si>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</si>
  <si>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</si>
  <si>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</si>
  <si>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</si>
  <si>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</si>
  <si>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</si>
  <si>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</si>
  <si>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</si>
  <si>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</si>
  <si>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</si>
  <si>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</si>
  <si>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</si>
  <si>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</si>
  <si>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</si>
  <si>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</si>
  <si>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</si>
  <si>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</si>
  <si>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</si>
  <si>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</si>
  <si>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</si>
  <si>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</si>
  <si>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</si>
  <si>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</si>
  <si>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</si>
  <si>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</si>
  <si>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</si>
  <si>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</si>
  <si>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</si>
  <si>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</si>
  <si>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</si>
  <si>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</si>
  <si>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</si>
  <si>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</si>
  <si>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</si>
  <si>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</si>
  <si>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</si>
  <si>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</si>
  <si>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</si>
  <si>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</si>
  <si>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</si>
  <si>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</si>
  <si>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</si>
  <si>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</si>
  <si>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</si>
  <si>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</si>
  <si>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</si>
  <si>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</si>
  <si>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</si>
  <si>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</si>
  <si>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</si>
  <si>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</si>
  <si>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</si>
  <si>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</si>
  <si>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</si>
  <si>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</si>
  <si>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</si>
  <si>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</si>
  <si>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</si>
  <si>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</si>
  <si>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</si>
  <si>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</si>
  <si>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</si>
  <si>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</si>
  <si>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</si>
  <si>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</si>
  <si>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</si>
  <si>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</si>
  <si>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</si>
  <si>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</si>
  <si>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</si>
  <si>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</si>
  <si>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</si>
  <si>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</si>
  <si>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</si>
  <si>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</si>
  <si>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</si>
  <si>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</si>
  <si>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</si>
  <si>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</si>
  <si>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</si>
  <si>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</si>
  <si>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</si>
  <si>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</si>
  <si>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</si>
  <si>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</si>
  <si>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</si>
  <si>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</si>
  <si>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</si>
  <si>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</si>
  <si>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</si>
  <si>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</si>
  <si>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</si>
  <si>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</si>
  <si>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</si>
  <si>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</si>
  <si>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</si>
  <si>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</si>
  <si>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</si>
  <si>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</si>
  <si>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</si>
  <si>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</si>
  <si>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</si>
  <si>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</si>
  <si>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</si>
  <si>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</si>
  <si>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</si>
  <si>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</si>
  <si>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</si>
  <si>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</si>
  <si>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</si>
  <si>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</si>
  <si>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</si>
  <si>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</si>
  <si>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</si>
  <si>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</si>
  <si>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</si>
  <si>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</si>
  <si>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</si>
  <si>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</si>
  <si>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</si>
  <si>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</si>
  <si>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</si>
  <si>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</si>
  <si>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</si>
  <si>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</si>
  <si>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</si>
  <si>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</si>
  <si>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</si>
  <si>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</si>
  <si>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</si>
  <si>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</si>
  <si>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</si>
  <si>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</si>
  <si>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</si>
  <si>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</si>
  <si>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</si>
  <si>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</si>
  <si>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</si>
  <si>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</si>
  <si>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</si>
  <si>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</si>
  <si>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</si>
  <si>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</si>
  <si>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</si>
  <si>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</si>
  <si>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</si>
  <si>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</si>
  <si>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</si>
  <si>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</si>
  <si>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</si>
  <si>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</si>
  <si>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</si>
  <si>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</si>
  <si>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</si>
  <si>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</si>
  <si>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</si>
  <si>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</si>
  <si>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</si>
  <si>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</si>
  <si>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</si>
  <si>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</si>
  <si>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</si>
  <si>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</si>
  <si>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</si>
  <si>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</si>
  <si>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</si>
  <si>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</si>
  <si>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</si>
  <si>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</si>
  <si>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</si>
  <si>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</si>
  <si>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</si>
  <si>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</si>
  <si>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</si>
  <si>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</si>
  <si>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</si>
  <si>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</si>
  <si>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</si>
  <si>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</si>
  <si>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</si>
  <si>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</si>
  <si>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</si>
  <si>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</si>
  <si>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</si>
  <si>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</si>
  <si>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</si>
  <si>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</si>
  <si>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</si>
  <si>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</si>
  <si>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</si>
  <si>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</si>
  <si>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</si>
  <si>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</si>
  <si>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</si>
  <si>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</si>
  <si>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</si>
  <si>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</si>
  <si>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</si>
  <si>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</si>
  <si>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</si>
  <si>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</si>
  <si>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</si>
  <si>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</si>
  <si>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</si>
  <si>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</si>
  <si>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</si>
  <si>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</si>
  <si>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</si>
  <si>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</si>
  <si>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</si>
  <si>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</si>
  <si>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</si>
  <si>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</si>
  <si>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</si>
  <si>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</si>
  <si>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</si>
  <si>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</si>
  <si>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</si>
  <si>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</si>
  <si>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</si>
  <si>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</si>
  <si>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</si>
  <si>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</si>
  <si>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</si>
  <si>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</si>
  <si>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</si>
  <si>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</si>
  <si>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</si>
  <si>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</si>
  <si>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</si>
  <si>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</si>
  <si>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</si>
  <si>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</si>
  <si>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</si>
  <si>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</si>
  <si>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</si>
  <si>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</si>
  <si>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</si>
  <si>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</si>
  <si>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</si>
  <si>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</si>
  <si>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</si>
  <si>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</si>
  <si>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</si>
  <si>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</si>
  <si>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</si>
  <si>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</si>
  <si>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</si>
  <si>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</si>
  <si>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</si>
  <si>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</si>
  <si>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</si>
  <si>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</si>
  <si>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</si>
  <si>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</si>
  <si>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</si>
  <si>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</si>
  <si>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</si>
  <si>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</si>
  <si>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</si>
  <si>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</si>
  <si>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</si>
  <si>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</si>
  <si>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</si>
  <si>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</si>
  <si>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</si>
  <si>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</si>
  <si>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</si>
  <si>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</si>
  <si>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</si>
  <si>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</si>
  <si>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</si>
  <si>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</si>
  <si>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</si>
  <si>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</si>
  <si>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</si>
  <si>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</si>
  <si>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</si>
  <si>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</si>
  <si>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</si>
  <si>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</si>
  <si>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</si>
  <si>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</si>
  <si>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</si>
  <si>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</si>
  <si>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</si>
  <si>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</si>
  <si>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</si>
  <si>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</si>
  <si>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</si>
  <si>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</si>
  <si>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</si>
  <si>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</si>
  <si>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</si>
  <si>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</si>
  <si>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</si>
  <si>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</si>
  <si>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</si>
  <si>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</si>
  <si>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</si>
  <si>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</si>
  <si>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</si>
  <si>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</si>
  <si>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</si>
  <si>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</si>
  <si>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</si>
  <si>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</si>
  <si>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</si>
  <si>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</si>
  <si>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</si>
  <si>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</si>
  <si>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</si>
  <si>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</si>
  <si>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</si>
  <si>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</si>
  <si>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</si>
  <si>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</si>
  <si>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</si>
  <si>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</si>
  <si>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</si>
  <si>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</si>
  <si>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</si>
  <si>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</si>
  <si>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</si>
  <si>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</si>
  <si>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</si>
  <si>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</si>
  <si>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</si>
  <si>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</si>
  <si>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</si>
  <si>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</si>
  <si>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</si>
  <si>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</si>
  <si>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</si>
  <si>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</si>
  <si>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</si>
  <si>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</si>
  <si>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</si>
  <si>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</si>
  <si>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</si>
  <si>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</si>
  <si>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</si>
  <si>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</si>
  <si>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</si>
  <si>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</si>
  <si>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</si>
  <si>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</si>
  <si>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</si>
  <si>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</si>
  <si>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</si>
  <si>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</si>
  <si>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</si>
  <si>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</si>
  <si>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</si>
  <si>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</si>
  <si>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</si>
  <si>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</si>
  <si>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</si>
  <si>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</si>
  <si>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</si>
  <si>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</si>
  <si>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</si>
  <si>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</si>
  <si>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</si>
  <si>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</si>
  <si>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</si>
  <si>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</si>
  <si>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</si>
  <si>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</si>
  <si>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</si>
  <si>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</si>
  <si>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</si>
  <si>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</si>
  <si>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</si>
  <si>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</si>
  <si>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</si>
  <si>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</si>
  <si>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</si>
  <si>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</si>
  <si>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</si>
  <si>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</si>
  <si>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</si>
  <si>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</si>
  <si>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</si>
  <si>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</si>
  <si>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</si>
  <si>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</si>
  <si>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</si>
  <si>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</si>
  <si>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</si>
  <si>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</si>
  <si>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</si>
  <si>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</si>
  <si>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</si>
  <si>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</si>
  <si>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</si>
  <si>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</si>
  <si>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</si>
  <si>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</si>
  <si>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</si>
  <si>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</si>
  <si>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</si>
  <si>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</si>
  <si>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</si>
  <si>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</si>
  <si>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</si>
  <si>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</si>
  <si>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</si>
  <si>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</si>
  <si>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</si>
  <si>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</si>
  <si>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</si>
  <si>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</si>
  <si>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</si>
  <si>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</si>
  <si>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</si>
  <si>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</si>
  <si>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</si>
  <si>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</si>
  <si>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</si>
  <si>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</si>
  <si>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</si>
  <si>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</si>
  <si>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</si>
  <si>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</si>
  <si>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</si>
  <si>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</si>
  <si>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</si>
  <si>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</si>
  <si>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</si>
  <si>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</si>
  <si>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</si>
  <si>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</si>
  <si>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</si>
  <si>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</si>
  <si>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</si>
  <si>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</si>
  <si>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</si>
  <si>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</si>
  <si>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</si>
  <si>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</si>
  <si>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</si>
  <si>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</si>
  <si>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</si>
  <si>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</si>
  <si>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</si>
  <si>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</si>
  <si>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</si>
  <si>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</si>
  <si>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</si>
  <si>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</si>
  <si>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</si>
  <si>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</si>
  <si>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</si>
  <si>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</si>
  <si>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</si>
  <si>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</si>
  <si>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</si>
  <si>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</si>
  <si>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</si>
  <si>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</si>
  <si>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</si>
  <si>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</si>
  <si>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</si>
  <si>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</si>
  <si>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</si>
  <si>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</si>
  <si>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</si>
  <si>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</si>
  <si>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</si>
  <si>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</si>
  <si>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</si>
  <si>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</si>
  <si>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</si>
  <si>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</si>
  <si>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</si>
  <si>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</si>
  <si>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</si>
  <si>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</si>
  <si>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</si>
  <si>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</si>
  <si>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</si>
  <si>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</si>
  <si>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</si>
  <si>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</si>
  <si>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</si>
  <si>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</si>
  <si>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</si>
  <si>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</si>
  <si>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</si>
  <si>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</si>
  <si>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</si>
  <si>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</si>
  <si>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</si>
  <si>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</si>
  <si>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</si>
  <si>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</si>
  <si>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</si>
  <si>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</si>
  <si>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</si>
  <si>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</si>
  <si>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</si>
  <si>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</si>
  <si>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</si>
  <si>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</si>
  <si>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</si>
  <si>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</si>
  <si>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</si>
  <si>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</si>
  <si>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</si>
  <si>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</si>
  <si>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</si>
  <si>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</si>
  <si>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</si>
  <si>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</si>
  <si>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</si>
  <si>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</si>
  <si>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</si>
  <si>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</si>
  <si>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</si>
  <si>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</si>
  <si>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</si>
  <si>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</si>
  <si>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</si>
  <si>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</si>
  <si>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</si>
  <si>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</si>
  <si>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</si>
  <si>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</si>
  <si>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</si>
  <si>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</si>
  <si>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</si>
  <si>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</si>
  <si>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</si>
  <si>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</si>
  <si>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</si>
  <si>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</si>
  <si>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</si>
  <si>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</si>
  <si>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</si>
  <si>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</si>
  <si>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</si>
  <si>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</si>
  <si>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</si>
  <si>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</si>
  <si>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</si>
  <si>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</si>
  <si>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</si>
  <si>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</si>
  <si>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</si>
  <si>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</si>
  <si>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</si>
  <si>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</si>
  <si>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</si>
  <si>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</si>
  <si>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</si>
  <si>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</si>
  <si>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</si>
  <si>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</si>
  <si>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</si>
  <si>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</si>
  <si>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</si>
  <si>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</si>
  <si>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</si>
  <si>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</si>
  <si>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</si>
  <si>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</si>
  <si>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</si>
  <si>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</si>
  <si>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</si>
  <si>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</si>
  <si>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</si>
  <si>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</si>
  <si>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</si>
  <si>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</si>
  <si>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</si>
  <si>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</si>
  <si>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</si>
  <si>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</si>
  <si>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</si>
  <si>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</si>
  <si>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</si>
  <si>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</si>
  <si>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</si>
  <si>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</si>
  <si>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</si>
  <si>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</si>
  <si>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</si>
  <si>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</si>
  <si>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</si>
  <si>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</si>
  <si>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</si>
  <si>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</si>
  <si>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</si>
  <si>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</si>
  <si>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</si>
  <si>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</si>
  <si>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</si>
  <si>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</si>
  <si>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</si>
  <si>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</si>
  <si>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</si>
  <si>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</si>
  <si>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</si>
  <si>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</si>
  <si>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</si>
  <si>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</si>
  <si>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</si>
  <si>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</si>
  <si>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The Ridge at Ralston LP</t>
  </si>
  <si>
    <t>PROJECT NAME:</t>
  </si>
  <si>
    <t>The Ridge at Ralston</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</si>
  <si>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</si>
  <si>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</si>
  <si>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</si>
  <si>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</si>
  <si>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</si>
  <si>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</si>
  <si>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</si>
  <si>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</si>
  <si>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</si>
  <si>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</si>
  <si>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</si>
  <si>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</si>
  <si>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</si>
  <si>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</si>
  <si>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</si>
  <si>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</si>
  <si>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</si>
  <si>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</si>
  <si>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</si>
  <si>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</si>
  <si>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</si>
  <si>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</si>
  <si>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</si>
  <si>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</si>
  <si>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</si>
  <si>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</si>
  <si>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</si>
  <si>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</si>
  <si>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</si>
  <si>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</si>
  <si>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</si>
  <si>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</si>
  <si>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</si>
  <si>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</si>
  <si>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Jonathan White</t>
  </si>
  <si>
    <t>(Typed or printed name)</t>
  </si>
  <si>
    <t>Authorized Signatory</t>
  </si>
  <si>
    <t>(Title)</t>
  </si>
  <si>
    <t>Local Jurisdiction:</t>
  </si>
  <si>
    <t>City of Belmont</t>
  </si>
  <si>
    <t>City Manager:</t>
  </si>
  <si>
    <t>Mr. Craig A. Ewing</t>
  </si>
  <si>
    <t>Title:</t>
  </si>
  <si>
    <t>Director</t>
  </si>
  <si>
    <t xml:space="preserve">Mailing Address: </t>
  </si>
  <si>
    <t xml:space="preserve">1070 6th Ave. #302 </t>
  </si>
  <si>
    <t xml:space="preserve">City: </t>
  </si>
  <si>
    <t xml:space="preserve">Belmont, CA </t>
  </si>
  <si>
    <t>ALAMEDA</t>
  </si>
  <si>
    <t>Alameda</t>
  </si>
  <si>
    <t xml:space="preserve">Zip Code: </t>
  </si>
  <si>
    <t>ALPINE</t>
  </si>
  <si>
    <t>Alpine</t>
  </si>
  <si>
    <t>Phone Number:</t>
  </si>
  <si>
    <t>(650) 637-2908</t>
  </si>
  <si>
    <t>Ext.</t>
  </si>
  <si>
    <t>AMADOR</t>
  </si>
  <si>
    <t>Amador</t>
  </si>
  <si>
    <t xml:space="preserve">FAX Number: </t>
  </si>
  <si>
    <t>(650) 637-2983</t>
  </si>
  <si>
    <t>BUTTE</t>
  </si>
  <si>
    <t>Butte</t>
  </si>
  <si>
    <t xml:space="preserve">E-mail: </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</si>
  <si>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</si>
  <si>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</si>
  <si>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</si>
  <si>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</si>
  <si>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</si>
  <si>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</si>
  <si>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</si>
  <si>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</si>
  <si>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</si>
  <si>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</si>
  <si>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</si>
  <si>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</si>
  <si>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</si>
  <si>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</si>
  <si>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</si>
  <si>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</si>
  <si>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</si>
  <si>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</si>
  <si>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</si>
  <si>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</si>
  <si>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</si>
  <si>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</si>
  <si>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</si>
  <si>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</si>
  <si>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</si>
  <si>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</si>
  <si>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</si>
  <si>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</si>
  <si>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</si>
  <si>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</si>
  <si>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</si>
  <si>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</si>
  <si>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</si>
  <si>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</si>
  <si>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</si>
  <si>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</si>
  <si>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</si>
  <si>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</si>
  <si>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</si>
  <si>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</si>
  <si>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</si>
  <si>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</si>
  <si>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</si>
  <si>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</si>
  <si>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</si>
  <si>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</si>
  <si>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</si>
  <si>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</si>
  <si>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</si>
  <si>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</si>
  <si>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</si>
  <si>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</si>
  <si>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</si>
  <si>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</si>
  <si>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</si>
  <si>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</si>
  <si>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</si>
  <si>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</si>
  <si>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</si>
  <si>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</si>
  <si>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</si>
  <si>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</si>
  <si>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</si>
  <si>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</si>
  <si>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</si>
  <si>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</si>
  <si>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</si>
  <si>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</si>
  <si>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</si>
  <si>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</si>
  <si>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</si>
  <si>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</si>
  <si>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</si>
  <si>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</si>
  <si>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</si>
  <si>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</si>
  <si>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678 Ralston Ave</t>
  </si>
  <si>
    <t>Federal and State:</t>
  </si>
  <si>
    <t>NEVADA</t>
  </si>
  <si>
    <t>Nevada</t>
  </si>
  <si>
    <t>If address is not established, enter detailed description (i.e. NW corner of 26th and Elm)</t>
  </si>
  <si>
    <t>ORANGE</t>
  </si>
  <si>
    <t>Orange</t>
  </si>
  <si>
    <t>PLACER</t>
  </si>
  <si>
    <t>Placer</t>
  </si>
  <si>
    <t>PLUMAS</t>
  </si>
  <si>
    <t>Plumas</t>
  </si>
  <si>
    <t>City:</t>
  </si>
  <si>
    <t>Belmont</t>
  </si>
  <si>
    <t>County:</t>
  </si>
  <si>
    <t>San Mateo</t>
  </si>
  <si>
    <t>RIVERSIDE</t>
  </si>
  <si>
    <t>Riverside</t>
  </si>
  <si>
    <t>Zip Code:</t>
  </si>
  <si>
    <t>Census Tract:</t>
  </si>
  <si>
    <t>Large Family</t>
  </si>
  <si>
    <t>SACRAMENTO</t>
  </si>
  <si>
    <t>Sacramento</t>
  </si>
  <si>
    <t>Assessor's Parcel Number(s):</t>
  </si>
  <si>
    <t>040-313-280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</si>
  <si>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</si>
  <si>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</si>
  <si>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</si>
  <si>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</si>
  <si>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</si>
  <si>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</si>
  <si>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</si>
  <si>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</si>
  <si>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</si>
  <si>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</si>
  <si>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</si>
  <si>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</si>
  <si>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</si>
  <si>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</si>
  <si>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</si>
  <si>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</si>
  <si>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</si>
  <si>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</si>
  <si>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</si>
  <si>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</si>
  <si>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</si>
  <si>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</si>
  <si>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</si>
  <si>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</si>
  <si>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</si>
  <si>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</si>
  <si>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</si>
  <si>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</si>
  <si>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</si>
  <si>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</si>
  <si>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</si>
  <si>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</si>
  <si>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</si>
  <si>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</si>
  <si>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</si>
  <si>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</si>
  <si>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</si>
  <si>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</si>
  <si>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</si>
  <si>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</si>
  <si>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</si>
  <si>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</si>
  <si>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</si>
  <si>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</si>
  <si>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</si>
  <si>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</si>
  <si>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</si>
  <si>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</si>
  <si>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</si>
  <si>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</si>
  <si>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</si>
  <si>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</si>
  <si>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</si>
  <si>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</si>
  <si>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</si>
  <si>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</si>
  <si>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</si>
  <si>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</si>
  <si>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</si>
  <si>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</si>
  <si>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</si>
  <si>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</si>
  <si>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</si>
  <si>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</si>
  <si>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</si>
  <si>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</si>
  <si>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</si>
  <si>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</si>
  <si>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</si>
  <si>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</si>
  <si>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</si>
  <si>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</si>
  <si>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</si>
  <si>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</si>
  <si>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</si>
  <si>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</si>
  <si>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</si>
  <si>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</si>
  <si>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</si>
  <si>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</si>
  <si>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</si>
  <si>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</si>
  <si>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</si>
  <si>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</si>
  <si>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</si>
  <si>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</si>
  <si>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</si>
  <si>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</si>
  <si>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</si>
  <si>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</si>
  <si>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</si>
  <si>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</si>
  <si>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</si>
  <si>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</si>
  <si>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</si>
  <si>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</si>
  <si>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</si>
  <si>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</si>
  <si>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</si>
  <si>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</si>
  <si>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</si>
  <si>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</si>
  <si>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</si>
  <si>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</si>
  <si>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</si>
  <si>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</si>
  <si>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</si>
  <si>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</si>
  <si>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</si>
  <si>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</si>
  <si>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</si>
  <si>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</si>
  <si>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</si>
  <si>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</si>
  <si>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</si>
  <si>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</si>
  <si>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</si>
  <si>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</si>
  <si>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</si>
  <si>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122 E 42nd Street, suite 1903</t>
  </si>
  <si>
    <t>New York</t>
  </si>
  <si>
    <t>State:</t>
  </si>
  <si>
    <t>NY</t>
  </si>
  <si>
    <t>Contact Person:</t>
  </si>
  <si>
    <t>Paul Salib</t>
  </si>
  <si>
    <t>Phone:</t>
  </si>
  <si>
    <t>212-776-1914</t>
  </si>
  <si>
    <t>Ext.:</t>
  </si>
  <si>
    <t>Fax:</t>
  </si>
  <si>
    <t>both nonprofits</t>
  </si>
  <si>
    <t xml:space="preserve">Email: </t>
  </si>
  <si>
    <t>psalib@crpaffordable.com</t>
  </si>
  <si>
    <t>Legal Status of Applicant:</t>
  </si>
  <si>
    <t>Parent Company:</t>
  </si>
  <si>
    <t>If Other, Specify:</t>
  </si>
  <si>
    <t>both for-profit</t>
  </si>
  <si>
    <t>General Partner(s) Information (post-closing GPs):</t>
  </si>
  <si>
    <t>D(1)</t>
  </si>
  <si>
    <t>General Partner Name:</t>
  </si>
  <si>
    <t>Abode HD 678 Ralston LLC</t>
  </si>
  <si>
    <t>Managing GP</t>
  </si>
  <si>
    <t>40849 Fremont Boulevard</t>
  </si>
  <si>
    <t>OWNERSHIP</t>
  </si>
  <si>
    <t>Nonprofit</t>
  </si>
  <si>
    <t>Fremont</t>
  </si>
  <si>
    <t>CA</t>
  </si>
  <si>
    <t>INTEREST (%):</t>
  </si>
  <si>
    <t>currently exists</t>
  </si>
  <si>
    <t>to be formed</t>
  </si>
  <si>
    <t>For Profit</t>
  </si>
  <si>
    <t>510-415-6049</t>
  </si>
  <si>
    <t>jwhite@abode.org</t>
  </si>
  <si>
    <t>Nonprofit/For Profit:</t>
  </si>
  <si>
    <t>Abode Housing Development</t>
  </si>
  <si>
    <t>D(2)</t>
  </si>
  <si>
    <t>General Partner Name:*</t>
  </si>
  <si>
    <t>The Ridge at Ralston AGP LLC</t>
  </si>
  <si>
    <t>Administrative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</si>
  <si>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</si>
  <si>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</si>
  <si>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</si>
  <si>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</si>
  <si>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</si>
  <si>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</si>
  <si>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</si>
  <si>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</si>
  <si>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</si>
  <si>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CRP Affordable Housing and Community Development LLC</t>
  </si>
  <si>
    <t>Seth Sterneck</t>
  </si>
  <si>
    <t>646-518-7280</t>
  </si>
  <si>
    <t>ssterneck@crpaffordable.com</t>
  </si>
  <si>
    <t>Participatory Role:</t>
  </si>
  <si>
    <t>Developer</t>
  </si>
  <si>
    <t>(e.g., General Partner, Consultant, etc.)</t>
  </si>
  <si>
    <t>II. APPLICATION - SECTION 4: DEVELOPMENT TEAM INFORMATION</t>
  </si>
  <si>
    <t>Indicate and List All Development Team Members</t>
  </si>
  <si>
    <t>Developer:</t>
  </si>
  <si>
    <t>Architect:</t>
  </si>
  <si>
    <t>AO Architects</t>
  </si>
  <si>
    <t>Address:</t>
  </si>
  <si>
    <t>144 North Orange Street</t>
  </si>
  <si>
    <t>City, State, Zip</t>
  </si>
  <si>
    <t>New York, NY 10168</t>
  </si>
  <si>
    <t>City, State, Zip:</t>
  </si>
  <si>
    <t>Orange, CA 92866</t>
  </si>
  <si>
    <t>Ioanna Magiatti</t>
  </si>
  <si>
    <t>(714) 639-9860</t>
  </si>
  <si>
    <t>Email:</t>
  </si>
  <si>
    <t>ioannam@aoarchitects.com</t>
  </si>
  <si>
    <t>Attorney:</t>
  </si>
  <si>
    <t>Hobson Bernardino + Davis LLP</t>
  </si>
  <si>
    <t>General Contractor:</t>
  </si>
  <si>
    <t>Ironcore Construction LLC</t>
  </si>
  <si>
    <t>6060 Center Drive, Floor 10</t>
  </si>
  <si>
    <t>4429 Morena Boulevard, Suite A</t>
  </si>
  <si>
    <t>Los Angeles, CA 90045</t>
  </si>
  <si>
    <t xml:space="preserve"> San Diego  CA 92127</t>
  </si>
  <si>
    <t>Jason Hobson</t>
  </si>
  <si>
    <t>Elliot V Jones</t>
  </si>
  <si>
    <t>213-235-9191</t>
  </si>
  <si>
    <t>(619) 378-7878</t>
  </si>
  <si>
    <t>jhobson@hbdlegal.com</t>
  </si>
  <si>
    <t xml:space="preserve">Ejones@ironcorecc.com </t>
  </si>
  <si>
    <t>Tax Professional:</t>
  </si>
  <si>
    <t>Energy Consultant:</t>
  </si>
  <si>
    <t>Partner Energy</t>
  </si>
  <si>
    <t>980 Knox St. Suite 150</t>
  </si>
  <si>
    <t>Los Angeles, Ca 90502</t>
  </si>
  <si>
    <t>Kelsey Shaw</t>
  </si>
  <si>
    <t>310-356-2199</t>
  </si>
  <si>
    <t>kshaw@ptrenergy.com</t>
  </si>
  <si>
    <t>CPA:</t>
  </si>
  <si>
    <t>Novogradac Consulting LLP</t>
  </si>
  <si>
    <t>Investor:</t>
  </si>
  <si>
    <t>Enterprise Housing Credits Investments, LLC</t>
  </si>
  <si>
    <t>6700 Antioch Rd #450</t>
  </si>
  <si>
    <t>70 Corporate Center, 11000 Broken Land Parkway, Suite 70</t>
  </si>
  <si>
    <t>Merriam, Kansas 66204</t>
  </si>
  <si>
    <t>Columbia, MD 21044</t>
  </si>
  <si>
    <t>Thomas Stagg</t>
  </si>
  <si>
    <t>Philip Porter</t>
  </si>
  <si>
    <t>515-519-1234</t>
  </si>
  <si>
    <t>410.964.0552</t>
  </si>
  <si>
    <t>thomas.stagg@novoco.com</t>
  </si>
  <si>
    <t>pporter@enterprisecommunity.com</t>
  </si>
  <si>
    <t>Consultant:</t>
  </si>
  <si>
    <t>Market Analyst:</t>
  </si>
  <si>
    <t>Novogradac</t>
  </si>
  <si>
    <t>Appraiser:</t>
  </si>
  <si>
    <t>CNA Consultant:</t>
  </si>
  <si>
    <t>rachel.denton@novoco.com</t>
  </si>
  <si>
    <t>Bond Issuer:</t>
  </si>
  <si>
    <t>California Housing Finance Agency</t>
  </si>
  <si>
    <t>Prop. Mgmt. Co.:</t>
  </si>
  <si>
    <t>The John Stewart Company</t>
  </si>
  <si>
    <t>500 Capital Mall Road, STE 1400, MS 990</t>
  </si>
  <si>
    <t>1388 Sutter Street, 11th Floor</t>
  </si>
  <si>
    <t>Sacramento, CA 95814</t>
  </si>
  <si>
    <t>San Francisco, CA 94109</t>
  </si>
  <si>
    <t>Anthony Stubbs</t>
  </si>
  <si>
    <t>Jennifer Wood</t>
  </si>
  <si>
    <t>916-326-8810</t>
  </si>
  <si>
    <t xml:space="preserve">(415) 345-4400					</t>
  </si>
  <si>
    <t>astubbs@cmfa-ca.com</t>
  </si>
  <si>
    <t>jwood@jsco.net</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</si>
  <si>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</si>
  <si>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</si>
  <si>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</si>
  <si>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</si>
  <si>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</si>
  <si>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</si>
  <si>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</si>
  <si>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</si>
  <si>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</si>
  <si>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</si>
  <si>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</si>
  <si>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</si>
  <si>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</si>
  <si>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</si>
  <si>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</si>
  <si>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</si>
  <si>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</si>
  <si>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</si>
  <si>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</si>
  <si>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</si>
  <si>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</si>
  <si>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</si>
  <si>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</si>
  <si>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</si>
  <si>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</si>
  <si>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</si>
  <si>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</si>
  <si>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</si>
  <si>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</si>
  <si>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</si>
  <si>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</si>
  <si>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</si>
  <si>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</si>
  <si>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</si>
  <si>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</si>
  <si>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</si>
  <si>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Joel Hammer</t>
  </si>
  <si>
    <t>Seller Principal:</t>
  </si>
  <si>
    <t>Seller Address:</t>
  </si>
  <si>
    <t>122 E 42nd Street, suite 1903, NY</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</si>
  <si>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</si>
  <si>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</si>
  <si>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</si>
  <si>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</si>
  <si>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</si>
  <si>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</si>
  <si>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</si>
  <si>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</si>
  <si>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</si>
  <si>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</si>
  <si>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</si>
  <si>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</si>
  <si>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</si>
  <si>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</si>
  <si>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</si>
  <si>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</si>
  <si>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</si>
  <si>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</si>
  <si>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</si>
  <si>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</si>
  <si>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</si>
  <si>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</si>
  <si>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</si>
  <si>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</si>
  <si>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</si>
  <si>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</si>
  <si>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</si>
  <si>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</si>
  <si>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</si>
  <si>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8 story highrise - Type- I A and Type III A Podium New Construction</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</si>
  <si>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</si>
  <si>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</si>
  <si>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</si>
  <si>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</si>
  <si>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</si>
  <si>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</si>
  <si>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</si>
  <si>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</si>
  <si>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</si>
  <si>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</si>
  <si>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</si>
  <si>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</si>
  <si>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</si>
  <si>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</si>
  <si>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</si>
  <si>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</si>
  <si>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</si>
  <si>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</si>
  <si>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</si>
  <si>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</si>
  <si>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</si>
  <si>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</si>
  <si>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</si>
  <si>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</si>
  <si>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</si>
  <si>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</si>
  <si>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</si>
  <si>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</si>
  <si>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</si>
  <si>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</si>
  <si>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</si>
  <si>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</si>
  <si>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</si>
  <si>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</si>
  <si>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</si>
  <si>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</si>
  <si>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</si>
  <si>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</si>
  <si>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</si>
  <si>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</si>
  <si>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</si>
  <si>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</si>
  <si>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</si>
  <si>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</si>
  <si>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</si>
  <si>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</si>
  <si>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</si>
  <si>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</si>
  <si>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</si>
  <si>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</si>
  <si>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</si>
  <si>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</si>
  <si>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</si>
  <si>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</si>
  <si>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 xml:space="preserve">Village Core Mixed Use </t>
  </si>
  <si>
    <t>2024 100% RENTS</t>
  </si>
  <si>
    <t>2024 FAIR MARKET RENTS</t>
  </si>
  <si>
    <t>Current Zoning and Maximum Density</t>
  </si>
  <si>
    <t>Village Core Mixed Use  (VCMU)</t>
  </si>
  <si>
    <t>California Tax Credit Allocation Committee</t>
  </si>
  <si>
    <t>Housing and Urban Development</t>
  </si>
  <si>
    <t>Proposed Zoning and Maximum Density</t>
  </si>
  <si>
    <t>Village Core Mixed Use  (VCMU) - No Max density restriction</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</si>
  <si>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</si>
  <si>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</si>
  <si>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</si>
  <si>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</si>
  <si>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</si>
  <si>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</si>
  <si>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</si>
  <si>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</si>
  <si>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</si>
  <si>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</si>
  <si>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</si>
  <si>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</si>
  <si>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1 Bed - 1.0, 2 Bed - 1.5, 3 Bed - 2.0</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</si>
  <si>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</si>
  <si>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</si>
  <si>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</si>
  <si>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</si>
  <si>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</si>
  <si>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</si>
  <si>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</si>
  <si>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</si>
  <si>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</si>
  <si>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</si>
  <si>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</si>
  <si>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</si>
  <si>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</si>
  <si>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</si>
  <si>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</si>
  <si>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</si>
  <si>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</si>
  <si>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</si>
  <si>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</si>
  <si>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</si>
  <si>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</si>
  <si>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</si>
  <si>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</si>
  <si>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</si>
  <si>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</si>
  <si>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</si>
  <si>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</si>
  <si>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</si>
  <si>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</si>
  <si>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</si>
  <si>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</si>
  <si>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</si>
  <si>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</si>
  <si>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</si>
  <si>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</si>
  <si>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AHF 11.0</t>
  </si>
  <si>
    <t>Equity, Other Investor</t>
  </si>
  <si>
    <t>Grant</t>
  </si>
  <si>
    <t>Closing or Award</t>
  </si>
  <si>
    <t>Loan, Conventional</t>
  </si>
  <si>
    <t xml:space="preserve">Type and Source: </t>
  </si>
  <si>
    <t>AHF 12.0</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</si>
  <si>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</si>
  <si>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</si>
  <si>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</si>
  <si>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</si>
  <si>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</si>
  <si>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</si>
  <si>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</si>
  <si>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</si>
  <si>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</si>
  <si>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</si>
  <si>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</si>
  <si>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</si>
  <si>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</si>
  <si>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</si>
  <si>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</si>
  <si>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</si>
  <si>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</si>
  <si>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</si>
  <si>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</si>
  <si>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</si>
  <si>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</si>
  <si>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</si>
  <si>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</si>
  <si>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</si>
  <si>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</si>
  <si>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</si>
  <si>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</si>
  <si>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</si>
  <si>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</si>
  <si>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</si>
  <si>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</si>
  <si>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Tax-exempt Construction Loan</t>
  </si>
  <si>
    <t>Variable</t>
  </si>
  <si>
    <t>Citi Taxable Construction Loan</t>
  </si>
  <si>
    <t>Federal LIHTC Equity</t>
  </si>
  <si>
    <t>State LIHTC Equity</t>
  </si>
  <si>
    <t>Deferred Cost</t>
  </si>
  <si>
    <t>6)</t>
  </si>
  <si>
    <t>7)</t>
  </si>
  <si>
    <t>8)</t>
  </si>
  <si>
    <t>9)</t>
  </si>
  <si>
    <t>10)</t>
  </si>
  <si>
    <t>11)</t>
  </si>
  <si>
    <t>12)</t>
  </si>
  <si>
    <t>Total Funds For Construction:</t>
  </si>
  <si>
    <t>Lender/Source:</t>
  </si>
  <si>
    <t>300 South Grand Avenue, Suite 3110</t>
  </si>
  <si>
    <t>Los Angeles, CA 90071</t>
  </si>
  <si>
    <t>Contact Name:</t>
  </si>
  <si>
    <t>Hao Li</t>
  </si>
  <si>
    <t>(213) 239-1914</t>
  </si>
  <si>
    <t>Type of Financing:</t>
  </si>
  <si>
    <t>Private</t>
  </si>
  <si>
    <t>Variable Rate Index (if applicable):</t>
  </si>
  <si>
    <t>Is the Lender/Source Committed?</t>
  </si>
  <si>
    <t>70 Corporate Center, 11000 Broken Land Parkway, Suite 700</t>
  </si>
  <si>
    <t>410-964-0552</t>
  </si>
  <si>
    <t xml:space="preserve">Equity, LIHTC Investor </t>
  </si>
  <si>
    <t>4429 Morena Blvd Suite A</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</si>
  <si>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</si>
  <si>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</si>
  <si>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</si>
  <si>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</si>
  <si>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</si>
  <si>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</si>
  <si>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</si>
  <si>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</si>
  <si>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</si>
  <si>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</si>
  <si>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</si>
  <si>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</si>
  <si>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</si>
  <si>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 Permanent Loan</t>
  </si>
  <si>
    <t>Residual</t>
  </si>
  <si>
    <t>Deferred Developer Fee</t>
  </si>
  <si>
    <t>Deferred</t>
  </si>
  <si>
    <t>SMC AHF 12.0</t>
  </si>
  <si>
    <t>SMC AHF 11.0</t>
  </si>
  <si>
    <t>AHP Funds</t>
  </si>
  <si>
    <t>TOTAL LI Units</t>
  </si>
  <si>
    <t>TOTAL LI Bedrooms</t>
  </si>
  <si>
    <t>manager(s)</t>
  </si>
  <si>
    <t>Required</t>
  </si>
  <si>
    <t>Total Permanent Financing:</t>
  </si>
  <si>
    <t>Total Tax Credit Equity:</t>
  </si>
  <si>
    <t>Total Sources of Project Funds:</t>
  </si>
  <si>
    <t>TOTAL Manager Units</t>
  </si>
  <si>
    <t>TOTAL Manager Bedrooms</t>
  </si>
  <si>
    <t xml:space="preserve">4429 Morena Boulevard, Suite A </t>
  </si>
  <si>
    <t>market rate</t>
  </si>
  <si>
    <t>market rate AMIs</t>
  </si>
  <si>
    <t>San Diego CA 92117</t>
  </si>
  <si>
    <t>264 Harbor Blvd, Building A</t>
  </si>
  <si>
    <t>Belmont, CA 94002-4017</t>
  </si>
  <si>
    <t>Jan Stokley</t>
  </si>
  <si>
    <t>650-802-3300</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</si>
  <si>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</si>
  <si>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</si>
  <si>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</si>
  <si>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</si>
  <si>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</si>
  <si>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</si>
  <si>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</si>
  <si>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</si>
  <si>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</si>
  <si>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</si>
  <si>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</si>
  <si>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</si>
  <si>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</si>
  <si>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</si>
  <si>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</si>
  <si>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</si>
  <si>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</si>
  <si>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</si>
  <si>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</si>
  <si>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</si>
  <si>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</si>
  <si>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</si>
  <si>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</si>
  <si>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</si>
  <si>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</si>
  <si>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</si>
  <si>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</si>
  <si>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</si>
  <si>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</si>
  <si>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</si>
  <si>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</si>
  <si>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</si>
  <si>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</si>
  <si>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</si>
  <si>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</si>
  <si>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</si>
  <si>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</si>
  <si>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</si>
  <si>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</si>
  <si>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</si>
  <si>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</si>
  <si>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</si>
  <si>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</si>
  <si>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</si>
  <si>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</si>
  <si>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</si>
  <si>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</si>
  <si>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</si>
  <si>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</si>
  <si>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</si>
  <si>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</si>
  <si>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</si>
  <si>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</si>
  <si>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</si>
  <si>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</si>
  <si>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</si>
  <si>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</si>
  <si>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</si>
  <si>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</si>
  <si>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</si>
  <si>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</si>
  <si>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</si>
  <si>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</si>
  <si>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</si>
  <si>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</si>
  <si>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</si>
  <si>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Fees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</si>
  <si>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</si>
  <si>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</si>
  <si>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</si>
  <si>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</si>
  <si>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</si>
  <si>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</si>
  <si>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</si>
  <si>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</si>
  <si>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</si>
  <si>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</si>
  <si>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</si>
  <si>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</si>
  <si>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</si>
  <si>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</si>
  <si>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</si>
  <si>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</si>
  <si>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</si>
  <si>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</si>
  <si>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</si>
  <si>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County of San Mateo</t>
  </si>
  <si>
    <t>See Regulation Section 10322(h)(21) for type of projects that are allowed to use CUAC.</t>
  </si>
  <si>
    <t>Annual Residential Operating Expenses</t>
  </si>
  <si>
    <t xml:space="preserve"> Administrative</t>
  </si>
  <si>
    <t>Advertising:</t>
  </si>
  <si>
    <t>Legal:</t>
  </si>
  <si>
    <t>Accounting/Audit:</t>
  </si>
  <si>
    <t>Security:</t>
  </si>
  <si>
    <t>Office Expenses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</si>
  <si>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</si>
  <si>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</si>
  <si>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</si>
  <si>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</si>
  <si>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</si>
  <si>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</si>
  <si>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</si>
  <si>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</si>
  <si>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</si>
  <si>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</si>
  <si>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</si>
  <si>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</si>
  <si>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</si>
  <si>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</si>
  <si>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</si>
  <si>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</si>
  <si>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</si>
  <si>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</si>
  <si>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</si>
  <si>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</si>
  <si>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</si>
  <si>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Supplies</t>
  </si>
  <si>
    <t>Total Maintenance:</t>
  </si>
  <si>
    <t>Other Operating</t>
  </si>
  <si>
    <t>Contracts</t>
  </si>
  <si>
    <t>Expenses</t>
  </si>
  <si>
    <t>Bad Debts</t>
  </si>
  <si>
    <t>Property and liability insurance</t>
  </si>
  <si>
    <t>Workers Comp, Health Ins</t>
  </si>
  <si>
    <t>Real Estate Taxes/ Misc Taxes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</si>
  <si>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</si>
  <si>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</si>
  <si>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</si>
  <si>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</si>
  <si>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</si>
  <si>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</si>
  <si>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</si>
  <si>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</si>
  <si>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</si>
  <si>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</si>
  <si>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</si>
  <si>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</si>
  <si>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</si>
  <si>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</si>
  <si>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</si>
  <si>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</si>
  <si>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</si>
  <si>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</si>
  <si>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</si>
  <si>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</si>
  <si>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</si>
  <si>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</si>
  <si>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</si>
  <si>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</si>
  <si>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</si>
  <si>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</si>
  <si>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</si>
  <si>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</si>
  <si>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</si>
  <si>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</si>
  <si>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</si>
  <si>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</si>
  <si>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</si>
  <si>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</si>
  <si>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</si>
  <si>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</si>
  <si>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</si>
  <si>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</si>
  <si>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</si>
  <si>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</si>
  <si>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</si>
  <si>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</si>
  <si>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</si>
  <si>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</si>
  <si>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</si>
  <si>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</si>
  <si>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</si>
  <si>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</si>
  <si>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</si>
  <si>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</si>
  <si>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</si>
  <si>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</si>
  <si>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</si>
  <si>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</si>
  <si>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</si>
  <si>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</si>
  <si>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LIHTC Equity</t>
  </si>
  <si>
    <t>Local:</t>
  </si>
  <si>
    <t>AHP Fund</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</si>
  <si>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</si>
  <si>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</si>
  <si>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</si>
  <si>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</si>
  <si>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</si>
  <si>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</si>
  <si>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</si>
  <si>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</si>
  <si>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</si>
  <si>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</si>
  <si>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</si>
  <si>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</si>
  <si>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</si>
  <si>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</si>
  <si>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</si>
  <si>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</si>
  <si>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</si>
  <si>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</si>
  <si>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</si>
  <si>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</si>
  <si>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</si>
  <si>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</si>
  <si>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</si>
  <si>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</si>
  <si>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</si>
  <si>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</si>
  <si>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</si>
  <si>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</si>
  <si>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</si>
  <si>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</si>
  <si>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</si>
  <si>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</si>
  <si>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</si>
  <si>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</si>
  <si>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</si>
  <si>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</si>
  <si>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SMC AHF 11.0, SMC AHF 12.0</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</si>
  <si>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</si>
  <si>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</si>
  <si>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</si>
  <si>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</si>
  <si>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</si>
  <si>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</si>
  <si>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</si>
  <si>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</si>
  <si>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</si>
  <si>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</si>
  <si>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</si>
  <si>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</si>
  <si>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</si>
  <si>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</si>
  <si>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</si>
  <si>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</si>
  <si>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</si>
  <si>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</si>
  <si>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</si>
  <si>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</si>
  <si>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</si>
  <si>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</si>
  <si>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</si>
  <si>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</si>
  <si>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</si>
  <si>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</si>
  <si>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</si>
  <si>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</si>
  <si>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</si>
  <si>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</si>
  <si>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</si>
  <si>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</si>
  <si>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</si>
  <si>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</si>
  <si>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</si>
  <si>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</si>
  <si>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</si>
  <si>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</si>
  <si>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</si>
  <si>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</si>
  <si>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</si>
  <si>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</si>
  <si>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</si>
  <si>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</si>
  <si>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</si>
  <si>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</si>
  <si>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</si>
  <si>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</si>
  <si>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</si>
  <si>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</si>
  <si>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</si>
  <si>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</si>
  <si>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</si>
  <si>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</si>
  <si>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</si>
  <si>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</si>
  <si>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</si>
  <si>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</si>
  <si>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</si>
  <si>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</si>
  <si>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</si>
  <si>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</si>
  <si>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</si>
  <si>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</si>
  <si>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</si>
  <si>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</si>
  <si>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</si>
  <si>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</si>
  <si>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</si>
  <si>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</si>
  <si>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</si>
  <si>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</si>
  <si>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</si>
  <si>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</si>
  <si>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</si>
  <si>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</si>
  <si>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</si>
  <si>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</si>
  <si>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</si>
  <si>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</si>
  <si>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</si>
  <si>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</si>
  <si>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</si>
  <si>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</si>
  <si>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</si>
  <si>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</si>
  <si>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</si>
  <si>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</si>
  <si>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</si>
  <si>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</si>
  <si>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</si>
  <si>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</si>
  <si>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</si>
  <si>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</si>
  <si>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</si>
  <si>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</si>
  <si>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</si>
  <si>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</si>
  <si>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</si>
  <si>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</si>
  <si>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</si>
  <si>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</si>
  <si>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</si>
  <si>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Employment Reporting</t>
  </si>
  <si>
    <t>Total Construction Interest &amp; Fees</t>
  </si>
  <si>
    <t>Loan Origination Fee</t>
  </si>
  <si>
    <t>Other: Legal Fees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</si>
  <si>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</si>
  <si>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</si>
  <si>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</si>
  <si>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</si>
  <si>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</si>
  <si>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</si>
  <si>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</si>
  <si>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Lender Legal, Investor Lega, Bond Issuer Legal, MGP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</si>
  <si>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</si>
  <si>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</si>
  <si>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</si>
  <si>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</si>
  <si>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</si>
  <si>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</si>
  <si>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</si>
  <si>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</si>
  <si>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</si>
  <si>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</si>
  <si>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</si>
  <si>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</si>
  <si>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</si>
  <si>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</si>
  <si>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</si>
  <si>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</si>
  <si>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</si>
  <si>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</si>
  <si>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</si>
  <si>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</si>
  <si>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</si>
  <si>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</si>
  <si>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Prevaling Wage Monitoring</t>
  </si>
  <si>
    <t>Relocation Cost</t>
  </si>
  <si>
    <t>CDLAC Fee, Misc Costs, Pre-devp Loan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</si>
  <si>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</si>
  <si>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</si>
  <si>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</si>
  <si>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</si>
  <si>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</si>
  <si>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</si>
  <si>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</si>
  <si>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</si>
  <si>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</si>
  <si>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</si>
  <si>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</si>
  <si>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</si>
  <si>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</si>
  <si>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</si>
  <si>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</si>
  <si>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</si>
  <si>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</si>
  <si>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</si>
  <si>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</si>
  <si>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</si>
  <si>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</si>
  <si>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</si>
  <si>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</si>
  <si>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</si>
  <si>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</si>
  <si>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</si>
  <si>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</si>
  <si>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</si>
  <si>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</si>
  <si>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</si>
  <si>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</si>
  <si>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</si>
  <si>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</si>
  <si>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</si>
  <si>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</si>
  <si>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</si>
  <si>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</si>
  <si>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Chief Real Estate Officer</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</si>
  <si>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</si>
  <si>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</si>
  <si>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</si>
  <si>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</si>
  <si>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</si>
  <si>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</si>
  <si>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</si>
  <si>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</si>
  <si>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</si>
  <si>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</si>
  <si>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</si>
  <si>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</si>
  <si>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</si>
  <si>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</si>
  <si>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</si>
  <si>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</si>
  <si>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</si>
  <si>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</si>
  <si>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</si>
  <si>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</si>
  <si>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</si>
  <si>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</si>
  <si>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</si>
  <si>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</si>
  <si>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</si>
  <si>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</si>
  <si>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</si>
  <si>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</si>
  <si>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</si>
  <si>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</si>
  <si>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</si>
  <si>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</si>
  <si>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</si>
  <si>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</si>
  <si>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</si>
  <si>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</si>
  <si>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</si>
  <si>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</si>
  <si>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</si>
  <si>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</si>
  <si>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</si>
  <si>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</si>
  <si>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</si>
  <si>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</si>
  <si>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</si>
  <si>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</si>
  <si>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</si>
  <si>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</si>
  <si>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</si>
  <si>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</si>
  <si>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</si>
  <si>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</si>
  <si>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</si>
  <si>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</si>
  <si>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</si>
  <si>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</si>
  <si>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</si>
  <si>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</si>
  <si>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</si>
  <si>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</si>
  <si>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</si>
  <si>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</si>
  <si>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</si>
  <si>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</si>
  <si>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</si>
  <si>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</si>
  <si>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</si>
  <si>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</si>
  <si>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</si>
  <si>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</si>
  <si>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</si>
  <si>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</si>
  <si>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</si>
  <si>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</si>
  <si>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</si>
  <si>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</si>
  <si>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</si>
  <si>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</si>
  <si>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</si>
  <si>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</si>
  <si>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</si>
  <si>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</si>
  <si>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</si>
  <si>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</si>
  <si>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</si>
  <si>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</si>
  <si>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</si>
  <si>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</si>
  <si>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</si>
  <si>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</si>
  <si>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</si>
  <si>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</si>
  <si>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</si>
  <si>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</si>
  <si>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</si>
  <si>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</si>
  <si>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</si>
  <si>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</si>
  <si>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</si>
  <si>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</si>
  <si>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</si>
  <si>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</si>
  <si>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</si>
  <si>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</si>
  <si>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</si>
  <si>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</si>
  <si>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</si>
  <si>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</si>
  <si>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</si>
  <si>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</si>
  <si>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</si>
  <si>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</si>
  <si>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</si>
  <si>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</si>
  <si>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</si>
  <si>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</si>
  <si>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</si>
  <si>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</si>
  <si>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</si>
  <si>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</si>
  <si>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</si>
  <si>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</si>
  <si>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</si>
  <si>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</si>
  <si>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</si>
  <si>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</si>
  <si>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</si>
  <si>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</si>
  <si>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</si>
  <si>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</si>
  <si>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</si>
  <si>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</si>
  <si>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County of San Mateo’s Affordable Housing Fund 12.0</t>
  </si>
  <si>
    <t>County of San Mateo’s Affordable Housing Fund 11.0 in HOME-ARP funds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</si>
  <si>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</si>
  <si>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</si>
  <si>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</si>
  <si>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</si>
  <si>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</si>
  <si>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</si>
  <si>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</si>
  <si>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</si>
  <si>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</si>
  <si>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</si>
  <si>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</si>
  <si>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</si>
  <si>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</si>
  <si>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</si>
  <si>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</si>
  <si>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</si>
  <si>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</si>
  <si>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</si>
  <si>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</si>
  <si>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</si>
  <si>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</si>
  <si>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</si>
  <si>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</si>
  <si>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</si>
  <si>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</si>
  <si>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</si>
  <si>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</si>
  <si>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</si>
  <si>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</si>
  <si>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</si>
  <si>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</si>
  <si>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</si>
  <si>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</si>
  <si>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</si>
  <si>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</si>
  <si>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</si>
  <si>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</si>
  <si>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</si>
  <si>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</si>
  <si>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</si>
  <si>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</si>
  <si>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</si>
  <si>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</si>
  <si>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</si>
  <si>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</si>
  <si>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</si>
  <si>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</si>
  <si>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</si>
  <si>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</si>
  <si>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</si>
  <si>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</si>
  <si>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</si>
  <si>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</si>
  <si>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</si>
  <si>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</si>
  <si>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</si>
  <si>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</si>
  <si>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</si>
  <si>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</si>
  <si>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</si>
  <si>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</si>
  <si>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</si>
  <si>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</si>
  <si>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</si>
  <si>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</si>
  <si>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</si>
  <si>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</si>
  <si>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</si>
  <si>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</si>
  <si>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</si>
  <si>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</si>
  <si>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</si>
  <si>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</si>
  <si>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</si>
  <si>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</si>
  <si>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</si>
  <si>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</si>
  <si>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</si>
  <si>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</si>
  <si>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</si>
  <si>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</si>
  <si>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</si>
  <si>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</si>
  <si>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</si>
  <si>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</si>
  <si>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</si>
  <si>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</si>
  <si>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</si>
  <si>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</si>
  <si>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</si>
  <si>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</si>
  <si>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</si>
  <si>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</si>
  <si>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</si>
  <si>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</si>
  <si>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</si>
  <si>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</si>
  <si>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</si>
  <si>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</si>
  <si>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</si>
  <si>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</si>
  <si>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</si>
  <si>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</si>
  <si>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</si>
  <si>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</si>
  <si>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</si>
  <si>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</si>
  <si>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</si>
  <si>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</si>
  <si>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</si>
  <si>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</si>
  <si>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</si>
  <si>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</si>
  <si>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</si>
  <si>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</si>
  <si>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</si>
  <si>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</si>
  <si>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</si>
  <si>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</si>
  <si>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</si>
  <si>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</si>
  <si>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</si>
  <si>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</si>
  <si>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</si>
  <si>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</si>
  <si>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</si>
  <si>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</si>
  <si>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</si>
  <si>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</si>
  <si>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</si>
  <si>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</si>
  <si>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</si>
  <si>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</si>
  <si>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</si>
  <si>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</si>
  <si>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</si>
  <si>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</si>
  <si>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</si>
  <si>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</si>
  <si>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</si>
  <si>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</si>
  <si>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</si>
  <si>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</si>
  <si>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</si>
  <si>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</si>
  <si>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</si>
  <si>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</si>
  <si>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</si>
  <si>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</si>
  <si>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</si>
  <si>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</si>
  <si>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</si>
  <si>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</si>
  <si>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</si>
  <si>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</si>
  <si>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</si>
  <si>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</si>
  <si>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</si>
  <si>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</si>
  <si>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</si>
  <si>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</si>
  <si>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</si>
  <si>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</si>
  <si>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</si>
  <si>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</si>
  <si>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</si>
  <si>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</si>
  <si>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</si>
  <si>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</si>
  <si>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</si>
  <si>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</si>
  <si>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</si>
  <si>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</si>
  <si>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</si>
  <si>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</si>
  <si>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</si>
  <si>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</si>
  <si>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</si>
  <si>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</si>
  <si>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</si>
  <si>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</si>
  <si>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</si>
  <si>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</si>
  <si>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</si>
  <si>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</si>
  <si>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</si>
  <si>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</si>
  <si>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</si>
  <si>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</si>
  <si>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</si>
  <si>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</si>
  <si>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</si>
  <si>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</si>
  <si>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</si>
  <si>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</si>
  <si>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</si>
  <si>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</si>
  <si>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</si>
  <si>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</si>
  <si>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</si>
  <si>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</si>
  <si>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</si>
  <si>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</si>
  <si>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</si>
  <si>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</si>
  <si>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</si>
  <si>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</si>
  <si>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</si>
  <si>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</si>
  <si>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</si>
  <si>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</si>
  <si>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</si>
  <si>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</si>
  <si>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</si>
  <si>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</si>
  <si>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</si>
  <si>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</si>
  <si>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</si>
  <si>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</si>
  <si>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</si>
  <si>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</si>
  <si>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</si>
  <si>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</si>
  <si>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</si>
  <si>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</si>
  <si>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</si>
  <si>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</si>
  <si>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</si>
  <si>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</si>
  <si>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</si>
  <si>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</si>
  <si>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</si>
  <si>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</si>
  <si>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</si>
  <si>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</si>
  <si>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</si>
  <si>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</si>
  <si>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</si>
  <si>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</si>
  <si>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</si>
  <si>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</si>
  <si>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</si>
  <si>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</si>
  <si>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</si>
  <si>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</si>
  <si>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</si>
  <si>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</si>
  <si>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</si>
  <si>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</si>
  <si>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</si>
  <si>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</si>
  <si>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</si>
  <si>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</si>
  <si>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</si>
  <si>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</si>
  <si>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</si>
  <si>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</si>
  <si>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</si>
  <si>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</si>
  <si>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</si>
  <si>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</si>
  <si>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</si>
  <si>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</si>
  <si>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</si>
  <si>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</si>
  <si>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</si>
  <si>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</si>
  <si>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</si>
  <si>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</si>
  <si>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</si>
  <si>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</si>
  <si>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</si>
  <si>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</si>
  <si>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</si>
  <si>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</si>
  <si>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</si>
  <si>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</si>
  <si>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</si>
  <si>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</si>
  <si>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</si>
  <si>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</si>
  <si>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</si>
  <si>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</si>
  <si>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</si>
  <si>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</si>
  <si>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</si>
  <si>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</si>
  <si>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</si>
  <si>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</si>
  <si>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</si>
  <si>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</si>
  <si>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</si>
  <si>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</si>
  <si>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</si>
  <si>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</si>
  <si>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</si>
  <si>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</si>
  <si>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</si>
  <si>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</si>
  <si>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</si>
  <si>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</si>
  <si>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</si>
  <si>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</si>
  <si>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</si>
  <si>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</si>
  <si>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</si>
  <si>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</si>
  <si>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</si>
  <si>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</si>
  <si>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</si>
  <si>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</si>
  <si>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</si>
  <si>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</si>
  <si>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</si>
  <si>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</si>
  <si>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</si>
  <si>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</si>
  <si>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</si>
  <si>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</si>
  <si>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</si>
  <si>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</si>
  <si>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</si>
  <si>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</si>
  <si>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</si>
  <si>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</si>
  <si>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</si>
  <si>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</si>
  <si>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</si>
  <si>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</si>
  <si>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</si>
  <si>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</si>
  <si>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</si>
  <si>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</si>
  <si>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</si>
  <si>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</si>
  <si>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</si>
  <si>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</si>
  <si>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</si>
  <si>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</si>
  <si>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</si>
  <si>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</si>
  <si>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</si>
  <si>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</si>
  <si>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</si>
  <si>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</si>
  <si>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</si>
  <si>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</si>
  <si>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</si>
  <si>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</si>
  <si>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</si>
  <si>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</si>
  <si>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</si>
  <si>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</si>
  <si>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</si>
  <si>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</si>
  <si>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</si>
  <si>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</si>
  <si>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</si>
  <si>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</si>
  <si>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</si>
  <si>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</si>
  <si>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</si>
  <si>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</si>
  <si>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</si>
  <si>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</si>
  <si>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</si>
  <si>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</si>
  <si>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</si>
  <si>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</si>
  <si>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</si>
  <si>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</si>
  <si>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</si>
  <si>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</si>
  <si>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</si>
  <si>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</si>
  <si>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</si>
  <si>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</si>
  <si>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</si>
  <si>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</si>
  <si>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</si>
  <si>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</si>
  <si>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</si>
  <si>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</si>
  <si>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</si>
  <si>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</si>
  <si>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</si>
  <si>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</si>
  <si>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</si>
  <si>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</si>
  <si>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</si>
  <si>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</si>
  <si>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</si>
  <si>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</si>
  <si>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</si>
  <si>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</si>
  <si>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</si>
  <si>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</si>
  <si>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</si>
  <si>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</si>
  <si>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</si>
  <si>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</si>
  <si>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</si>
  <si>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</si>
  <si>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</si>
  <si>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</si>
  <si>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</si>
  <si>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</si>
  <si>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</si>
  <si>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</si>
  <si>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</si>
  <si>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</si>
  <si>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</si>
  <si>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</si>
  <si>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</si>
  <si>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</si>
  <si>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</si>
  <si>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</si>
  <si>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</si>
  <si>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</si>
  <si>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</si>
  <si>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</si>
  <si>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County of San Mateo’s Affordable Housing Fund 11.0 &amp; County of San Mateo’s Affordable Housing Fund 12.0</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</si>
  <si>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</si>
  <si>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</si>
  <si>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</si>
  <si>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</si>
  <si>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</si>
  <si>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</si>
  <si>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</si>
  <si>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</si>
  <si>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</si>
  <si>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</si>
  <si>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</si>
  <si>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</si>
  <si>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</si>
  <si>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</si>
  <si>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</si>
  <si>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</si>
  <si>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</si>
  <si>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</si>
  <si>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</si>
  <si>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</si>
  <si>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</si>
  <si>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</si>
  <si>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</si>
  <si>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</si>
  <si>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</si>
  <si>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</si>
  <si>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</si>
  <si>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</si>
  <si>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</si>
  <si>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</si>
  <si>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</si>
  <si>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</si>
  <si>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</si>
  <si>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</si>
  <si>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</si>
  <si>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</si>
  <si>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</si>
  <si>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</si>
  <si>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</si>
  <si>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</si>
  <si>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</si>
  <si>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</si>
  <si>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</si>
  <si>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</si>
  <si>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</si>
  <si>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</si>
  <si>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</si>
  <si>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</si>
  <si>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</si>
  <si>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</si>
  <si>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</si>
  <si>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</si>
  <si>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</si>
  <si>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</si>
  <si>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</si>
  <si>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</si>
  <si>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</si>
  <si>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</si>
  <si>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</si>
  <si>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</si>
  <si>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</si>
  <si>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</si>
  <si>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</si>
  <si>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</si>
  <si>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</si>
  <si>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</si>
  <si>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</si>
  <si>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</si>
  <si>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</si>
  <si>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</si>
  <si>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</si>
  <si>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</si>
  <si>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</si>
  <si>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</si>
  <si>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</si>
  <si>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</si>
  <si>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</si>
  <si>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</si>
  <si>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</si>
  <si>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</si>
  <si>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</si>
  <si>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</si>
  <si>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</si>
  <si>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</si>
  <si>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</si>
  <si>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</si>
  <si>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</si>
  <si>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</si>
  <si>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</si>
  <si>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</si>
  <si>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</si>
  <si>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</si>
  <si>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</si>
  <si>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</si>
  <si>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</si>
  <si>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</si>
  <si>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</si>
  <si>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</si>
  <si>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</si>
  <si>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</si>
  <si>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</si>
  <si>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</si>
  <si>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</si>
  <si>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</si>
  <si>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</si>
  <si>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</si>
  <si>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</si>
  <si>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</si>
  <si>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</si>
  <si>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</si>
  <si>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</si>
  <si>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</si>
  <si>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</si>
  <si>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</si>
  <si>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</si>
  <si>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</si>
  <si>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</si>
  <si>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</si>
  <si>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</si>
  <si>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</si>
  <si>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</si>
  <si>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</si>
  <si>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</si>
  <si>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</si>
  <si>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</si>
  <si>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</si>
  <si>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</si>
  <si>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</si>
  <si>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</si>
  <si>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</si>
  <si>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</si>
  <si>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</si>
  <si>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</si>
  <si>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</si>
  <si>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</si>
  <si>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</si>
  <si>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</si>
  <si>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</si>
  <si>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</si>
  <si>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</si>
  <si>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</si>
  <si>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</si>
  <si>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</si>
  <si>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</si>
  <si>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</si>
  <si>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</si>
  <si>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</si>
  <si>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</si>
  <si>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</si>
  <si>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</si>
  <si>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</si>
  <si>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</si>
  <si>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</si>
  <si>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</si>
  <si>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</si>
  <si>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</si>
  <si>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</si>
  <si>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</si>
  <si>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</si>
  <si>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</si>
  <si>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</si>
  <si>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</si>
  <si>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</si>
  <si>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</si>
  <si>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</si>
  <si>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</si>
  <si>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</si>
  <si>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</si>
  <si>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</si>
  <si>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</si>
  <si>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</si>
  <si>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</si>
  <si>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</si>
  <si>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</si>
  <si>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</si>
  <si>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</si>
  <si>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</si>
  <si>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</si>
  <si>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</si>
  <si>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</si>
  <si>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</si>
  <si>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</si>
  <si>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</si>
  <si>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</si>
  <si>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</si>
  <si>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</si>
  <si>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</si>
  <si>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</si>
  <si>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</si>
  <si>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</si>
  <si>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</si>
  <si>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</si>
  <si>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</si>
  <si>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</si>
  <si>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</si>
  <si>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</si>
  <si>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</si>
  <si>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</si>
  <si>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</si>
  <si>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</si>
  <si>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</si>
  <si>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</si>
  <si>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</si>
  <si>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</si>
  <si>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</si>
  <si>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</si>
  <si>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</si>
  <si>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</si>
  <si>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</si>
  <si>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</si>
  <si>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</si>
  <si>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</si>
  <si>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</si>
  <si>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</si>
  <si>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</si>
  <si>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</si>
  <si>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</si>
  <si>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</si>
  <si>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</si>
  <si>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</si>
  <si>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</si>
  <si>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</si>
  <si>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</si>
  <si>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</si>
  <si>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</si>
  <si>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</si>
  <si>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</si>
  <si>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</si>
  <si>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</si>
  <si>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</si>
  <si>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</si>
  <si>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</si>
  <si>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</si>
  <si>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</si>
  <si>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</si>
  <si>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</si>
  <si>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</si>
  <si>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</si>
  <si>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</si>
  <si>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</si>
  <si>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</si>
  <si>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</si>
  <si>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</si>
  <si>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</si>
  <si>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</si>
  <si>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</si>
  <si>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</si>
  <si>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</si>
  <si>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</si>
  <si>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</si>
  <si>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</si>
  <si>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</si>
  <si>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</si>
  <si>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</si>
  <si>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</si>
  <si>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</si>
  <si>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</si>
  <si>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</si>
  <si>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</si>
  <si>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</si>
  <si>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</si>
  <si>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</si>
  <si>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</si>
  <si>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</si>
  <si>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</si>
  <si>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</si>
  <si>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</si>
  <si>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</si>
  <si>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</si>
  <si>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</si>
  <si>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</si>
  <si>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</si>
  <si>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</si>
  <si>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</si>
  <si>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</si>
  <si>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</si>
  <si>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</si>
  <si>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</si>
  <si>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</si>
  <si>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</si>
  <si>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</si>
  <si>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</si>
  <si>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</si>
  <si>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</si>
  <si>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</si>
  <si>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</si>
  <si>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</si>
  <si>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</si>
  <si>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</si>
  <si>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</si>
  <si>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</si>
  <si>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</si>
  <si>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</si>
  <si>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</si>
  <si>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</si>
  <si>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</si>
  <si>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</si>
  <si>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</si>
  <si>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</si>
  <si>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</si>
  <si>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</si>
  <si>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</si>
  <si>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</si>
  <si>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</si>
  <si>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</si>
  <si>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</si>
  <si>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</si>
  <si>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</si>
  <si>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</si>
  <si>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</si>
  <si>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CRP Affordable Housing and Community Development CA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</si>
</sst>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_-;\-* #,##0.00_-;_-* &quot;-&quot;??_-;_-@_-"/>
  </numFmts>
  <fonts count="1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i/>
      <sz val="11"/>
      <name val="Arial"/>
      <family val="2"/>
    </font>
    <font>
      <b/>
      <sz val="12"/>
      <color theme="1"/>
      <name val="Arial"/>
      <family val="2"/>
    </font>
    <font>
      <u/>
      <sz val="11"/>
      <color theme="10"/>
      <name val="Arial"/>
      <family val="2"/>
    </font>
    <font>
      <u/>
      <sz val="7.5"/>
      <color indexed="12"/>
      <name val="Arial"/>
      <family val="2"/>
    </font>
    <font>
      <sz val="11"/>
      <color rgb="FF9C0006"/>
      <name val="Arial"/>
      <family val="2"/>
    </font>
    <font>
      <sz val="11"/>
      <color rgb="FF006100"/>
      <name val="Arial"/>
      <family val="2"/>
    </font>
    <font>
      <u/>
      <sz val="10"/>
      <color theme="10"/>
      <name val="Arial"/>
      <family val="2"/>
    </font>
    <font>
      <sz val="11"/>
      <color rgb="FF9C6500"/>
      <name val="Arial"/>
      <family val="2"/>
    </font>
    <font>
      <u/>
      <sz val="11"/>
      <color theme="10"/>
      <name val="Calibri"/>
      <family val="2"/>
      <scheme val="minor"/>
    </font>
    <font>
      <sz val="11"/>
      <color indexed="8"/>
      <name val="Arial"/>
      <family val="2"/>
    </font>
    <font>
      <b/>
      <sz val="11"/>
      <color indexed="8"/>
      <name val="Arial"/>
      <family val="2"/>
    </font>
    <font>
      <sz val="20"/>
      <color indexed="9"/>
      <name val="Calibri"/>
      <family val="2"/>
    </font>
    <font>
      <u/>
      <sz val="11"/>
      <color indexed="12"/>
      <name val="Calibri"/>
      <family val="2"/>
    </font>
    <font>
      <sz val="12"/>
      <color theme="1"/>
      <name val="Calibri"/>
      <family val="2"/>
      <scheme val="minor"/>
    </font>
    <font>
      <sz val="12"/>
      <name val="Arial MT"/>
    </font>
  </fonts>
  <fills count="64">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theme="8" tint="0.79998168889431442"/>
        <bgColor indexed="64"/>
      </patternFill>
    </fill>
    <fill>
      <patternFill patternType="solid">
        <fgColor theme="0" tint="-0.14996795556505021"/>
        <bgColor indexed="64"/>
      </patternFill>
    </fill>
    <fill>
      <patternFill patternType="solid">
        <fgColor indexed="26"/>
        <bgColor indexed="64"/>
      </patternFill>
    </fill>
    <fill>
      <patternFill patternType="solid">
        <fgColor indexed="27"/>
        <bgColor indexed="64"/>
      </patternFill>
    </fill>
    <fill>
      <patternFill patternType="solid">
        <fgColor indexed="45"/>
        <bgColor indexed="64"/>
      </patternFill>
    </fill>
    <fill>
      <patternFill patternType="solid">
        <fgColor indexed="49"/>
        <bgColor indexed="64"/>
      </patternFill>
    </fill>
    <fill>
      <patternFill patternType="solid">
        <fgColor indexed="8"/>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4221">
    <xf numFmtId="0" fontId="0" fillId="0" borderId="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6" fillId="36" borderId="18" applyNumberFormat="0" applyAlignment="0" applyProtection="0"/>
    <xf numFmtId="0" fontId="76" fillId="36" borderId="18" applyNumberFormat="0" applyAlignment="0" applyProtection="0"/>
    <xf numFmtId="0" fontId="77" fillId="37" borderId="19" applyNumberFormat="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50"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4" fontId="6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66" fillId="0" borderId="0" applyFont="0" applyFill="0" applyBorder="0" applyAlignment="0" applyProtection="0"/>
    <xf numFmtId="44" fontId="23"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alignment vertical="top"/>
    </xf>
    <xf numFmtId="44" fontId="50" fillId="0" borderId="0" applyFont="0" applyFill="0" applyBorder="0" applyAlignment="0" applyProtection="0">
      <alignment vertical="top"/>
    </xf>
    <xf numFmtId="44" fontId="23" fillId="0" borderId="0" applyFont="0" applyFill="0" applyBorder="0" applyAlignment="0" applyProtection="0"/>
    <xf numFmtId="44" fontId="50" fillId="0" borderId="0" applyFont="0" applyFill="0" applyBorder="0" applyAlignment="0" applyProtection="0">
      <alignment vertical="top"/>
    </xf>
    <xf numFmtId="44" fontId="50"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0" fillId="0" borderId="0" applyFont="0" applyFill="0" applyBorder="0" applyAlignment="0" applyProtection="0"/>
    <xf numFmtId="44" fontId="5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23" fillId="0" borderId="0" applyFont="0" applyFill="0" applyBorder="0" applyAlignment="0" applyProtection="0"/>
    <xf numFmtId="44" fontId="6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4" fillId="0" borderId="0" applyFont="0" applyFill="0" applyBorder="0" applyAlignment="0" applyProtection="0"/>
    <xf numFmtId="44" fontId="23" fillId="0" borderId="0" applyFont="0" applyFill="0" applyBorder="0" applyAlignment="0" applyProtection="0"/>
    <xf numFmtId="0" fontId="78" fillId="0" borderId="0" applyNumberFormat="0" applyFill="0" applyBorder="0" applyAlignment="0" applyProtection="0"/>
    <xf numFmtId="0" fontId="79" fillId="38" borderId="0" applyNumberFormat="0" applyBorder="0" applyAlignment="0" applyProtection="0"/>
    <xf numFmtId="0" fontId="80" fillId="0" borderId="20"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70" fillId="0" borderId="0" applyNumberFormat="0" applyFill="0" applyBorder="0" applyAlignment="0" applyProtection="0">
      <alignment vertical="top"/>
      <protection locked="0"/>
    </xf>
    <xf numFmtId="0" fontId="8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84" fillId="0" borderId="23" applyNumberFormat="0" applyFill="0" applyAlignment="0" applyProtection="0"/>
    <xf numFmtId="0" fontId="85" fillId="40" borderId="0" applyNumberFormat="0" applyBorder="0" applyAlignment="0" applyProtection="0"/>
    <xf numFmtId="0" fontId="86" fillId="0" borderId="0"/>
    <xf numFmtId="0" fontId="50" fillId="0" borderId="0"/>
    <xf numFmtId="0" fontId="86" fillId="0" borderId="0"/>
    <xf numFmtId="0" fontId="50" fillId="0" borderId="0"/>
    <xf numFmtId="0" fontId="50"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87" fillId="0" borderId="0"/>
    <xf numFmtId="0" fontId="50" fillId="0" borderId="0"/>
    <xf numFmtId="169" fontId="51" fillId="0" borderId="0"/>
    <xf numFmtId="0" fontId="73" fillId="0" borderId="0"/>
    <xf numFmtId="0" fontId="23" fillId="0" borderId="0"/>
    <xf numFmtId="0" fontId="23" fillId="0" borderId="0"/>
    <xf numFmtId="0" fontId="56" fillId="0" borderId="0"/>
    <xf numFmtId="0" fontId="50" fillId="0" borderId="0"/>
    <xf numFmtId="0" fontId="56" fillId="0" borderId="0"/>
    <xf numFmtId="0" fontId="50" fillId="0" borderId="0"/>
    <xf numFmtId="0" fontId="61" fillId="0" borderId="0"/>
    <xf numFmtId="0" fontId="50"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1" fillId="0" borderId="0"/>
    <xf numFmtId="0" fontId="73" fillId="0" borderId="0"/>
    <xf numFmtId="0" fontId="73" fillId="0" borderId="0"/>
    <xf numFmtId="0" fontId="73"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0" fillId="0" borderId="0"/>
    <xf numFmtId="0" fontId="73" fillId="0" borderId="0"/>
    <xf numFmtId="0" fontId="73" fillId="0" borderId="0"/>
    <xf numFmtId="0" fontId="73" fillId="0" borderId="0"/>
    <xf numFmtId="0" fontId="73" fillId="0" borderId="0"/>
    <xf numFmtId="0" fontId="61" fillId="0" borderId="0"/>
    <xf numFmtId="0" fontId="50" fillId="0" borderId="0">
      <alignment vertical="top"/>
    </xf>
    <xf numFmtId="0" fontId="73" fillId="0" borderId="0"/>
    <xf numFmtId="0" fontId="73" fillId="0" borderId="0"/>
    <xf numFmtId="0" fontId="73" fillId="0" borderId="0"/>
    <xf numFmtId="0" fontId="73" fillId="0" borderId="0"/>
    <xf numFmtId="0" fontId="61" fillId="0" borderId="0"/>
    <xf numFmtId="0" fontId="23" fillId="0" borderId="0"/>
    <xf numFmtId="0" fontId="73" fillId="0" borderId="0"/>
    <xf numFmtId="0" fontId="23" fillId="0" borderId="0"/>
    <xf numFmtId="0" fontId="73" fillId="0" borderId="0"/>
    <xf numFmtId="0" fontId="73" fillId="0" borderId="0"/>
    <xf numFmtId="0" fontId="73" fillId="0" borderId="0"/>
    <xf numFmtId="0" fontId="73" fillId="0" borderId="0"/>
    <xf numFmtId="0" fontId="56" fillId="0" borderId="0"/>
    <xf numFmtId="0" fontId="50" fillId="0" borderId="0">
      <alignment vertical="top"/>
    </xf>
    <xf numFmtId="0" fontId="56" fillId="0" borderId="0"/>
    <xf numFmtId="0" fontId="50" fillId="0" borderId="0">
      <alignment vertical="top"/>
    </xf>
    <xf numFmtId="0" fontId="50" fillId="0" borderId="0">
      <alignment vertical="top"/>
    </xf>
    <xf numFmtId="0" fontId="73" fillId="0" borderId="0"/>
    <xf numFmtId="0" fontId="56"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50" fillId="0" borderId="0">
      <alignment vertical="top"/>
    </xf>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0" fillId="0" borderId="0"/>
    <xf numFmtId="0" fontId="50" fillId="0" borderId="0">
      <alignment vertical="top"/>
    </xf>
    <xf numFmtId="0" fontId="50" fillId="0" borderId="0">
      <alignment vertical="top"/>
    </xf>
    <xf numFmtId="0" fontId="50" fillId="0" borderId="0"/>
    <xf numFmtId="0" fontId="50" fillId="0" borderId="0">
      <alignment vertical="top"/>
    </xf>
    <xf numFmtId="0" fontId="50" fillId="0" borderId="0"/>
    <xf numFmtId="0" fontId="5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14" fillId="0" borderId="0" applyProtection="0">
      <protection locked="0"/>
    </xf>
    <xf numFmtId="0" fontId="23" fillId="0" borderId="0" applyProtection="0">
      <protection locked="0"/>
    </xf>
    <xf numFmtId="0" fontId="23" fillId="0" borderId="0" applyProtection="0">
      <protection locked="0"/>
    </xf>
    <xf numFmtId="0" fontId="51" fillId="0" borderId="0"/>
    <xf numFmtId="0" fontId="14" fillId="0" borderId="0"/>
    <xf numFmtId="0" fontId="65"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65"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88" fillId="36" borderId="25" applyNumberFormat="0" applyAlignment="0" applyProtection="0"/>
    <xf numFmtId="0" fontId="88" fillId="36" borderId="25" applyNumberFormat="0" applyAlignment="0" applyProtection="0"/>
    <xf numFmtId="0" fontId="19" fillId="0" borderId="0" applyNumberFormat="0" applyFill="0" applyBorder="0">
      <alignment horizontal="left"/>
    </xf>
    <xf numFmtId="0" fontId="89" fillId="0" borderId="0" applyNumberFormat="0" applyFill="0" applyBorder="0" applyAlignment="0" applyProtection="0"/>
    <xf numFmtId="0" fontId="90" fillId="0" borderId="26" applyNumberFormat="0" applyFill="0" applyAlignment="0" applyProtection="0"/>
    <xf numFmtId="0" fontId="90" fillId="0" borderId="26" applyNumberFormat="0" applyFill="0" applyAlignment="0" applyProtection="0"/>
    <xf numFmtId="0" fontId="9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4" fontId="98"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9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08" fillId="0" borderId="0" applyFont="0" applyFill="0" applyBorder="0" applyAlignment="0" applyProtection="0"/>
    <xf numFmtId="0" fontId="10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4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5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4"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7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67" fillId="58" borderId="11">
      <alignment horizontal="left" vertical="center" wrapText="1"/>
    </xf>
    <xf numFmtId="0" fontId="6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4" fillId="0" borderId="0"/>
    <xf numFmtId="0" fontId="14" fillId="0" borderId="0"/>
    <xf numFmtId="0" fontId="15" fillId="0" borderId="0" applyNumberFormat="0" applyFill="0" applyBorder="0" applyAlignment="0" applyProtection="0"/>
    <xf numFmtId="0" fontId="180" fillId="0" borderId="0"/>
    <xf numFmtId="0" fontId="14" fillId="0" borderId="0"/>
    <xf numFmtId="43" fontId="1" fillId="0" borderId="0" applyFont="0" applyFill="0" applyBorder="0" applyAlignment="0" applyProtection="0"/>
    <xf numFmtId="2" fontId="176" fillId="59" borderId="11">
      <alignment horizontal="left" vertical="center"/>
      <protection locked="0"/>
    </xf>
    <xf numFmtId="0" fontId="65" fillId="0" borderId="0"/>
    <xf numFmtId="168" fontId="176" fillId="59" borderId="11">
      <alignment horizontal="left" vertical="top" wrapText="1" indent="2"/>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65" fillId="0" borderId="0"/>
    <xf numFmtId="9" fontId="1" fillId="0" borderId="0" applyFont="0" applyFill="0" applyBorder="0" applyAlignment="0" applyProtection="0"/>
    <xf numFmtId="0" fontId="179" fillId="0" borderId="0" applyNumberFormat="0" applyFill="0" applyBorder="0" applyAlignment="0" applyProtection="0"/>
    <xf numFmtId="0" fontId="14" fillId="0" borderId="0"/>
    <xf numFmtId="0" fontId="65" fillId="0" borderId="0"/>
    <xf numFmtId="0" fontId="177" fillId="60" borderId="11">
      <alignment horizontal="left" vertical="center" wrapText="1"/>
    </xf>
    <xf numFmtId="0" fontId="86" fillId="49" borderId="11" applyNumberFormat="0">
      <alignment horizontal="left" vertical="top" wrapText="1"/>
      <protection locked="0"/>
    </xf>
    <xf numFmtId="0" fontId="14" fillId="0" borderId="0"/>
    <xf numFmtId="44" fontId="14" fillId="0" borderId="0" applyFont="0" applyFill="0" applyBorder="0" applyAlignment="0" applyProtection="0"/>
    <xf numFmtId="0" fontId="65" fillId="0" borderId="0"/>
    <xf numFmtId="2" fontId="176" fillId="59" borderId="11">
      <alignment horizontal="left" vertical="center"/>
      <protection locked="0"/>
    </xf>
    <xf numFmtId="0" fontId="1" fillId="0" borderId="0"/>
    <xf numFmtId="0" fontId="53" fillId="62" borderId="11">
      <alignment horizontal="center" vertical="center"/>
    </xf>
    <xf numFmtId="0" fontId="86" fillId="57" borderId="11">
      <alignment horizontal="left" vertical="center" wrapText="1"/>
    </xf>
    <xf numFmtId="0" fontId="65" fillId="0" borderId="0"/>
    <xf numFmtId="0" fontId="14" fillId="0" borderId="0"/>
    <xf numFmtId="0" fontId="86" fillId="57" borderId="11">
      <alignment horizontal="left" vertical="center" wrapText="1"/>
    </xf>
    <xf numFmtId="0" fontId="65" fillId="0" borderId="0"/>
    <xf numFmtId="0" fontId="171" fillId="35" borderId="0" applyNumberFormat="0" applyBorder="0" applyAlignment="0" applyProtection="0"/>
    <xf numFmtId="43" fontId="1" fillId="0" borderId="0" applyFont="0" applyFill="0" applyBorder="0" applyAlignment="0" applyProtection="0"/>
    <xf numFmtId="0" fontId="1" fillId="0" borderId="0"/>
    <xf numFmtId="0" fontId="14" fillId="0" borderId="0"/>
    <xf numFmtId="0" fontId="65" fillId="0" borderId="0"/>
    <xf numFmtId="0" fontId="57" fillId="0" borderId="0" applyNumberFormat="0" applyFill="0" applyBorder="0" applyAlignment="0" applyProtection="0"/>
    <xf numFmtId="0" fontId="86" fillId="57" borderId="11">
      <alignment horizontal="left" vertical="center" wrapText="1"/>
    </xf>
    <xf numFmtId="0" fontId="65" fillId="0" borderId="0"/>
    <xf numFmtId="0" fontId="50" fillId="0" borderId="0">
      <alignment vertical="top"/>
    </xf>
    <xf numFmtId="0" fontId="1" fillId="0" borderId="0"/>
    <xf numFmtId="0" fontId="50" fillId="0" borderId="0"/>
    <xf numFmtId="0" fontId="65" fillId="0" borderId="0"/>
    <xf numFmtId="0" fontId="86" fillId="57" borderId="11">
      <alignment horizontal="left" vertical="center" wrapText="1"/>
    </xf>
    <xf numFmtId="0" fontId="65" fillId="0" borderId="0"/>
    <xf numFmtId="0" fontId="1" fillId="0" borderId="0"/>
    <xf numFmtId="0" fontId="14" fillId="0" borderId="0"/>
    <xf numFmtId="0" fontId="177" fillId="60" borderId="11">
      <alignment horizontal="left" vertical="center" wrapText="1"/>
    </xf>
    <xf numFmtId="0" fontId="174" fillId="40" borderId="0" applyNumberFormat="0" applyBorder="0" applyAlignment="0" applyProtection="0"/>
    <xf numFmtId="0" fontId="169" fillId="0" borderId="0" applyNumberFormat="0" applyFill="0" applyBorder="0" applyAlignment="0" applyProtection="0">
      <alignment horizontal="left" vertical="center"/>
    </xf>
    <xf numFmtId="10" fontId="176" fillId="59" borderId="11">
      <alignment horizontal="left" vertical="center"/>
      <protection locked="0"/>
    </xf>
    <xf numFmtId="0" fontId="1" fillId="0" borderId="0"/>
    <xf numFmtId="0" fontId="172" fillId="38" borderId="0" applyNumberFormat="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5" fillId="0" borderId="0" applyNumberFormat="0" applyFill="0" applyBorder="0" applyAlignment="0" applyProtection="0"/>
    <xf numFmtId="0" fontId="1" fillId="0" borderId="0"/>
    <xf numFmtId="0" fontId="176" fillId="60" borderId="11">
      <alignment horizontal="left" vertical="center" wrapText="1"/>
    </xf>
    <xf numFmtId="0" fontId="65" fillId="0" borderId="0"/>
    <xf numFmtId="0" fontId="65" fillId="0" borderId="0"/>
    <xf numFmtId="0" fontId="86" fillId="49" borderId="11" applyNumberFormat="0">
      <alignment horizontal="left" vertical="top" wrapText="1"/>
      <protection locked="0"/>
    </xf>
    <xf numFmtId="0" fontId="176" fillId="60" borderId="11">
      <alignment horizontal="left" vertical="center" wrapText="1"/>
    </xf>
    <xf numFmtId="0" fontId="65" fillId="0" borderId="0"/>
    <xf numFmtId="9" fontId="86" fillId="0" borderId="0" applyFont="0" applyFill="0" applyBorder="0" applyAlignment="0" applyProtection="0"/>
    <xf numFmtId="0" fontId="86" fillId="49" borderId="11" applyNumberFormat="0">
      <alignment horizontal="left" vertical="top" wrapText="1"/>
      <protection locked="0"/>
    </xf>
    <xf numFmtId="43" fontId="50" fillId="0" borderId="0" applyFont="0" applyFill="0" applyBorder="0" applyAlignment="0" applyProtection="0"/>
    <xf numFmtId="0" fontId="1" fillId="0" borderId="0"/>
    <xf numFmtId="0" fontId="50" fillId="0" borderId="0"/>
    <xf numFmtId="0" fontId="176" fillId="60" borderId="11">
      <alignment horizontal="left" vertical="center" wrapText="1"/>
    </xf>
    <xf numFmtId="0" fontId="14" fillId="0" borderId="0"/>
    <xf numFmtId="0" fontId="1" fillId="0" borderId="0"/>
    <xf numFmtId="0" fontId="14"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57" fillId="61" borderId="0">
      <alignment horizontal="center"/>
    </xf>
    <xf numFmtId="43" fontId="65" fillId="0" borderId="0" applyFont="0" applyFill="0" applyBorder="0" applyAlignment="0" applyProtection="0"/>
    <xf numFmtId="0" fontId="1" fillId="0" borderId="0"/>
    <xf numFmtId="0" fontId="86" fillId="0" borderId="0"/>
    <xf numFmtId="0" fontId="179" fillId="0" borderId="0" applyNumberFormat="0" applyFill="0" applyBorder="0" applyAlignment="0" applyProtection="0"/>
    <xf numFmtId="0" fontId="65" fillId="0" borderId="0"/>
    <xf numFmtId="0" fontId="86" fillId="49" borderId="11" applyNumberFormat="0">
      <alignment horizontal="left" vertical="top" wrapText="1"/>
      <protection locked="0"/>
    </xf>
    <xf numFmtId="0" fontId="14" fillId="0" borderId="0"/>
    <xf numFmtId="0" fontId="14" fillId="0" borderId="0"/>
    <xf numFmtId="0" fontId="65" fillId="0" borderId="0"/>
    <xf numFmtId="0" fontId="61" fillId="0" borderId="0"/>
    <xf numFmtId="37" fontId="181" fillId="0" borderId="0"/>
    <xf numFmtId="0" fontId="14" fillId="0" borderId="0"/>
    <xf numFmtId="44" fontId="50" fillId="0" borderId="0" applyFont="0" applyFill="0" applyBorder="0" applyAlignment="0" applyProtection="0"/>
    <xf numFmtId="0" fontId="168" fillId="0" borderId="0" applyNumberFormat="0" applyFill="0" applyBorder="0" applyProtection="0">
      <alignment horizontal="center" vertical="center"/>
    </xf>
    <xf numFmtId="0" fontId="65" fillId="0" borderId="0"/>
    <xf numFmtId="0" fontId="86" fillId="57" borderId="11">
      <alignment horizontal="left" vertical="center" wrapText="1"/>
    </xf>
    <xf numFmtId="0" fontId="65" fillId="0" borderId="0"/>
    <xf numFmtId="0" fontId="14" fillId="0" borderId="0"/>
    <xf numFmtId="9" fontId="14" fillId="0" borderId="0" applyFont="0" applyFill="0" applyBorder="0" applyAlignment="0" applyProtection="0"/>
    <xf numFmtId="0" fontId="125" fillId="57" borderId="11">
      <alignment horizontal="left" vertical="center" wrapText="1"/>
    </xf>
    <xf numFmtId="0" fontId="65" fillId="0" borderId="0"/>
    <xf numFmtId="0" fontId="56" fillId="0" borderId="0"/>
    <xf numFmtId="0" fontId="167" fillId="2" borderId="11">
      <alignment horizontal="left" vertical="center" wrapText="1"/>
    </xf>
    <xf numFmtId="0" fontId="14" fillId="0" borderId="0"/>
    <xf numFmtId="0" fontId="14" fillId="0" borderId="0"/>
    <xf numFmtId="0" fontId="125" fillId="57" borderId="11">
      <alignment horizontal="left" vertical="center" wrapText="1"/>
    </xf>
    <xf numFmtId="43" fontId="180" fillId="0" borderId="0" applyFont="0" applyFill="0" applyBorder="0" applyAlignment="0" applyProtection="0"/>
    <xf numFmtId="0" fontId="14" fillId="0" borderId="0"/>
    <xf numFmtId="0" fontId="176" fillId="60" borderId="11">
      <alignment horizontal="left" vertical="center" wrapText="1"/>
    </xf>
    <xf numFmtId="0" fontId="167" fillId="2" borderId="11">
      <alignment horizontal="left" vertical="center" wrapText="1"/>
    </xf>
    <xf numFmtId="0" fontId="15" fillId="0" borderId="0" applyNumberFormat="0" applyFill="0" applyBorder="0" applyAlignment="0" applyProtection="0"/>
    <xf numFmtId="0" fontId="110" fillId="0" borderId="0"/>
    <xf numFmtId="0" fontId="14" fillId="0" borderId="0"/>
    <xf numFmtId="9" fontId="14" fillId="0" borderId="0" applyFont="0" applyFill="0" applyBorder="0" applyAlignment="0" applyProtection="0"/>
    <xf numFmtId="0" fontId="170" fillId="0" borderId="0" applyNumberFormat="0" applyFill="0" applyBorder="0" applyAlignment="0" applyProtection="0">
      <alignment vertical="top"/>
      <protection locked="0"/>
    </xf>
    <xf numFmtId="0" fontId="179" fillId="0" borderId="0" applyNumberFormat="0" applyFill="0" applyBorder="0" applyAlignment="0" applyProtection="0"/>
    <xf numFmtId="0" fontId="14" fillId="0" borderId="0"/>
    <xf numFmtId="0" fontId="14" fillId="0" borderId="0"/>
    <xf numFmtId="0" fontId="65" fillId="0" borderId="0"/>
    <xf numFmtId="0" fontId="53" fillId="62" borderId="11">
      <alignment horizontal="center" vertical="center"/>
    </xf>
    <xf numFmtId="0" fontId="1" fillId="0" borderId="0"/>
    <xf numFmtId="43" fontId="65" fillId="0" borderId="0" applyFont="0" applyFill="0" applyBorder="0" applyAlignment="0" applyProtection="0"/>
    <xf numFmtId="0" fontId="125" fillId="57" borderId="11">
      <alignment horizontal="left" vertical="center" wrapText="1"/>
    </xf>
    <xf numFmtId="0" fontId="65" fillId="0" borderId="0"/>
    <xf numFmtId="0" fontId="14" fillId="0" borderId="0"/>
    <xf numFmtId="0" fontId="1" fillId="0" borderId="0"/>
    <xf numFmtId="0" fontId="14" fillId="0" borderId="0"/>
    <xf numFmtId="0" fontId="65" fillId="0" borderId="0"/>
    <xf numFmtId="0" fontId="86" fillId="0" borderId="0"/>
    <xf numFmtId="169" fontId="51" fillId="0" borderId="0"/>
    <xf numFmtId="0" fontId="15" fillId="0" borderId="0" applyNumberFormat="0" applyFill="0" applyBorder="0" applyAlignment="0" applyProtection="0"/>
    <xf numFmtId="0" fontId="14" fillId="0" borderId="0"/>
    <xf numFmtId="0" fontId="86" fillId="0" borderId="0"/>
    <xf numFmtId="0" fontId="86" fillId="0" borderId="0">
      <alignment horizontal="left" vertical="center"/>
    </xf>
    <xf numFmtId="43" fontId="1" fillId="0" borderId="0" applyFont="0" applyFill="0" applyBorder="0" applyAlignment="0" applyProtection="0"/>
    <xf numFmtId="0" fontId="65" fillId="0" borderId="0"/>
    <xf numFmtId="0" fontId="14" fillId="0" borderId="0"/>
    <xf numFmtId="0" fontId="176" fillId="59" borderId="11" applyNumberFormat="0">
      <alignment horizontal="left" vertical="top" wrapText="1"/>
      <protection locked="0"/>
    </xf>
    <xf numFmtId="0" fontId="65" fillId="0" borderId="0"/>
    <xf numFmtId="0" fontId="176" fillId="59" borderId="11" applyNumberFormat="0">
      <alignment horizontal="left" vertical="top" wrapText="1"/>
      <protection locked="0"/>
    </xf>
    <xf numFmtId="0" fontId="1" fillId="0" borderId="0"/>
    <xf numFmtId="0" fontId="167" fillId="2" borderId="11">
      <alignment horizontal="left" vertical="center" wrapText="1"/>
    </xf>
    <xf numFmtId="0" fontId="65" fillId="0" borderId="0"/>
    <xf numFmtId="0" fontId="65" fillId="0" borderId="0"/>
    <xf numFmtId="168" fontId="176" fillId="59" borderId="11">
      <alignment horizontal="left" vertical="top" wrapText="1" indent="2"/>
      <protection locked="0"/>
    </xf>
    <xf numFmtId="2" fontId="86" fillId="49" borderId="11">
      <alignment horizontal="left" vertical="center"/>
      <protection locked="0"/>
    </xf>
    <xf numFmtId="43" fontId="1" fillId="0" borderId="0" applyFont="0" applyFill="0" applyBorder="0" applyAlignment="0" applyProtection="0"/>
    <xf numFmtId="0" fontId="14" fillId="0" borderId="0"/>
    <xf numFmtId="14" fontId="176" fillId="59" borderId="11">
      <alignment horizontal="left" vertical="center"/>
      <protection locked="0"/>
    </xf>
    <xf numFmtId="14" fontId="176" fillId="59" borderId="11">
      <alignment horizontal="left" vertical="center"/>
      <protection locked="0"/>
    </xf>
    <xf numFmtId="185" fontId="65" fillId="0" borderId="0" applyFont="0" applyFill="0" applyBorder="0" applyAlignment="0" applyProtection="0"/>
    <xf numFmtId="0" fontId="65" fillId="0" borderId="0"/>
    <xf numFmtId="0" fontId="1" fillId="0" borderId="0"/>
    <xf numFmtId="0" fontId="178" fillId="63" borderId="0" applyNumberFormat="0" applyAlignment="0">
      <protection locked="0"/>
    </xf>
    <xf numFmtId="0" fontId="65" fillId="0" borderId="0"/>
    <xf numFmtId="0" fontId="176" fillId="59" borderId="11" applyNumberFormat="0">
      <alignment horizontal="left" vertical="top" wrapText="1"/>
      <protection locked="0"/>
    </xf>
    <xf numFmtId="0" fontId="110" fillId="0" borderId="0"/>
    <xf numFmtId="0" fontId="65" fillId="0" borderId="0"/>
    <xf numFmtId="0" fontId="86" fillId="0" borderId="0">
      <alignment horizontal="left" vertical="center"/>
    </xf>
    <xf numFmtId="0" fontId="14" fillId="0" borderId="0"/>
    <xf numFmtId="44" fontId="65" fillId="0" borderId="0" applyFont="0" applyFill="0" applyBorder="0" applyAlignment="0" applyProtection="0"/>
  </cellStyleXfs>
  <cellXfs count="2600">
    <xf numFmtId="0" fontId="0" fillId="0" borderId="0" xfId="0"/>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14" fillId="0" borderId="0" xfId="543"/>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5" fillId="0" borderId="0" xfId="0" applyFont="1"/>
    <xf numFmtId="0" fontId="27"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0" fillId="0" borderId="3" xfId="0" applyFont="1" applyBorder="1" applyAlignment="1">
      <alignment horizontal="left"/>
    </xf>
    <xf numFmtId="0" fontId="30" fillId="0" borderId="9" xfId="0" applyFont="1" applyBorder="1" applyAlignment="1">
      <alignment horizontal="left"/>
    </xf>
    <xf numFmtId="0" fontId="30" fillId="0" borderId="0" xfId="0" applyFont="1" applyAlignment="1">
      <alignment horizontal="left"/>
    </xf>
    <xf numFmtId="0" fontId="21" fillId="0" borderId="0" xfId="0" applyFont="1" applyAlignment="1">
      <alignment horizontal="right"/>
    </xf>
    <xf numFmtId="0" fontId="0" fillId="0" borderId="7" xfId="0" applyBorder="1"/>
    <xf numFmtId="0" fontId="21" fillId="0" borderId="9" xfId="0" applyFont="1" applyBorder="1"/>
    <xf numFmtId="164" fontId="0" fillId="0" borderId="0" xfId="0" applyNumberFormat="1" applyAlignment="1">
      <alignment horizontal="center"/>
    </xf>
    <xf numFmtId="0" fontId="0" fillId="0" borderId="12" xfId="0" applyBorder="1"/>
    <xf numFmtId="49" fontId="14" fillId="0" borderId="0" xfId="543" applyNumberFormat="1"/>
    <xf numFmtId="0" fontId="14" fillId="0" borderId="8" xfId="543" applyBorder="1"/>
    <xf numFmtId="0" fontId="14" fillId="0" borderId="9" xfId="543" applyBorder="1"/>
    <xf numFmtId="0" fontId="14" fillId="0" borderId="10" xfId="543" applyBorder="1"/>
    <xf numFmtId="0" fontId="14" fillId="0" borderId="1" xfId="543" applyBorder="1"/>
    <xf numFmtId="0" fontId="14" fillId="0" borderId="12" xfId="543" applyBorder="1"/>
    <xf numFmtId="0" fontId="14" fillId="0" borderId="2" xfId="543" applyBorder="1"/>
    <xf numFmtId="0" fontId="14" fillId="0" borderId="7" xfId="543" applyBorder="1"/>
    <xf numFmtId="0" fontId="22" fillId="0" borderId="6" xfId="543" applyFont="1" applyBorder="1" applyAlignment="1">
      <alignment vertical="top" wrapText="1"/>
    </xf>
    <xf numFmtId="0" fontId="0" fillId="2" borderId="2" xfId="0" applyFill="1" applyBorder="1"/>
    <xf numFmtId="0" fontId="0" fillId="2" borderId="7" xfId="0" applyFill="1" applyBorder="1"/>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39"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14" fillId="0" borderId="0" xfId="0" applyFont="1" applyAlignment="1">
      <alignment horizontal="left"/>
    </xf>
    <xf numFmtId="0" fontId="14" fillId="0" borderId="0" xfId="0" applyFont="1" applyAlignment="1">
      <alignment vertical="top"/>
    </xf>
    <xf numFmtId="0" fontId="38" fillId="0" borderId="0" xfId="0" applyFont="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0" fillId="0" borderId="0" xfId="0" applyFont="1"/>
    <xf numFmtId="0" fontId="22" fillId="0" borderId="9" xfId="543" applyFont="1" applyBorder="1"/>
    <xf numFmtId="0" fontId="22" fillId="0" borderId="6" xfId="543" applyFont="1" applyBorder="1" applyAlignment="1">
      <alignment horizontal="right"/>
    </xf>
    <xf numFmtId="0" fontId="45" fillId="0" borderId="3" xfId="0" applyFont="1" applyBorder="1" applyAlignment="1">
      <alignment horizontal="left" vertical="top"/>
    </xf>
    <xf numFmtId="0" fontId="45" fillId="0" borderId="13" xfId="0" applyFont="1" applyBorder="1" applyAlignment="1">
      <alignment horizontal="center" wrapText="1"/>
    </xf>
    <xf numFmtId="0" fontId="45" fillId="0" borderId="13" xfId="0" applyFont="1" applyBorder="1" applyAlignment="1">
      <alignment horizontal="center" vertical="top" wrapText="1"/>
    </xf>
    <xf numFmtId="0" fontId="45" fillId="2" borderId="13" xfId="0" applyFont="1" applyFill="1" applyBorder="1" applyAlignment="1">
      <alignment horizontal="center" wrapText="1"/>
    </xf>
    <xf numFmtId="0" fontId="46" fillId="2" borderId="11" xfId="0" applyFont="1" applyFill="1" applyBorder="1" applyAlignment="1">
      <alignment horizontal="left" vertical="top" wrapText="1"/>
    </xf>
    <xf numFmtId="0" fontId="47" fillId="0" borderId="11" xfId="0" applyFont="1" applyBorder="1" applyAlignment="1">
      <alignment vertical="top" wrapText="1"/>
    </xf>
    <xf numFmtId="0" fontId="45" fillId="0" borderId="11" xfId="0" applyFont="1" applyBorder="1" applyAlignment="1">
      <alignment horizontal="right" vertical="top" wrapText="1"/>
    </xf>
    <xf numFmtId="168" fontId="45" fillId="0" borderId="11" xfId="0" applyNumberFormat="1" applyFont="1" applyBorder="1" applyAlignment="1">
      <alignment vertical="top" wrapText="1"/>
    </xf>
    <xf numFmtId="0" fontId="45" fillId="2" borderId="11" xfId="0" applyFont="1" applyFill="1" applyBorder="1" applyAlignment="1">
      <alignment vertical="top" wrapText="1"/>
    </xf>
    <xf numFmtId="0" fontId="45" fillId="0" borderId="11" xfId="0" applyFont="1" applyBorder="1" applyAlignment="1">
      <alignment vertical="top" wrapText="1"/>
    </xf>
    <xf numFmtId="0" fontId="17" fillId="0" borderId="11" xfId="0" applyFont="1" applyBorder="1" applyAlignment="1">
      <alignment horizontal="right" vertical="top" wrapText="1"/>
    </xf>
    <xf numFmtId="0" fontId="45" fillId="0" borderId="0" xfId="0" applyFont="1" applyAlignment="1">
      <alignment horizontal="left" vertical="top"/>
    </xf>
    <xf numFmtId="0" fontId="47" fillId="0" borderId="0" xfId="0" applyFont="1" applyAlignment="1">
      <alignment vertical="top" wrapText="1"/>
    </xf>
    <xf numFmtId="0" fontId="45" fillId="0" borderId="0" xfId="0" applyFont="1" applyAlignment="1">
      <alignment horizontal="right" vertical="top"/>
    </xf>
    <xf numFmtId="0" fontId="47" fillId="2" borderId="0" xfId="0" applyFont="1" applyFill="1" applyAlignment="1">
      <alignment vertical="top" wrapText="1"/>
    </xf>
    <xf numFmtId="0" fontId="45" fillId="0" borderId="0" xfId="0" applyFont="1" applyAlignment="1">
      <alignment vertical="top"/>
    </xf>
    <xf numFmtId="0" fontId="14"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2" fillId="0" borderId="0" xfId="0" applyFont="1"/>
    <xf numFmtId="49" fontId="21" fillId="0" borderId="0" xfId="0" applyNumberFormat="1" applyFont="1" applyAlignment="1">
      <alignment horizontal="center"/>
    </xf>
    <xf numFmtId="0" fontId="42" fillId="0" borderId="0" xfId="0" applyFont="1" applyAlignment="1">
      <alignment horizontal="center"/>
    </xf>
    <xf numFmtId="0" fontId="21" fillId="0" borderId="0" xfId="0" quotePrefix="1" applyFont="1" applyAlignment="1">
      <alignment horizontal="center"/>
    </xf>
    <xf numFmtId="49" fontId="0" fillId="0" borderId="0" xfId="0" applyNumberFormat="1"/>
    <xf numFmtId="0" fontId="40" fillId="0" borderId="0" xfId="0" applyFont="1" applyAlignment="1">
      <alignment horizontal="left"/>
    </xf>
    <xf numFmtId="49" fontId="21" fillId="0" borderId="0" xfId="0" applyNumberFormat="1" applyFont="1" applyAlignment="1">
      <alignment horizontal="left"/>
    </xf>
    <xf numFmtId="0" fontId="44" fillId="0" borderId="3" xfId="0" applyFont="1" applyBorder="1"/>
    <xf numFmtId="168" fontId="0" fillId="0" borderId="0" xfId="0" applyNumberFormat="1" applyAlignment="1">
      <alignment horizontal="center"/>
    </xf>
    <xf numFmtId="0" fontId="45" fillId="0" borderId="4" xfId="0" applyFont="1" applyBorder="1" applyAlignment="1">
      <alignment horizontal="right"/>
    </xf>
    <xf numFmtId="0" fontId="50" fillId="0" borderId="0" xfId="0" applyFont="1"/>
    <xf numFmtId="168" fontId="14" fillId="0" borderId="0" xfId="0" applyNumberFormat="1" applyFont="1" applyAlignment="1">
      <alignment horizontal="left" vertical="top"/>
    </xf>
    <xf numFmtId="0" fontId="0" fillId="0" borderId="0" xfId="0" applyAlignment="1">
      <alignment vertical="center"/>
    </xf>
    <xf numFmtId="0" fontId="47" fillId="0" borderId="0" xfId="0" applyFont="1" applyAlignment="1">
      <alignment horizontal="right" vertical="top" wrapText="1"/>
    </xf>
    <xf numFmtId="0" fontId="47" fillId="0" borderId="14" xfId="0" applyFont="1" applyBorder="1" applyAlignment="1">
      <alignment vertical="top" wrapText="1"/>
    </xf>
    <xf numFmtId="0" fontId="47" fillId="0" borderId="11" xfId="0" applyFont="1" applyBorder="1" applyAlignment="1" applyProtection="1">
      <alignment vertical="top"/>
      <protection locked="0"/>
    </xf>
    <xf numFmtId="0" fontId="21" fillId="0" borderId="0" xfId="542" applyFont="1" applyProtection="1">
      <protection locked="0"/>
    </xf>
    <xf numFmtId="0" fontId="14" fillId="0" borderId="0" xfId="539" applyProtection="1"/>
    <xf numFmtId="0" fontId="21" fillId="0" borderId="0" xfId="543" applyFont="1"/>
    <xf numFmtId="0" fontId="14" fillId="0" borderId="0" xfId="0" applyFont="1" applyProtection="1">
      <protection locked="0"/>
    </xf>
    <xf numFmtId="0" fontId="53"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19" fillId="0" borderId="0" xfId="0" applyFont="1"/>
    <xf numFmtId="0" fontId="55" fillId="0" borderId="0" xfId="0" applyFont="1"/>
    <xf numFmtId="0" fontId="53" fillId="0" borderId="0" xfId="0" applyFont="1"/>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54" fillId="0" borderId="0" xfId="0" applyFont="1"/>
    <xf numFmtId="168" fontId="19" fillId="0" borderId="0" xfId="0" applyNumberFormat="1" applyFont="1"/>
    <xf numFmtId="10" fontId="19" fillId="0" borderId="0" xfId="0" applyNumberFormat="1" applyFont="1" applyAlignment="1">
      <alignment horizontal="center"/>
    </xf>
    <xf numFmtId="3" fontId="57" fillId="0" borderId="0" xfId="0" applyNumberFormat="1" applyFont="1"/>
    <xf numFmtId="3" fontId="19" fillId="0" borderId="0" xfId="0" applyNumberFormat="1" applyFont="1"/>
    <xf numFmtId="168" fontId="54" fillId="0" borderId="0" xfId="0" applyNumberFormat="1" applyFont="1"/>
    <xf numFmtId="168" fontId="54"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3" fontId="23" fillId="0" borderId="0" xfId="0" applyNumberFormat="1" applyFont="1" applyAlignment="1">
      <alignment vertical="top"/>
    </xf>
    <xf numFmtId="10" fontId="21" fillId="0" borderId="0" xfId="0" applyNumberFormat="1" applyFont="1" applyAlignment="1">
      <alignment horizontal="center"/>
    </xf>
    <xf numFmtId="0" fontId="53" fillId="0" borderId="6" xfId="0" applyFont="1" applyBorder="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0" borderId="4" xfId="271" applyBorder="1"/>
    <xf numFmtId="0" fontId="23" fillId="0" borderId="6" xfId="271" applyBorder="1"/>
    <xf numFmtId="4" fontId="42" fillId="0" borderId="0" xfId="0" applyNumberFormat="1" applyFont="1" applyAlignment="1">
      <alignment horizontal="center"/>
    </xf>
    <xf numFmtId="4" fontId="0" fillId="0" borderId="0" xfId="0" applyNumberFormat="1"/>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0"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0" fillId="2" borderId="11" xfId="271" applyFont="1" applyFill="1" applyBorder="1" applyAlignment="1" applyProtection="1">
      <alignment horizontal="left" vertical="top" wrapText="1"/>
      <protection locked="0"/>
    </xf>
    <xf numFmtId="0" fontId="44" fillId="0" borderId="11" xfId="0" applyFont="1" applyBorder="1" applyAlignment="1">
      <alignment horizontal="right" vertical="top" wrapText="1"/>
    </xf>
    <xf numFmtId="0" fontId="51" fillId="0" borderId="0" xfId="542"/>
    <xf numFmtId="0" fontId="31" fillId="8" borderId="0" xfId="542" applyFont="1" applyFill="1"/>
    <xf numFmtId="0" fontId="44" fillId="0" borderId="11" xfId="271" applyFont="1" applyBorder="1" applyAlignment="1">
      <alignment horizontal="right" vertical="top"/>
    </xf>
    <xf numFmtId="0" fontId="44"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62" fillId="0" borderId="0" xfId="0" applyFont="1" applyAlignment="1">
      <alignment vertical="center" wrapText="1"/>
    </xf>
    <xf numFmtId="0" fontId="62" fillId="0" borderId="0" xfId="0" applyFont="1" applyAlignment="1">
      <alignment vertical="center"/>
    </xf>
    <xf numFmtId="0" fontId="62" fillId="0" borderId="0" xfId="0" applyFont="1" applyAlignment="1">
      <alignment horizontal="left" vertical="center" indent="1"/>
    </xf>
    <xf numFmtId="0" fontId="23" fillId="0" borderId="0" xfId="271" applyAlignment="1" applyProtection="1">
      <alignment horizontal="left"/>
      <protection locked="0"/>
    </xf>
    <xf numFmtId="0" fontId="63" fillId="0" borderId="0" xfId="0" applyFont="1" applyAlignment="1">
      <alignment horizontal="left" vertical="center"/>
    </xf>
    <xf numFmtId="49" fontId="39" fillId="0" borderId="0" xfId="0" applyNumberFormat="1" applyFont="1" applyAlignment="1">
      <alignment horizontal="center"/>
    </xf>
    <xf numFmtId="0" fontId="42" fillId="0" borderId="0" xfId="271" applyFont="1" applyAlignment="1">
      <alignment horizontal="center"/>
    </xf>
    <xf numFmtId="49" fontId="23" fillId="0" borderId="0" xfId="271" applyNumberFormat="1" applyAlignment="1">
      <alignment horizontal="center"/>
    </xf>
    <xf numFmtId="0" fontId="44" fillId="0" borderId="0" xfId="0" applyFont="1"/>
    <xf numFmtId="5" fontId="67" fillId="0" borderId="11" xfId="541" applyNumberFormat="1" applyFont="1" applyBorder="1" applyAlignment="1" applyProtection="1">
      <alignment horizontal="center"/>
    </xf>
    <xf numFmtId="5" fontId="67" fillId="42" borderId="11" xfId="541" applyNumberFormat="1" applyFont="1" applyFill="1" applyBorder="1" applyAlignment="1" applyProtection="1">
      <alignment horizontal="center"/>
    </xf>
    <xf numFmtId="5" fontId="67" fillId="2" borderId="11" xfId="541" applyNumberFormat="1" applyFont="1" applyFill="1" applyBorder="1" applyAlignment="1" applyProtection="1">
      <alignment horizontal="center"/>
    </xf>
    <xf numFmtId="0" fontId="44" fillId="0" borderId="0" xfId="0" applyFont="1" applyAlignment="1">
      <alignment vertical="top"/>
    </xf>
    <xf numFmtId="0" fontId="44" fillId="2" borderId="0" xfId="0" applyFont="1" applyFill="1" applyAlignment="1">
      <alignment vertical="top" wrapText="1"/>
    </xf>
    <xf numFmtId="0" fontId="69" fillId="0" borderId="13" xfId="0" applyFont="1" applyBorder="1" applyAlignment="1">
      <alignment vertical="top" wrapText="1"/>
    </xf>
    <xf numFmtId="0" fontId="28" fillId="0" borderId="0" xfId="0" applyFont="1" applyAlignment="1">
      <alignment vertical="top" wrapText="1"/>
    </xf>
    <xf numFmtId="0" fontId="69" fillId="2" borderId="13" xfId="0" applyFont="1" applyFill="1" applyBorder="1" applyAlignment="1">
      <alignment vertical="top" wrapText="1"/>
    </xf>
    <xf numFmtId="0" fontId="69" fillId="0" borderId="0" xfId="0" applyFont="1" applyAlignment="1">
      <alignment vertical="top" wrapText="1"/>
    </xf>
    <xf numFmtId="0" fontId="69" fillId="2" borderId="0" xfId="0" applyFont="1" applyFill="1" applyAlignment="1">
      <alignment vertical="top" wrapText="1"/>
    </xf>
    <xf numFmtId="0" fontId="44" fillId="0" borderId="0" xfId="0" applyFont="1" applyAlignment="1">
      <alignment horizontal="right" vertical="top" wrapText="1"/>
    </xf>
    <xf numFmtId="168" fontId="44" fillId="5" borderId="6" xfId="0" applyNumberFormat="1" applyFont="1" applyFill="1" applyBorder="1" applyAlignment="1" applyProtection="1">
      <alignment horizontal="right" vertical="top" wrapText="1"/>
      <protection locked="0"/>
    </xf>
    <xf numFmtId="168" fontId="44" fillId="0" borderId="6" xfId="0" applyNumberFormat="1" applyFont="1" applyBorder="1" applyAlignment="1">
      <alignment horizontal="right" vertical="top" wrapText="1"/>
    </xf>
    <xf numFmtId="0" fontId="53"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168" fontId="44" fillId="0" borderId="11" xfId="0" applyNumberFormat="1" applyFont="1" applyBorder="1" applyAlignment="1">
      <alignment vertical="top" wrapText="1"/>
    </xf>
    <xf numFmtId="168" fontId="44" fillId="4" borderId="11" xfId="0" applyNumberFormat="1" applyFont="1" applyFill="1" applyBorder="1" applyAlignment="1">
      <alignment vertical="top" wrapText="1"/>
    </xf>
    <xf numFmtId="0" fontId="93" fillId="0" borderId="0" xfId="0" applyFont="1" applyAlignment="1">
      <alignment horizontal="left" vertical="top"/>
    </xf>
    <xf numFmtId="0" fontId="94" fillId="0" borderId="0" xfId="0" applyFont="1" applyAlignment="1">
      <alignment horizontal="left" vertical="top"/>
    </xf>
    <xf numFmtId="0" fontId="6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52" fillId="8" borderId="11" xfId="542" applyFont="1" applyFill="1" applyBorder="1" applyAlignment="1">
      <alignment horizontal="left"/>
    </xf>
    <xf numFmtId="0" fontId="52"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28" fillId="0" borderId="8" xfId="569" applyFont="1" applyBorder="1" applyAlignment="1">
      <alignment vertical="top" wrapText="1"/>
    </xf>
    <xf numFmtId="0" fontId="28" fillId="0" borderId="0" xfId="569" applyFont="1" applyAlignment="1">
      <alignment vertical="top" wrapText="1"/>
    </xf>
    <xf numFmtId="0" fontId="46" fillId="2" borderId="11" xfId="569" applyFont="1" applyFill="1" applyBorder="1" applyAlignment="1">
      <alignment horizontal="left" vertical="top" wrapText="1"/>
    </xf>
    <xf numFmtId="6" fontId="44" fillId="4" borderId="11" xfId="569" applyNumberFormat="1" applyFont="1" applyFill="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6" fontId="44" fillId="0" borderId="11" xfId="569" applyNumberFormat="1" applyFont="1" applyBorder="1" applyAlignment="1">
      <alignment vertical="top" wrapText="1"/>
    </xf>
    <xf numFmtId="6" fontId="44" fillId="5" borderId="11" xfId="569" applyNumberFormat="1" applyFont="1" applyFill="1" applyBorder="1" applyAlignment="1" applyProtection="1">
      <alignment vertical="top" wrapText="1"/>
      <protection locked="0"/>
    </xf>
    <xf numFmtId="6" fontId="44" fillId="6" borderId="11" xfId="569" applyNumberFormat="1" applyFont="1" applyFill="1" applyBorder="1" applyAlignment="1">
      <alignment horizontal="center" vertical="top" wrapText="1"/>
    </xf>
    <xf numFmtId="0" fontId="44" fillId="0" borderId="11" xfId="569" applyFont="1" applyBorder="1" applyAlignment="1">
      <alignment horizontal="right" vertical="top" wrapText="1"/>
    </xf>
    <xf numFmtId="0" fontId="45" fillId="0" borderId="11" xfId="569" applyFont="1" applyBorder="1" applyAlignment="1">
      <alignment horizontal="right" vertical="top" wrapText="1"/>
    </xf>
    <xf numFmtId="0" fontId="44" fillId="0" borderId="11" xfId="569" applyFont="1" applyBorder="1" applyAlignment="1">
      <alignment horizontal="right" vertical="top"/>
    </xf>
    <xf numFmtId="6" fontId="45" fillId="0" borderId="11" xfId="569" applyNumberFormat="1" applyFont="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0" fontId="17" fillId="0" borderId="11" xfId="569" applyFont="1" applyBorder="1" applyAlignment="1">
      <alignment horizontal="right" vertical="top" wrapText="1"/>
    </xf>
    <xf numFmtId="0" fontId="45" fillId="0" borderId="0" xfId="569" applyFont="1" applyAlignment="1">
      <alignment horizontal="left" vertical="top"/>
    </xf>
    <xf numFmtId="6" fontId="44" fillId="0" borderId="0" xfId="569" applyNumberFormat="1" applyFont="1" applyAlignment="1">
      <alignment horizontal="left" vertical="top"/>
    </xf>
    <xf numFmtId="0" fontId="94" fillId="0" borderId="0" xfId="569" applyFont="1" applyAlignment="1">
      <alignment horizontal="left" vertical="top"/>
    </xf>
    <xf numFmtId="6" fontId="44" fillId="0" borderId="0" xfId="569" applyNumberFormat="1" applyFont="1" applyAlignment="1">
      <alignment vertical="top" wrapText="1"/>
    </xf>
    <xf numFmtId="0" fontId="44" fillId="0" borderId="0" xfId="569" applyFont="1" applyAlignment="1">
      <alignment horizontal="left" vertical="top"/>
    </xf>
    <xf numFmtId="0" fontId="44" fillId="0" borderId="12" xfId="569" applyFont="1" applyBorder="1" applyAlignment="1">
      <alignment vertical="top" wrapText="1"/>
    </xf>
    <xf numFmtId="0" fontId="97" fillId="0" borderId="0" xfId="569" applyFont="1" applyAlignment="1">
      <alignment horizontal="left" vertical="top"/>
    </xf>
    <xf numFmtId="0" fontId="53"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44" fillId="0" borderId="0" xfId="569" applyFont="1" applyAlignment="1">
      <alignment vertical="top"/>
    </xf>
    <xf numFmtId="168" fontId="44" fillId="0" borderId="0" xfId="569" applyNumberFormat="1" applyFont="1" applyAlignment="1" applyProtection="1">
      <alignment horizontal="right" vertical="top" wrapText="1"/>
      <protection locked="0"/>
    </xf>
    <xf numFmtId="0" fontId="14" fillId="0" borderId="0" xfId="569" applyAlignment="1">
      <alignment vertical="top"/>
    </xf>
    <xf numFmtId="0" fontId="44" fillId="0" borderId="0" xfId="569" applyFont="1" applyAlignment="1">
      <alignment horizontal="right" vertical="top" wrapText="1"/>
    </xf>
    <xf numFmtId="0" fontId="21" fillId="0" borderId="0" xfId="569" applyFont="1" applyAlignment="1">
      <alignment horizontal="left" vertical="top" wrapText="1"/>
    </xf>
    <xf numFmtId="168" fontId="44"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69" fillId="0" borderId="0" xfId="569" applyFont="1" applyAlignment="1">
      <alignment vertical="top" wrapText="1"/>
    </xf>
    <xf numFmtId="0" fontId="69" fillId="0" borderId="12" xfId="569" applyFont="1" applyBorder="1" applyAlignment="1">
      <alignment vertical="top" wrapText="1"/>
    </xf>
    <xf numFmtId="0" fontId="69" fillId="0" borderId="8" xfId="569" applyFont="1" applyBorder="1" applyAlignment="1">
      <alignment vertical="top" wrapText="1"/>
    </xf>
    <xf numFmtId="0" fontId="28" fillId="0" borderId="0" xfId="569" applyFont="1" applyAlignment="1">
      <alignment horizontal="right" vertical="top" wrapText="1"/>
    </xf>
    <xf numFmtId="0" fontId="69" fillId="0" borderId="0" xfId="569" applyFont="1" applyAlignment="1">
      <alignment horizontal="right" vertical="top" wrapText="1"/>
    </xf>
    <xf numFmtId="0" fontId="45" fillId="0" borderId="3" xfId="569" applyFont="1" applyBorder="1" applyAlignment="1">
      <alignment horizontal="left"/>
    </xf>
    <xf numFmtId="0" fontId="45" fillId="0" borderId="13" xfId="569" applyFont="1" applyBorder="1" applyAlignment="1">
      <alignment horizontal="center" wrapText="1"/>
    </xf>
    <xf numFmtId="0" fontId="45" fillId="0" borderId="8" xfId="569" applyFont="1" applyBorder="1" applyAlignment="1">
      <alignment horizontal="center" wrapText="1"/>
    </xf>
    <xf numFmtId="0" fontId="45"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vertical="center"/>
    </xf>
    <xf numFmtId="0" fontId="34"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9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54" fillId="0" borderId="0" xfId="271" applyFont="1" applyAlignment="1">
      <alignment horizontal="left"/>
    </xf>
    <xf numFmtId="0" fontId="54"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14" fillId="0" borderId="3" xfId="569" applyBorder="1"/>
    <xf numFmtId="0" fontId="96" fillId="0" borderId="0" xfId="1834"/>
    <xf numFmtId="0" fontId="0" fillId="0" borderId="0" xfId="0" applyAlignment="1">
      <alignment horizontal="left" vertical="top"/>
    </xf>
    <xf numFmtId="0" fontId="95" fillId="0" borderId="0" xfId="0" applyFont="1" applyAlignment="1">
      <alignment vertical="top" wrapText="1"/>
    </xf>
    <xf numFmtId="0" fontId="44" fillId="0" borderId="0" xfId="271" applyFont="1" applyAlignment="1">
      <alignment vertical="top" wrapText="1"/>
    </xf>
    <xf numFmtId="0" fontId="21" fillId="0" borderId="12" xfId="543" applyFont="1" applyBorder="1" applyAlignment="1">
      <alignment horizontal="right"/>
    </xf>
    <xf numFmtId="0" fontId="38" fillId="0" borderId="0" xfId="1192" applyFont="1"/>
    <xf numFmtId="0" fontId="44" fillId="0" borderId="11" xfId="0" applyFont="1" applyBorder="1" applyAlignment="1">
      <alignment horizontal="right" vertical="center"/>
    </xf>
    <xf numFmtId="0" fontId="38" fillId="0" borderId="0" xfId="0" applyFont="1" applyAlignment="1">
      <alignment vertical="top" wrapText="1"/>
    </xf>
    <xf numFmtId="6" fontId="45" fillId="0" borderId="0" xfId="569" applyNumberFormat="1" applyFont="1" applyAlignment="1">
      <alignment horizontal="right" vertical="top"/>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38" fillId="0" borderId="0" xfId="0" applyFont="1" applyAlignment="1">
      <alignment horizontal="left" vertical="top"/>
    </xf>
    <xf numFmtId="0" fontId="38" fillId="0" borderId="0" xfId="0" applyFont="1" applyAlignment="1">
      <alignment vertical="top"/>
    </xf>
    <xf numFmtId="0" fontId="14" fillId="0" borderId="0" xfId="569" applyAlignment="1">
      <alignment horizontal="center"/>
    </xf>
    <xf numFmtId="49" fontId="21" fillId="0" borderId="0" xfId="569" applyNumberFormat="1" applyFont="1" applyAlignment="1">
      <alignment horizontal="center"/>
    </xf>
    <xf numFmtId="0" fontId="42"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2"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0" fillId="0" borderId="0" xfId="569" applyFont="1" applyAlignment="1">
      <alignment horizontal="left"/>
    </xf>
    <xf numFmtId="4" fontId="42"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39" fillId="0" borderId="0" xfId="569" applyFont="1" applyAlignment="1">
      <alignment horizontal="left"/>
    </xf>
    <xf numFmtId="0" fontId="15" fillId="0" borderId="0" xfId="244" applyNumberFormat="1" applyFill="1" applyAlignment="1" applyProtection="1">
      <alignment horizontal="left"/>
      <protection locked="0"/>
    </xf>
    <xf numFmtId="0" fontId="44" fillId="0" borderId="11" xfId="0" applyFont="1" applyBorder="1" applyAlignment="1" applyProtection="1">
      <alignment horizontal="right" vertical="top" wrapText="1"/>
      <protection locked="0"/>
    </xf>
    <xf numFmtId="0" fontId="14" fillId="0" borderId="11" xfId="271" applyFont="1" applyBorder="1" applyAlignment="1">
      <alignment horizontal="right" vertical="top" wrapText="1"/>
    </xf>
    <xf numFmtId="0" fontId="22" fillId="0" borderId="0" xfId="569" applyFont="1" applyAlignment="1">
      <alignment horizontal="left"/>
    </xf>
    <xf numFmtId="0" fontId="93" fillId="0" borderId="0" xfId="0" applyFont="1"/>
    <xf numFmtId="0" fontId="104" fillId="0" borderId="0" xfId="0" applyFont="1" applyAlignment="1">
      <alignment horizontal="left" vertical="top"/>
    </xf>
    <xf numFmtId="0" fontId="105" fillId="0" borderId="0" xfId="0" applyFont="1" applyAlignment="1">
      <alignment horizontal="left" vertical="top"/>
    </xf>
    <xf numFmtId="168" fontId="22" fillId="0" borderId="0" xfId="0" applyNumberFormat="1" applyFont="1" applyAlignment="1">
      <alignment horizontal="left" vertical="top" wrapText="1"/>
    </xf>
    <xf numFmtId="168" fontId="44" fillId="5" borderId="11" xfId="0" applyNumberFormat="1" applyFont="1" applyFill="1" applyBorder="1" applyAlignment="1">
      <alignment vertical="top" wrapText="1"/>
    </xf>
    <xf numFmtId="0" fontId="14" fillId="0" borderId="0" xfId="271" applyFont="1" applyAlignment="1">
      <alignment horizontal="left" vertical="top"/>
    </xf>
    <xf numFmtId="0" fontId="44" fillId="0" borderId="0" xfId="569" applyFont="1"/>
    <xf numFmtId="4" fontId="14" fillId="0" borderId="0" xfId="1192" applyNumberFormat="1" applyAlignment="1">
      <alignment vertical="top" wrapText="1"/>
    </xf>
    <xf numFmtId="0" fontId="21" fillId="0" borderId="16" xfId="271" applyFont="1" applyBorder="1"/>
    <xf numFmtId="0" fontId="49" fillId="0" borderId="0" xfId="569" applyFont="1"/>
    <xf numFmtId="0" fontId="34" fillId="0" borderId="0" xfId="569" applyFont="1"/>
    <xf numFmtId="49" fontId="14" fillId="0" borderId="0" xfId="1192" applyNumberFormat="1" applyAlignment="1">
      <alignment vertical="top" wrapText="1"/>
    </xf>
    <xf numFmtId="0" fontId="46" fillId="0" borderId="9" xfId="543" applyFont="1" applyBorder="1" applyAlignment="1">
      <alignment vertical="top"/>
    </xf>
    <xf numFmtId="0" fontId="14" fillId="0" borderId="0" xfId="0" applyFont="1" applyAlignment="1">
      <alignment vertical="center"/>
    </xf>
    <xf numFmtId="0" fontId="106" fillId="0" borderId="0" xfId="0" applyFont="1"/>
    <xf numFmtId="3" fontId="93" fillId="0" borderId="0" xfId="0" applyNumberFormat="1" applyFont="1"/>
    <xf numFmtId="0" fontId="93" fillId="0" borderId="0" xfId="0" applyFont="1" applyAlignment="1">
      <alignment horizontal="left"/>
    </xf>
    <xf numFmtId="168" fontId="107" fillId="0" borderId="0" xfId="0" applyNumberFormat="1" applyFont="1" applyAlignment="1">
      <alignment horizontal="left" vertical="top"/>
    </xf>
    <xf numFmtId="0" fontId="93" fillId="0" borderId="0" xfId="0" applyFont="1" applyAlignment="1">
      <alignment horizontal="left" vertical="center"/>
    </xf>
    <xf numFmtId="0" fontId="10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32" fillId="0" borderId="0" xfId="4495" applyFont="1" applyAlignment="1">
      <alignment horizontal="left" vertical="center"/>
    </xf>
    <xf numFmtId="0" fontId="14" fillId="0" borderId="0" xfId="1192" quotePrefix="1" applyAlignment="1">
      <alignment horizontal="center"/>
    </xf>
    <xf numFmtId="0" fontId="39"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11" fillId="0" borderId="53" xfId="4496" applyFont="1" applyBorder="1" applyAlignment="1">
      <alignment horizontal="left" vertical="top"/>
    </xf>
    <xf numFmtId="0" fontId="14" fillId="0" borderId="0" xfId="4495" applyFont="1" applyAlignment="1">
      <alignment horizontal="left" vertical="center"/>
    </xf>
    <xf numFmtId="0" fontId="112" fillId="0" borderId="0" xfId="4496" applyFont="1" applyAlignment="1">
      <alignment vertical="center"/>
    </xf>
    <xf numFmtId="0" fontId="110" fillId="0" borderId="0" xfId="4496" applyFont="1"/>
    <xf numFmtId="0" fontId="110" fillId="0" borderId="0" xfId="4496" applyFont="1" applyAlignment="1">
      <alignment vertical="center"/>
    </xf>
    <xf numFmtId="0" fontId="11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0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0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10" fillId="0" borderId="53" xfId="4496" applyFont="1" applyBorder="1" applyAlignment="1">
      <alignment vertical="top" wrapText="1"/>
    </xf>
    <xf numFmtId="0" fontId="110" fillId="0" borderId="0" xfId="4496" applyFont="1" applyAlignment="1">
      <alignment vertical="top" wrapText="1"/>
    </xf>
    <xf numFmtId="10" fontId="110" fillId="0" borderId="0" xfId="4496" applyNumberFormat="1" applyFont="1" applyAlignment="1">
      <alignment vertical="top" wrapText="1"/>
    </xf>
    <xf numFmtId="0" fontId="110" fillId="0" borderId="54" xfId="4496" applyFont="1" applyBorder="1" applyAlignment="1">
      <alignment vertical="top" wrapText="1"/>
    </xf>
    <xf numFmtId="0" fontId="110" fillId="0" borderId="0" xfId="4496" applyFont="1" applyAlignment="1">
      <alignment vertical="top"/>
    </xf>
    <xf numFmtId="165" fontId="11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1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8" xfId="4495" applyFont="1" applyBorder="1"/>
    <xf numFmtId="0" fontId="22" fillId="0" borderId="0" xfId="4495" applyFont="1" applyAlignment="1">
      <alignment horizontal="left"/>
    </xf>
    <xf numFmtId="0" fontId="14" fillId="0" borderId="0" xfId="4495" applyFont="1" applyAlignment="1">
      <alignment horizontal="center"/>
    </xf>
    <xf numFmtId="0" fontId="30" fillId="0" borderId="0" xfId="4495" applyFont="1"/>
    <xf numFmtId="0" fontId="22" fillId="0" borderId="8" xfId="4495" applyFont="1" applyBorder="1"/>
    <xf numFmtId="0" fontId="44"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44"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1" fontId="108" fillId="0" borderId="0" xfId="4495" applyNumberFormat="1"/>
    <xf numFmtId="0" fontId="14" fillId="0" borderId="0" xfId="4495" applyFont="1" applyAlignment="1">
      <alignmen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4" fillId="0" borderId="53" xfId="4495" applyFont="1" applyBorder="1" applyAlignment="1">
      <alignment vertical="top"/>
    </xf>
    <xf numFmtId="0" fontId="14" fillId="0" borderId="54" xfId="4495" applyFont="1" applyBorder="1" applyAlignment="1">
      <alignment vertical="top" wrapText="1"/>
    </xf>
    <xf numFmtId="0" fontId="50"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0"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1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0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quotePrefix="1" applyFont="1"/>
    <xf numFmtId="0" fontId="22" fillId="0" borderId="0" xfId="4495" applyFont="1" applyAlignment="1">
      <alignment horizontal="left" vertical="top" shrinkToFit="1"/>
    </xf>
    <xf numFmtId="0" fontId="39" fillId="0" borderId="0" xfId="4495" applyFont="1"/>
    <xf numFmtId="0" fontId="22" fillId="0" borderId="3" xfId="4495" applyFont="1" applyBorder="1" applyAlignment="1">
      <alignment horizontal="center"/>
    </xf>
    <xf numFmtId="0" fontId="108" fillId="0" borderId="8" xfId="4495" applyBorder="1"/>
    <xf numFmtId="0" fontId="21" fillId="0" borderId="8" xfId="4495" applyFont="1" applyBorder="1" applyAlignment="1">
      <alignment vertical="top"/>
    </xf>
    <xf numFmtId="0" fontId="108" fillId="0" borderId="0" xfId="4495" applyAlignment="1">
      <alignment vertical="top"/>
    </xf>
    <xf numFmtId="0" fontId="21" fillId="0" borderId="4" xfId="4495" applyFont="1" applyBorder="1" applyAlignment="1">
      <alignment horizontal="center" vertical="top"/>
    </xf>
    <xf numFmtId="0" fontId="114" fillId="0" borderId="0" xfId="4495" applyFont="1" applyAlignment="1">
      <alignment horizontal="left" vertical="top"/>
    </xf>
    <xf numFmtId="0" fontId="11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18" fillId="0" borderId="0" xfId="4495" applyFont="1" applyAlignment="1">
      <alignment vertical="top" wrapText="1"/>
    </xf>
    <xf numFmtId="0" fontId="22" fillId="0" borderId="6" xfId="4495" applyFont="1" applyBorder="1"/>
    <xf numFmtId="1" fontId="22" fillId="0" borderId="8" xfId="4495" applyNumberFormat="1" applyFont="1" applyBorder="1" applyAlignment="1">
      <alignment horizontal="center" vertical="top"/>
    </xf>
    <xf numFmtId="0" fontId="108" fillId="0" borderId="12" xfId="4495" applyBorder="1"/>
    <xf numFmtId="0" fontId="22" fillId="0" borderId="9" xfId="4495" applyFont="1" applyBorder="1"/>
    <xf numFmtId="0" fontId="108" fillId="0" borderId="10" xfId="4495" applyBorder="1"/>
    <xf numFmtId="0" fontId="30" fillId="0" borderId="3" xfId="4495" applyFont="1" applyBorder="1"/>
    <xf numFmtId="0" fontId="21" fillId="0" borderId="4" xfId="4495" applyFont="1" applyBorder="1"/>
    <xf numFmtId="0" fontId="108" fillId="0" borderId="12" xfId="4495" applyBorder="1" applyAlignment="1">
      <alignment vertical="top"/>
    </xf>
    <xf numFmtId="0" fontId="30" fillId="0" borderId="1" xfId="4495" applyFont="1" applyBorder="1"/>
    <xf numFmtId="0" fontId="118" fillId="0" borderId="2" xfId="4495" applyFont="1" applyBorder="1" applyAlignment="1">
      <alignment horizontal="left" wrapText="1"/>
    </xf>
    <xf numFmtId="0" fontId="118" fillId="0" borderId="2" xfId="4495" applyFont="1" applyBorder="1" applyAlignment="1">
      <alignment horizontal="left"/>
    </xf>
    <xf numFmtId="0" fontId="118" fillId="0" borderId="7" xfId="4495" applyFont="1" applyBorder="1" applyAlignment="1">
      <alignment horizontal="left" wrapText="1"/>
    </xf>
    <xf numFmtId="0" fontId="118" fillId="0" borderId="0" xfId="4495" applyFont="1" applyAlignment="1">
      <alignment horizontal="left" wrapText="1"/>
    </xf>
    <xf numFmtId="0" fontId="30" fillId="0" borderId="9" xfId="4495" applyFont="1" applyBorder="1"/>
    <xf numFmtId="0" fontId="22" fillId="0" borderId="10" xfId="4495" applyFont="1" applyBorder="1"/>
    <xf numFmtId="0" fontId="11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30" fillId="0" borderId="0" xfId="4495" applyFont="1" applyAlignment="1">
      <alignment vertical="top"/>
    </xf>
    <xf numFmtId="0" fontId="22" fillId="0" borderId="61" xfId="4495" applyFont="1" applyBorder="1"/>
    <xf numFmtId="0" fontId="10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08" fillId="0" borderId="61" xfId="4495" applyBorder="1"/>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0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17" fillId="0" borderId="0" xfId="4495" applyFont="1"/>
    <xf numFmtId="0" fontId="10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0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44" fillId="0" borderId="0" xfId="4495" applyFont="1" applyAlignment="1">
      <alignment horizontal="left" vertical="top"/>
    </xf>
    <xf numFmtId="0" fontId="22" fillId="0" borderId="0" xfId="4495" quotePrefix="1" applyFont="1" applyAlignment="1">
      <alignment horizontal="center" vertical="top"/>
    </xf>
    <xf numFmtId="0" fontId="45" fillId="0" borderId="0" xfId="4495" applyFont="1" applyAlignment="1">
      <alignment horizontal="center"/>
    </xf>
    <xf numFmtId="0" fontId="45" fillId="0" borderId="0" xfId="4495" applyFont="1" applyAlignment="1">
      <alignment vertical="top"/>
    </xf>
    <xf numFmtId="0" fontId="95" fillId="0" borderId="0" xfId="4495" applyFont="1"/>
    <xf numFmtId="0" fontId="44"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44" fillId="0" borderId="51" xfId="4495" applyFont="1" applyBorder="1" applyAlignment="1">
      <alignment horizontal="left" vertical="top"/>
    </xf>
    <xf numFmtId="0" fontId="108" fillId="0" borderId="53" xfId="4495" applyBorder="1"/>
    <xf numFmtId="0" fontId="9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1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180" fontId="53" fillId="0" borderId="0" xfId="4495" applyNumberFormat="1" applyFont="1" applyAlignment="1">
      <alignment horizontal="center" vertical="center"/>
    </xf>
    <xf numFmtId="0" fontId="14" fillId="0" borderId="12" xfId="4495" applyFont="1" applyBorder="1" applyAlignment="1">
      <alignment vertical="top"/>
    </xf>
    <xf numFmtId="0" fontId="39" fillId="0" borderId="0" xfId="4495" applyFont="1" applyAlignment="1">
      <alignmen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right"/>
    </xf>
    <xf numFmtId="0" fontId="14" fillId="0" borderId="59" xfId="4495" applyFont="1" applyBorder="1" applyAlignment="1">
      <alignment horizontal="right"/>
    </xf>
    <xf numFmtId="0" fontId="39"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2" fontId="14" fillId="0" borderId="0" xfId="1192" applyNumberFormat="1"/>
    <xf numFmtId="6" fontId="14" fillId="0" borderId="0" xfId="1192" applyNumberFormat="1"/>
    <xf numFmtId="0" fontId="21" fillId="0" borderId="0" xfId="1192" applyFont="1"/>
    <xf numFmtId="0" fontId="39" fillId="0" borderId="0" xfId="1192" applyFont="1"/>
    <xf numFmtId="168" fontId="14" fillId="0" borderId="0" xfId="4495" applyNumberFormat="1" applyFont="1"/>
    <xf numFmtId="0" fontId="21" fillId="0" borderId="0" xfId="1192" applyFont="1" applyAlignment="1">
      <alignment vertical="center"/>
    </xf>
    <xf numFmtId="0" fontId="106" fillId="0" borderId="0" xfId="1192" applyFont="1" applyAlignment="1">
      <alignment horizontal="left"/>
    </xf>
    <xf numFmtId="0" fontId="103" fillId="0" borderId="0" xfId="1192" applyFont="1" applyAlignment="1">
      <alignment horizontal="left"/>
    </xf>
    <xf numFmtId="0" fontId="10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45" fillId="0" borderId="4" xfId="4495" applyFont="1" applyBorder="1"/>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10" fillId="0" borderId="0" xfId="4496" applyNumberFormat="1" applyFont="1" applyAlignment="1">
      <alignment horizontal="center" vertical="top" wrapText="1"/>
    </xf>
    <xf numFmtId="168" fontId="110" fillId="0" borderId="0" xfId="4496" applyNumberFormat="1" applyFont="1" applyAlignment="1">
      <alignment vertical="top" wrapText="1"/>
    </xf>
    <xf numFmtId="165" fontId="110" fillId="0" borderId="64" xfId="4496" applyNumberFormat="1" applyFont="1" applyBorder="1" applyAlignment="1">
      <alignment horizontal="center" vertical="top" wrapText="1"/>
    </xf>
    <xf numFmtId="165" fontId="110" fillId="0" borderId="53" xfId="4496" applyNumberFormat="1" applyFont="1" applyBorder="1" applyAlignment="1">
      <alignment horizontal="left" vertical="top"/>
    </xf>
    <xf numFmtId="165" fontId="110" fillId="0" borderId="53" xfId="4496" applyNumberFormat="1" applyFont="1" applyBorder="1" applyAlignment="1">
      <alignment horizontal="center" vertical="top" wrapText="1"/>
    </xf>
    <xf numFmtId="168" fontId="110" fillId="0" borderId="0" xfId="4496" applyNumberFormat="1" applyFont="1" applyAlignment="1">
      <alignment vertical="top"/>
    </xf>
    <xf numFmtId="1" fontId="110" fillId="0" borderId="0" xfId="4496" applyNumberFormat="1" applyFont="1" applyAlignment="1">
      <alignment vertical="top" wrapText="1"/>
    </xf>
    <xf numFmtId="164" fontId="22" fillId="0" borderId="0" xfId="4495" applyNumberFormat="1" applyFont="1"/>
    <xf numFmtId="0" fontId="129" fillId="0" borderId="50" xfId="1192" applyFont="1" applyBorder="1" applyAlignment="1">
      <alignment horizontal="left"/>
    </xf>
    <xf numFmtId="0" fontId="130" fillId="0" borderId="51" xfId="4495" applyFont="1" applyBorder="1" applyAlignment="1">
      <alignment vertical="top"/>
    </xf>
    <xf numFmtId="0" fontId="129" fillId="0" borderId="51" xfId="4495" applyFont="1" applyBorder="1" applyAlignment="1">
      <alignment vertical="top" wrapText="1"/>
    </xf>
    <xf numFmtId="0" fontId="130" fillId="0" borderId="51" xfId="4495" applyFont="1" applyBorder="1"/>
    <xf numFmtId="0" fontId="130" fillId="0" borderId="53" xfId="1192" applyFont="1" applyBorder="1" applyAlignment="1">
      <alignment horizontal="left"/>
    </xf>
    <xf numFmtId="0" fontId="130" fillId="0" borderId="0" xfId="4495" applyFont="1" applyAlignment="1">
      <alignment vertical="top"/>
    </xf>
    <xf numFmtId="0" fontId="129" fillId="0" borderId="0" xfId="4495" applyFont="1" applyAlignment="1">
      <alignment vertical="top" wrapText="1"/>
    </xf>
    <xf numFmtId="0" fontId="130" fillId="0" borderId="0" xfId="4495" applyFont="1"/>
    <xf numFmtId="0" fontId="129" fillId="0" borderId="53" xfId="1192" applyFont="1" applyBorder="1" applyAlignment="1">
      <alignment horizontal="left"/>
    </xf>
    <xf numFmtId="0" fontId="129" fillId="0" borderId="57" xfId="1192" applyFont="1" applyBorder="1" applyAlignment="1">
      <alignment horizontal="left"/>
    </xf>
    <xf numFmtId="0" fontId="130" fillId="0" borderId="58" xfId="4495" applyFont="1" applyBorder="1" applyAlignment="1">
      <alignment vertical="top"/>
    </xf>
    <xf numFmtId="0" fontId="129" fillId="0" borderId="58" xfId="4495" applyFont="1" applyBorder="1" applyAlignment="1">
      <alignment vertical="top" wrapText="1"/>
    </xf>
    <xf numFmtId="0" fontId="130" fillId="0" borderId="58" xfId="4495" applyFont="1" applyBorder="1"/>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20" fillId="0" borderId="0" xfId="0" applyFont="1" applyAlignment="1">
      <alignment horizontal="center" vertical="center" wrapText="1"/>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14" fillId="0" borderId="12" xfId="543" quotePrefix="1" applyBorder="1"/>
    <xf numFmtId="0" fontId="44"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4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6" xfId="4495" applyFont="1" applyBorder="1" applyAlignment="1">
      <alignment vertical="top" wrapText="1"/>
    </xf>
    <xf numFmtId="0" fontId="14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6" xfId="4495" applyFont="1" applyBorder="1" applyAlignment="1">
      <alignment horizontal="left" vertical="top" wrapText="1"/>
    </xf>
    <xf numFmtId="2" fontId="10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0" fillId="0" borderId="0" xfId="4496" applyFont="1"/>
    <xf numFmtId="168" fontId="44" fillId="5" borderId="11" xfId="0" applyNumberFormat="1" applyFont="1" applyFill="1" applyBorder="1" applyAlignment="1" applyProtection="1">
      <alignment vertical="top" wrapText="1"/>
      <protection locked="0"/>
    </xf>
    <xf numFmtId="43" fontId="42"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39" fillId="0" borderId="0" xfId="0" applyFont="1" applyAlignment="1">
      <alignment horizontal="left"/>
    </xf>
    <xf numFmtId="0" fontId="14" fillId="0" borderId="0" xfId="0" quotePrefix="1" applyFont="1" applyAlignment="1">
      <alignment horizontal="left"/>
    </xf>
    <xf numFmtId="0" fontId="39" fillId="0" borderId="0" xfId="1192" applyFont="1" applyAlignment="1">
      <alignment horizontal="left"/>
    </xf>
    <xf numFmtId="0" fontId="42"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10" fillId="0" borderId="0" xfId="4496" applyNumberFormat="1" applyFont="1" applyAlignment="1">
      <alignment horizontal="center" vertical="top" wrapText="1"/>
    </xf>
    <xf numFmtId="10" fontId="110" fillId="0" borderId="64" xfId="4496" applyNumberFormat="1" applyFont="1" applyBorder="1" applyAlignment="1">
      <alignment horizontal="center" vertical="top" wrapText="1"/>
    </xf>
    <xf numFmtId="10" fontId="110" fillId="0" borderId="53" xfId="4496" applyNumberFormat="1" applyFont="1" applyBorder="1" applyAlignment="1">
      <alignment horizontal="left" vertical="top"/>
    </xf>
    <xf numFmtId="0" fontId="110" fillId="0" borderId="0" xfId="4495" applyFont="1"/>
    <xf numFmtId="10" fontId="110" fillId="0" borderId="0" xfId="4495" applyNumberFormat="1" applyFont="1"/>
    <xf numFmtId="172" fontId="14" fillId="0" borderId="0" xfId="4495" applyNumberFormat="1" applyFont="1"/>
    <xf numFmtId="0" fontId="0" fillId="0" borderId="10" xfId="0" applyBorder="1" applyAlignment="1">
      <alignment horizontal="left"/>
    </xf>
    <xf numFmtId="1" fontId="14" fillId="0" borderId="0" xfId="1192" applyNumberFormat="1" applyAlignment="1">
      <alignment horizontal="center"/>
    </xf>
    <xf numFmtId="0" fontId="108" fillId="0" borderId="63" xfId="4495" applyBorder="1"/>
    <xf numFmtId="0" fontId="44"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5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49" fontId="21" fillId="0" borderId="0" xfId="0" applyNumberFormat="1" applyFont="1"/>
    <xf numFmtId="49" fontId="21" fillId="0" borderId="0" xfId="0" applyNumberFormat="1" applyFont="1" applyAlignment="1">
      <alignment vertical="top"/>
    </xf>
    <xf numFmtId="175" fontId="14" fillId="0" borderId="0" xfId="543" applyNumberFormat="1" applyAlignment="1">
      <alignment vertical="center"/>
    </xf>
    <xf numFmtId="0" fontId="86" fillId="43" borderId="6" xfId="4496" applyFont="1" applyFill="1" applyBorder="1" applyAlignment="1" applyProtection="1">
      <alignment horizontal="center"/>
      <protection locked="0"/>
    </xf>
    <xf numFmtId="0" fontId="86" fillId="0" borderId="0" xfId="4496" applyFont="1"/>
    <xf numFmtId="0" fontId="86" fillId="0" borderId="0" xfId="4496" applyFont="1" applyAlignment="1">
      <alignment wrapText="1"/>
    </xf>
    <xf numFmtId="0" fontId="125" fillId="0" borderId="0" xfId="4496" applyFont="1"/>
    <xf numFmtId="181" fontId="126" fillId="0" borderId="0" xfId="4498" applyNumberFormat="1" applyFont="1" applyBorder="1" applyProtection="1"/>
    <xf numFmtId="0" fontId="127" fillId="0" borderId="0" xfId="4496" applyFont="1" applyAlignment="1">
      <alignment vertical="center" wrapText="1"/>
    </xf>
    <xf numFmtId="49" fontId="86" fillId="0" borderId="0" xfId="4496" applyNumberFormat="1" applyFont="1" applyAlignment="1">
      <alignment horizontal="center"/>
    </xf>
    <xf numFmtId="182" fontId="86" fillId="0" borderId="6" xfId="4496" applyNumberFormat="1" applyFont="1" applyBorder="1"/>
    <xf numFmtId="0" fontId="86" fillId="0" borderId="0" xfId="4496" applyFont="1" applyAlignment="1">
      <alignment vertical="center"/>
    </xf>
    <xf numFmtId="182" fontId="86" fillId="0" borderId="0" xfId="4496" applyNumberFormat="1" applyFont="1" applyAlignment="1">
      <alignment vertical="center"/>
    </xf>
    <xf numFmtId="175" fontId="86" fillId="0" borderId="0" xfId="4499" applyNumberFormat="1" applyFont="1" applyFill="1" applyBorder="1" applyAlignment="1" applyProtection="1">
      <alignment horizontal="left" vertical="center"/>
    </xf>
    <xf numFmtId="9" fontId="86" fillId="0" borderId="0" xfId="4499" applyFont="1" applyFill="1" applyBorder="1" applyAlignment="1" applyProtection="1">
      <alignment vertical="center"/>
    </xf>
    <xf numFmtId="183" fontId="86" fillId="0" borderId="0" xfId="4496" applyNumberFormat="1" applyFont="1" applyAlignment="1">
      <alignment vertical="center" wrapText="1"/>
    </xf>
    <xf numFmtId="9" fontId="86" fillId="0" borderId="0" xfId="4499" applyFont="1" applyBorder="1" applyAlignment="1" applyProtection="1">
      <alignment vertical="center"/>
    </xf>
    <xf numFmtId="164" fontId="86" fillId="0" borderId="0" xfId="4496" applyNumberFormat="1" applyFont="1" applyAlignment="1">
      <alignment vertical="center" wrapText="1"/>
    </xf>
    <xf numFmtId="0" fontId="86" fillId="0" borderId="0" xfId="4496" applyFont="1" applyAlignment="1">
      <alignment horizontal="center" vertical="center"/>
    </xf>
    <xf numFmtId="182" fontId="86" fillId="0" borderId="11" xfId="8722" applyNumberFormat="1" applyFont="1" applyBorder="1" applyProtection="1"/>
    <xf numFmtId="182" fontId="86" fillId="0" borderId="11" xfId="4496" applyNumberFormat="1" applyFont="1" applyBorder="1"/>
    <xf numFmtId="164" fontId="86" fillId="0" borderId="0" xfId="4496" applyNumberFormat="1" applyFont="1" applyAlignment="1">
      <alignment wrapText="1"/>
    </xf>
    <xf numFmtId="49" fontId="86" fillId="0" borderId="0" xfId="4496" applyNumberFormat="1" applyFont="1" applyAlignment="1">
      <alignment horizontal="left"/>
    </xf>
    <xf numFmtId="0" fontId="128" fillId="0" borderId="0" xfId="4496" applyFont="1"/>
    <xf numFmtId="9" fontId="86" fillId="0" borderId="11" xfId="4494" applyFont="1" applyFill="1" applyBorder="1" applyAlignment="1" applyProtection="1">
      <alignment horizontal="right"/>
    </xf>
    <xf numFmtId="182" fontId="86" fillId="0" borderId="11" xfId="4496" applyNumberFormat="1" applyFont="1" applyBorder="1" applyAlignment="1">
      <alignment horizontal="left"/>
    </xf>
    <xf numFmtId="1" fontId="86" fillId="0" borderId="0" xfId="4496" applyNumberFormat="1" applyFont="1"/>
    <xf numFmtId="2" fontId="86" fillId="0" borderId="0" xfId="4496" applyNumberFormat="1" applyFont="1" applyAlignment="1">
      <alignment horizontal="center"/>
    </xf>
    <xf numFmtId="2" fontId="86" fillId="0" borderId="0" xfId="4496" applyNumberFormat="1" applyFont="1"/>
    <xf numFmtId="0" fontId="125" fillId="45" borderId="3" xfId="4496" applyFont="1" applyFill="1" applyBorder="1" applyAlignment="1">
      <alignment horizontal="left" indent="1"/>
    </xf>
    <xf numFmtId="0" fontId="86" fillId="45" borderId="4" xfId="4496" applyFont="1" applyFill="1" applyBorder="1"/>
    <xf numFmtId="2" fontId="86" fillId="45" borderId="5" xfId="4496" applyNumberFormat="1" applyFont="1" applyFill="1" applyBorder="1"/>
    <xf numFmtId="181" fontId="86" fillId="0" borderId="0" xfId="4496" applyNumberFormat="1" applyFont="1"/>
    <xf numFmtId="165" fontId="126" fillId="0" borderId="0" xfId="4499" applyNumberFormat="1" applyFont="1" applyFill="1" applyBorder="1" applyProtection="1"/>
    <xf numFmtId="9" fontId="86" fillId="0" borderId="0" xfId="4494" applyFont="1" applyFill="1" applyProtection="1"/>
    <xf numFmtId="0" fontId="86" fillId="0" borderId="11" xfId="4496" applyFont="1" applyBorder="1" applyAlignment="1">
      <alignment horizontal="center"/>
    </xf>
    <xf numFmtId="2" fontId="86" fillId="0" borderId="11" xfId="4496" applyNumberFormat="1" applyFont="1" applyBorder="1" applyAlignment="1">
      <alignment horizontal="center"/>
    </xf>
    <xf numFmtId="0" fontId="86" fillId="0" borderId="0" xfId="4496" applyFont="1" applyAlignment="1">
      <alignment vertical="top" wrapText="1"/>
    </xf>
    <xf numFmtId="0" fontId="86" fillId="0" borderId="11" xfId="4496" applyFont="1" applyBorder="1" applyAlignment="1">
      <alignment horizontal="center" vertical="top" wrapText="1"/>
    </xf>
    <xf numFmtId="182" fontId="86" fillId="0" borderId="0" xfId="8722" applyNumberFormat="1" applyFont="1" applyBorder="1" applyProtection="1"/>
    <xf numFmtId="0" fontId="86" fillId="0" borderId="0" xfId="4496" applyFont="1" applyAlignment="1">
      <alignment horizontal="left" indent="1"/>
    </xf>
    <xf numFmtId="182" fontId="86" fillId="0" borderId="0" xfId="4496" applyNumberFormat="1" applyFont="1"/>
    <xf numFmtId="184" fontId="86" fillId="0" borderId="0" xfId="4496" applyNumberFormat="1" applyFont="1"/>
    <xf numFmtId="0" fontId="86" fillId="0" borderId="0" xfId="4496" applyFont="1" applyAlignment="1">
      <alignment horizontal="left"/>
    </xf>
    <xf numFmtId="0" fontId="86" fillId="0" borderId="0" xfId="4496" applyFont="1" applyAlignment="1">
      <alignment horizontal="center"/>
    </xf>
    <xf numFmtId="9" fontId="8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86" fillId="0" borderId="0" xfId="4496" applyFont="1" applyAlignment="1">
      <alignment horizontal="right"/>
    </xf>
    <xf numFmtId="0" fontId="86" fillId="0" borderId="15" xfId="4496" applyFont="1" applyBorder="1" applyAlignment="1">
      <alignment horizontal="center" vertical="top" wrapText="1"/>
    </xf>
    <xf numFmtId="2" fontId="86" fillId="0" borderId="15" xfId="4496" applyNumberFormat="1" applyFont="1" applyBorder="1" applyAlignment="1">
      <alignment horizontal="center"/>
    </xf>
    <xf numFmtId="0" fontId="86" fillId="0" borderId="15" xfId="4496" applyFont="1" applyBorder="1" applyAlignment="1">
      <alignment horizontal="center"/>
    </xf>
    <xf numFmtId="0" fontId="125" fillId="0" borderId="71" xfId="4496" applyFont="1" applyBorder="1" applyAlignment="1">
      <alignment horizontal="center" vertical="top" wrapText="1"/>
    </xf>
    <xf numFmtId="0" fontId="125" fillId="0" borderId="71" xfId="4496" applyFont="1" applyBorder="1" applyAlignment="1">
      <alignment horizontal="center"/>
    </xf>
    <xf numFmtId="0" fontId="155" fillId="0" borderId="0" xfId="4496" applyFont="1" applyAlignment="1">
      <alignment horizontal="right" vertical="center"/>
    </xf>
    <xf numFmtId="175" fontId="86" fillId="0" borderId="0" xfId="4499" applyNumberFormat="1" applyFont="1" applyFill="1" applyBorder="1" applyAlignment="1" applyProtection="1">
      <alignment horizontal="right" vertical="center"/>
    </xf>
    <xf numFmtId="5" fontId="86" fillId="0" borderId="6" xfId="4496" applyNumberFormat="1" applyFont="1" applyBorder="1" applyAlignment="1">
      <alignment vertical="center"/>
    </xf>
    <xf numFmtId="0" fontId="86" fillId="0" borderId="66" xfId="4496" applyFont="1" applyBorder="1" applyAlignment="1">
      <alignment vertical="center"/>
    </xf>
    <xf numFmtId="0" fontId="86" fillId="0" borderId="41" xfId="4496" applyFont="1" applyBorder="1" applyAlignment="1">
      <alignment vertical="center"/>
    </xf>
    <xf numFmtId="182" fontId="86" fillId="0" borderId="86" xfId="4496" applyNumberFormat="1" applyFont="1" applyBorder="1" applyAlignment="1">
      <alignment vertical="center"/>
    </xf>
    <xf numFmtId="175" fontId="86" fillId="0" borderId="42" xfId="4499" applyNumberFormat="1" applyFont="1" applyFill="1" applyBorder="1" applyAlignment="1" applyProtection="1">
      <alignment horizontal="left" vertical="center"/>
    </xf>
    <xf numFmtId="0" fontId="86" fillId="0" borderId="42" xfId="4496" applyFont="1" applyBorder="1" applyAlignment="1">
      <alignment vertical="center"/>
    </xf>
    <xf numFmtId="0" fontId="86" fillId="0" borderId="44" xfId="4496" applyFont="1" applyBorder="1" applyAlignment="1">
      <alignment vertical="center"/>
    </xf>
    <xf numFmtId="49" fontId="86" fillId="0" borderId="0" xfId="4496" applyNumberFormat="1" applyFont="1" applyAlignment="1">
      <alignment horizontal="center" vertical="center"/>
    </xf>
    <xf numFmtId="0" fontId="86" fillId="0" borderId="65" xfId="4496" applyFont="1" applyBorder="1" applyAlignment="1">
      <alignment vertical="center"/>
    </xf>
    <xf numFmtId="0" fontId="86" fillId="0" borderId="29" xfId="4496" applyFont="1" applyBorder="1" applyAlignment="1">
      <alignment vertical="center"/>
    </xf>
    <xf numFmtId="0" fontId="86" fillId="0" borderId="29" xfId="4496" applyFont="1" applyBorder="1" applyAlignment="1">
      <alignment horizontal="right" vertical="center"/>
    </xf>
    <xf numFmtId="5" fontId="86" fillId="0" borderId="29" xfId="4496" applyNumberFormat="1" applyFont="1" applyBorder="1" applyAlignment="1">
      <alignment vertical="center"/>
    </xf>
    <xf numFmtId="0" fontId="86" fillId="0" borderId="31" xfId="4496" applyFont="1" applyBorder="1" applyAlignment="1">
      <alignment vertical="center"/>
    </xf>
    <xf numFmtId="175" fontId="125" fillId="0" borderId="42" xfId="4494" applyNumberFormat="1" applyFont="1" applyFill="1" applyBorder="1" applyAlignment="1" applyProtection="1">
      <alignment horizontal="center" vertical="center"/>
    </xf>
    <xf numFmtId="0" fontId="125" fillId="0" borderId="29" xfId="4496" applyFont="1" applyBorder="1" applyAlignment="1">
      <alignment vertical="center"/>
    </xf>
    <xf numFmtId="0" fontId="125" fillId="0" borderId="0" xfId="4496" applyFont="1" applyAlignment="1">
      <alignment vertical="center"/>
    </xf>
    <xf numFmtId="0" fontId="125" fillId="0" borderId="42" xfId="4496" applyFont="1" applyBorder="1" applyAlignment="1">
      <alignment vertical="center"/>
    </xf>
    <xf numFmtId="9" fontId="125" fillId="0" borderId="42" xfId="4499" applyFont="1" applyFill="1" applyBorder="1" applyAlignment="1" applyProtection="1">
      <alignment vertical="center"/>
    </xf>
    <xf numFmtId="182" fontId="86" fillId="0" borderId="15" xfId="4496" applyNumberFormat="1" applyFont="1" applyBorder="1"/>
    <xf numFmtId="182" fontId="125" fillId="0" borderId="71" xfId="8722" applyNumberFormat="1" applyFont="1" applyBorder="1" applyProtection="1"/>
    <xf numFmtId="9" fontId="86" fillId="0" borderId="15" xfId="4494" applyFont="1" applyFill="1" applyBorder="1" applyAlignment="1" applyProtection="1">
      <alignment horizontal="right"/>
    </xf>
    <xf numFmtId="182" fontId="125" fillId="0" borderId="71" xfId="4496" applyNumberFormat="1" applyFont="1" applyBorder="1"/>
    <xf numFmtId="0" fontId="155" fillId="0" borderId="0" xfId="4496" applyFont="1" applyAlignment="1">
      <alignment horizontal="right"/>
    </xf>
    <xf numFmtId="0" fontId="86" fillId="0" borderId="0" xfId="4496" applyFont="1" applyAlignment="1">
      <alignment horizontal="right" vertical="top" wrapText="1" indent="1"/>
    </xf>
    <xf numFmtId="182" fontId="86" fillId="0" borderId="6" xfId="8722" applyNumberFormat="1" applyFont="1" applyBorder="1" applyAlignment="1" applyProtection="1">
      <alignment horizontal="center"/>
    </xf>
    <xf numFmtId="0" fontId="86" fillId="0" borderId="0" xfId="4496" applyFont="1" applyAlignment="1">
      <alignment horizontal="right" indent="1"/>
    </xf>
    <xf numFmtId="0" fontId="86" fillId="0" borderId="0" xfId="4496" applyFont="1" applyAlignment="1">
      <alignment horizontal="right" vertical="top"/>
    </xf>
    <xf numFmtId="0" fontId="125" fillId="0" borderId="0" xfId="4496" applyFont="1" applyAlignment="1">
      <alignment horizontal="right"/>
    </xf>
    <xf numFmtId="182" fontId="125" fillId="0" borderId="0" xfId="8722" applyNumberFormat="1" applyFont="1" applyBorder="1" applyAlignment="1" applyProtection="1">
      <alignment horizontal="center"/>
    </xf>
    <xf numFmtId="10" fontId="86" fillId="0" borderId="0" xfId="4494" applyNumberFormat="1" applyFont="1" applyBorder="1" applyAlignment="1" applyProtection="1">
      <alignment horizontal="center"/>
    </xf>
    <xf numFmtId="184" fontId="86" fillId="0" borderId="6" xfId="4496" applyNumberFormat="1" applyFont="1" applyBorder="1"/>
    <xf numFmtId="0" fontId="125" fillId="0" borderId="0" xfId="4496" applyFont="1" applyAlignment="1">
      <alignment horizontal="right" vertical="top"/>
    </xf>
    <xf numFmtId="182" fontId="125" fillId="0" borderId="0" xfId="4496" applyNumberFormat="1" applyFont="1"/>
    <xf numFmtId="182" fontId="86" fillId="0" borderId="6" xfId="8722" applyNumberFormat="1" applyFont="1" applyBorder="1" applyProtection="1"/>
    <xf numFmtId="184" fontId="86" fillId="0" borderId="0" xfId="4496" applyNumberFormat="1" applyFont="1" applyAlignment="1">
      <alignment horizontal="center"/>
    </xf>
    <xf numFmtId="0" fontId="86" fillId="0" borderId="6" xfId="4496" applyFont="1" applyBorder="1" applyAlignment="1">
      <alignment horizontal="right" vertical="top" wrapText="1" indent="1"/>
    </xf>
    <xf numFmtId="0" fontId="86" fillId="0" borderId="70" xfId="4496" applyFont="1" applyBorder="1" applyAlignment="1">
      <alignment horizontal="right" indent="1"/>
    </xf>
    <xf numFmtId="0" fontId="86" fillId="0" borderId="80" xfId="4496" applyFont="1" applyBorder="1" applyAlignment="1">
      <alignment horizontal="right" indent="1"/>
    </xf>
    <xf numFmtId="0" fontId="86" fillId="0" borderId="80" xfId="4496" quotePrefix="1" applyFont="1" applyBorder="1" applyAlignment="1">
      <alignment horizontal="right" indent="1"/>
    </xf>
    <xf numFmtId="0" fontId="86" fillId="0" borderId="72" xfId="4496" applyFont="1" applyBorder="1" applyAlignment="1">
      <alignment horizontal="right" indent="1"/>
    </xf>
    <xf numFmtId="182" fontId="86" fillId="0" borderId="74" xfId="4496" applyNumberFormat="1" applyFont="1" applyBorder="1"/>
    <xf numFmtId="182" fontId="86" fillId="0" borderId="91" xfId="4496" applyNumberFormat="1" applyFont="1" applyBorder="1"/>
    <xf numFmtId="182" fontId="86" fillId="0" borderId="93" xfId="4496" applyNumberFormat="1" applyFont="1" applyBorder="1"/>
    <xf numFmtId="175" fontId="21" fillId="0" borderId="0" xfId="543" applyNumberFormat="1" applyFont="1" applyAlignment="1">
      <alignment vertical="center"/>
    </xf>
    <xf numFmtId="10" fontId="125" fillId="0" borderId="0" xfId="4494" applyNumberFormat="1" applyFont="1" applyProtection="1"/>
    <xf numFmtId="0" fontId="21" fillId="0" borderId="0" xfId="1192" applyFont="1" applyAlignment="1">
      <alignment horizontal="left" indent="1"/>
    </xf>
    <xf numFmtId="168" fontId="125" fillId="0" borderId="71" xfId="4499" applyNumberFormat="1" applyFont="1" applyFill="1" applyBorder="1" applyAlignment="1" applyProtection="1">
      <alignment horizontal="left" vertical="center" indent="1"/>
    </xf>
    <xf numFmtId="182" fontId="86" fillId="0" borderId="13" xfId="4496" applyNumberFormat="1" applyFont="1" applyBorder="1"/>
    <xf numFmtId="182" fontId="86" fillId="0" borderId="73" xfId="4496" applyNumberFormat="1" applyFont="1" applyBorder="1"/>
    <xf numFmtId="0" fontId="125" fillId="0" borderId="4" xfId="4496" applyFont="1" applyBorder="1" applyAlignment="1">
      <alignment horizontal="left" indent="1"/>
    </xf>
    <xf numFmtId="0" fontId="86" fillId="0" borderId="4" xfId="4496" applyFont="1" applyBorder="1"/>
    <xf numFmtId="0" fontId="32" fillId="0" borderId="0" xfId="4495" applyFont="1" applyAlignment="1">
      <alignment vertical="center"/>
    </xf>
    <xf numFmtId="0" fontId="110" fillId="0" borderId="0" xfId="4496" applyFont="1" applyAlignment="1">
      <alignment vertical="center" wrapText="1"/>
    </xf>
    <xf numFmtId="0" fontId="19" fillId="43" borderId="0" xfId="1192" applyFont="1" applyFill="1"/>
    <xf numFmtId="3" fontId="57" fillId="43" borderId="6" xfId="1192" applyNumberFormat="1" applyFont="1" applyFill="1" applyBorder="1"/>
    <xf numFmtId="0" fontId="157" fillId="0" borderId="0" xfId="0" applyFont="1"/>
    <xf numFmtId="0" fontId="19" fillId="0" borderId="11" xfId="253" applyFont="1" applyBorder="1" applyAlignment="1" applyProtection="1">
      <alignment horizontal="center" wrapText="1"/>
      <protection locked="0"/>
    </xf>
    <xf numFmtId="0" fontId="158" fillId="0" borderId="0" xfId="0" applyFont="1"/>
    <xf numFmtId="0" fontId="159" fillId="0" borderId="0" xfId="0" applyFont="1" applyAlignment="1">
      <alignment horizontal="center"/>
    </xf>
    <xf numFmtId="0" fontId="44" fillId="5" borderId="11" xfId="0" applyFont="1" applyFill="1" applyBorder="1" applyAlignment="1" applyProtection="1">
      <alignment horizontal="right" vertical="top" wrapText="1"/>
      <protection locked="0"/>
    </xf>
    <xf numFmtId="0" fontId="14" fillId="43" borderId="3" xfId="569" applyFill="1" applyBorder="1"/>
    <xf numFmtId="0" fontId="164" fillId="0" borderId="0" xfId="0" applyFont="1" applyAlignment="1">
      <alignment horizontal="right"/>
    </xf>
    <xf numFmtId="1" fontId="22" fillId="0" borderId="0" xfId="4495" applyNumberFormat="1" applyFont="1"/>
    <xf numFmtId="0" fontId="2" fillId="0" borderId="0" xfId="8726"/>
    <xf numFmtId="0" fontId="91" fillId="0" borderId="0" xfId="8726" applyFont="1"/>
    <xf numFmtId="0" fontId="14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90" fillId="48" borderId="66" xfId="8726" applyNumberFormat="1" applyFont="1" applyFill="1" applyBorder="1" applyAlignment="1">
      <alignment horizontal="right" vertical="top"/>
    </xf>
    <xf numFmtId="0" fontId="90" fillId="48" borderId="0" xfId="8726" applyFont="1" applyFill="1"/>
    <xf numFmtId="0" fontId="90" fillId="48" borderId="66" xfId="8726" applyFont="1" applyFill="1" applyBorder="1"/>
    <xf numFmtId="0" fontId="91" fillId="48" borderId="0" xfId="8726" applyFont="1" applyFill="1"/>
    <xf numFmtId="0" fontId="2" fillId="48" borderId="69" xfId="8726" applyFill="1" applyBorder="1"/>
    <xf numFmtId="168" fontId="147" fillId="48" borderId="68" xfId="700" applyNumberFormat="1" applyFont="1" applyFill="1" applyBorder="1" applyAlignment="1" applyProtection="1">
      <protection locked="0"/>
    </xf>
    <xf numFmtId="0" fontId="152" fillId="48" borderId="0" xfId="8726" applyFont="1" applyFill="1"/>
    <xf numFmtId="0" fontId="151" fillId="47" borderId="91" xfId="8726" applyFont="1" applyFill="1" applyBorder="1"/>
    <xf numFmtId="0" fontId="151" fillId="47" borderId="11" xfId="8726" applyFont="1" applyFill="1" applyBorder="1"/>
    <xf numFmtId="0" fontId="2" fillId="45" borderId="69" xfId="8726" applyFill="1" applyBorder="1"/>
    <xf numFmtId="0" fontId="2" fillId="45" borderId="68" xfId="8726" applyFill="1" applyBorder="1"/>
    <xf numFmtId="0" fontId="90" fillId="45" borderId="68" xfId="8726" applyFont="1" applyFill="1" applyBorder="1"/>
    <xf numFmtId="0" fontId="90" fillId="45" borderId="67" xfId="8726" applyFont="1" applyFill="1" applyBorder="1"/>
    <xf numFmtId="0" fontId="90" fillId="45" borderId="69" xfId="8726" applyFont="1" applyFill="1" applyBorder="1"/>
    <xf numFmtId="0" fontId="2" fillId="48" borderId="0" xfId="8726" applyFill="1" applyAlignment="1">
      <alignment horizontal="left"/>
    </xf>
    <xf numFmtId="0" fontId="141" fillId="48" borderId="0" xfId="8726" applyFont="1" applyFill="1"/>
    <xf numFmtId="0" fontId="90" fillId="45" borderId="89" xfId="8726" applyFont="1" applyFill="1" applyBorder="1"/>
    <xf numFmtId="0" fontId="90" fillId="45" borderId="76" xfId="8726" applyFont="1" applyFill="1" applyBorder="1"/>
    <xf numFmtId="0" fontId="90" fillId="45" borderId="75" xfId="8726" applyFont="1" applyFill="1" applyBorder="1"/>
    <xf numFmtId="0" fontId="90" fillId="45" borderId="31" xfId="8726" applyFont="1" applyFill="1" applyBorder="1"/>
    <xf numFmtId="0" fontId="90" fillId="45" borderId="29" xfId="8726" applyFont="1" applyFill="1" applyBorder="1"/>
    <xf numFmtId="0" fontId="9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9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74" fillId="0" borderId="0" xfId="8726" applyFont="1"/>
    <xf numFmtId="0" fontId="2" fillId="45" borderId="99" xfId="8726" applyFill="1" applyBorder="1"/>
    <xf numFmtId="0" fontId="2" fillId="45" borderId="65" xfId="8726" applyFill="1" applyBorder="1"/>
    <xf numFmtId="0" fontId="90" fillId="45" borderId="28" xfId="8726" applyFont="1" applyFill="1" applyBorder="1"/>
    <xf numFmtId="0" fontId="2" fillId="52" borderId="101" xfId="8726" applyFill="1" applyBorder="1"/>
    <xf numFmtId="0" fontId="2" fillId="51" borderId="101" xfId="8726" applyFill="1" applyBorder="1"/>
    <xf numFmtId="0" fontId="90" fillId="50" borderId="100" xfId="8726" applyFont="1" applyFill="1" applyBorder="1"/>
    <xf numFmtId="0" fontId="90" fillId="0" borderId="0" xfId="8726" applyFont="1"/>
    <xf numFmtId="0" fontId="90" fillId="48" borderId="41" xfId="8726" applyFont="1" applyFill="1" applyBorder="1"/>
    <xf numFmtId="0" fontId="139" fillId="48" borderId="0" xfId="8726" applyFont="1" applyFill="1"/>
    <xf numFmtId="182" fontId="15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86" fillId="0" borderId="6" xfId="4496" applyFont="1" applyBorder="1" applyAlignment="1">
      <alignment horizontal="left" vertical="top"/>
    </xf>
    <xf numFmtId="0" fontId="37" fillId="0" borderId="0" xfId="0" applyFont="1"/>
    <xf numFmtId="0" fontId="14" fillId="0" borderId="0" xfId="0" applyFont="1" applyAlignment="1">
      <alignment horizontal="center" vertical="center"/>
    </xf>
    <xf numFmtId="0" fontId="14" fillId="0" borderId="0" xfId="0" applyFont="1" applyAlignment="1">
      <alignment horizontal="left" indent="4"/>
    </xf>
    <xf numFmtId="0" fontId="39" fillId="0" borderId="0" xfId="244" applyFont="1" applyFill="1" applyBorder="1" applyAlignment="1" applyProtection="1">
      <alignment horizontal="left"/>
    </xf>
    <xf numFmtId="0" fontId="14" fillId="9" borderId="6" xfId="0" applyFont="1" applyFill="1" applyBorder="1"/>
    <xf numFmtId="166" fontId="14" fillId="0" borderId="0" xfId="0" applyNumberFormat="1" applyFont="1" applyAlignment="1">
      <alignment horizontal="left"/>
    </xf>
    <xf numFmtId="166" fontId="14" fillId="0" borderId="0" xfId="0" applyNumberFormat="1" applyFont="1"/>
    <xf numFmtId="168" fontId="14" fillId="0" borderId="0" xfId="0" applyNumberFormat="1" applyFont="1" applyAlignment="1">
      <alignment horizontal="right"/>
    </xf>
    <xf numFmtId="168" fontId="14" fillId="0" borderId="3" xfId="0" applyNumberFormat="1" applyFont="1" applyBorder="1" applyAlignment="1">
      <alignment vertical="top"/>
    </xf>
    <xf numFmtId="168" fontId="14" fillId="0" borderId="4" xfId="0" applyNumberFormat="1" applyFont="1" applyBorder="1" applyAlignment="1">
      <alignment vertical="top"/>
    </xf>
    <xf numFmtId="168" fontId="14" fillId="0" borderId="5" xfId="0" applyNumberFormat="1" applyFont="1" applyBorder="1" applyAlignment="1">
      <alignment vertical="top"/>
    </xf>
    <xf numFmtId="168" fontId="14" fillId="0" borderId="8" xfId="0" applyNumberFormat="1" applyFont="1" applyBorder="1" applyAlignment="1">
      <alignment vertical="top"/>
    </xf>
    <xf numFmtId="168" fontId="14" fillId="0" borderId="0" xfId="0" applyNumberFormat="1" applyFont="1" applyAlignment="1">
      <alignment vertical="top"/>
    </xf>
    <xf numFmtId="0" fontId="14" fillId="0" borderId="0" xfId="0" applyFont="1" applyAlignment="1">
      <alignment horizontal="right" vertical="top"/>
    </xf>
    <xf numFmtId="0" fontId="14" fillId="0" borderId="12" xfId="0" applyFont="1" applyBorder="1" applyAlignment="1">
      <alignment horizontal="right" vertical="top"/>
    </xf>
    <xf numFmtId="0" fontId="14" fillId="5" borderId="4" xfId="0" applyFont="1" applyFill="1" applyBorder="1" applyAlignment="1" applyProtection="1">
      <alignment horizontal="left" vertical="top"/>
      <protection locked="0"/>
    </xf>
    <xf numFmtId="0" fontId="14" fillId="5" borderId="5" xfId="0" applyFont="1" applyFill="1" applyBorder="1" applyAlignment="1" applyProtection="1">
      <alignment horizontal="left" vertical="top"/>
      <protection locked="0"/>
    </xf>
    <xf numFmtId="0" fontId="14" fillId="8" borderId="0" xfId="542" quotePrefix="1" applyFont="1" applyFill="1" applyAlignment="1">
      <alignment horizontal="left"/>
    </xf>
    <xf numFmtId="0" fontId="21" fillId="8" borderId="0" xfId="539" applyFont="1" applyFill="1" applyAlignment="1" applyProtection="1">
      <alignment horizontal="centerContinuous"/>
    </xf>
    <xf numFmtId="0" fontId="14" fillId="8" borderId="0" xfId="542" applyFont="1" applyFill="1"/>
    <xf numFmtId="5" fontId="14" fillId="0" borderId="0" xfId="542" applyNumberFormat="1" applyFont="1"/>
    <xf numFmtId="9" fontId="14" fillId="0" borderId="0" xfId="0" applyNumberFormat="1" applyFont="1"/>
    <xf numFmtId="168" fontId="21" fillId="0" borderId="6" xfId="543" applyNumberFormat="1" applyFont="1" applyBorder="1" applyAlignment="1">
      <alignment horizontal="left"/>
    </xf>
    <xf numFmtId="168" fontId="21" fillId="0" borderId="6" xfId="543" applyNumberFormat="1" applyFont="1" applyBorder="1" applyAlignment="1">
      <alignment horizontal="center"/>
    </xf>
    <xf numFmtId="0" fontId="14" fillId="0" borderId="11" xfId="0" applyFont="1" applyBorder="1" applyAlignment="1">
      <alignment horizontal="left"/>
    </xf>
    <xf numFmtId="0" fontId="14" fillId="0" borderId="7" xfId="0" applyFont="1" applyBorder="1"/>
    <xf numFmtId="0" fontId="14" fillId="0" borderId="12" xfId="0" applyFont="1" applyBorder="1"/>
    <xf numFmtId="0" fontId="14" fillId="0" borderId="10" xfId="0" applyFont="1" applyBorder="1"/>
    <xf numFmtId="0" fontId="24" fillId="0" borderId="0" xfId="543" applyFont="1"/>
    <xf numFmtId="0" fontId="14" fillId="0" borderId="1" xfId="0" applyFont="1" applyBorder="1"/>
    <xf numFmtId="0" fontId="32" fillId="0" borderId="7" xfId="543" applyFont="1" applyBorder="1"/>
    <xf numFmtId="0" fontId="21" fillId="0" borderId="12" xfId="543" applyFont="1" applyBorder="1" applyAlignment="1">
      <alignment horizontal="center" vertical="top"/>
    </xf>
    <xf numFmtId="0" fontId="22" fillId="0" borderId="8" xfId="543" applyFont="1" applyBorder="1" applyAlignment="1">
      <alignment horizontal="left" vertical="top" wrapText="1"/>
    </xf>
    <xf numFmtId="0" fontId="22" fillId="0" borderId="12" xfId="543" applyFont="1" applyBorder="1" applyAlignment="1">
      <alignment horizontal="center" vertical="top" wrapText="1"/>
    </xf>
    <xf numFmtId="0" fontId="22" fillId="0" borderId="1" xfId="543" applyFont="1" applyBorder="1" applyAlignment="1">
      <alignment horizontal="left" vertical="top" wrapText="1"/>
    </xf>
    <xf numFmtId="0" fontId="22" fillId="0" borderId="2" xfId="543" applyFont="1" applyBorder="1" applyAlignment="1">
      <alignment horizontal="center" vertical="top" wrapText="1"/>
    </xf>
    <xf numFmtId="0" fontId="22" fillId="0" borderId="0" xfId="543" applyFont="1" applyAlignment="1">
      <alignment horizontal="center" vertical="top" wrapText="1"/>
    </xf>
    <xf numFmtId="0" fontId="22" fillId="0" borderId="9" xfId="543" applyFont="1" applyBorder="1" applyAlignment="1">
      <alignment horizontal="left" vertical="top" wrapText="1"/>
    </xf>
    <xf numFmtId="0" fontId="22" fillId="0" borderId="6" xfId="543" applyFont="1" applyBorder="1" applyAlignment="1">
      <alignment horizontal="center" vertical="top" wrapText="1"/>
    </xf>
    <xf numFmtId="0" fontId="21" fillId="0" borderId="0" xfId="543" applyFont="1" applyAlignment="1">
      <alignment horizontal="center"/>
    </xf>
    <xf numFmtId="0" fontId="30" fillId="0" borderId="9" xfId="543" applyFont="1" applyBorder="1" applyAlignment="1">
      <alignment horizontal="left" vertical="top" wrapText="1"/>
    </xf>
    <xf numFmtId="2" fontId="14" fillId="0" borderId="11" xfId="0" applyNumberFormat="1" applyFont="1" applyBorder="1"/>
    <xf numFmtId="0" fontId="14" fillId="0" borderId="15" xfId="0" applyFont="1" applyBorder="1"/>
    <xf numFmtId="0" fontId="30" fillId="0" borderId="8" xfId="543" applyFont="1" applyBorder="1" applyAlignment="1">
      <alignment horizontal="left" vertical="top" wrapText="1"/>
    </xf>
    <xf numFmtId="0" fontId="30" fillId="0" borderId="0" xfId="543" applyFont="1" applyAlignment="1">
      <alignment horizontal="center" vertical="top" wrapText="1"/>
    </xf>
    <xf numFmtId="0" fontId="22" fillId="0" borderId="0" xfId="543" applyFont="1" applyAlignment="1">
      <alignment horizontal="center"/>
    </xf>
    <xf numFmtId="0" fontId="30" fillId="0" borderId="4" xfId="543" applyFont="1" applyBorder="1" applyAlignment="1">
      <alignment horizontal="right" vertical="top" wrapText="1"/>
    </xf>
    <xf numFmtId="0" fontId="30" fillId="0" borderId="0" xfId="543" applyFont="1" applyAlignment="1">
      <alignment horizontal="right" vertical="top" wrapText="1"/>
    </xf>
    <xf numFmtId="0" fontId="21" fillId="0" borderId="0" xfId="543" applyFont="1" applyAlignment="1">
      <alignment horizontal="right" vertical="top" wrapText="1"/>
    </xf>
    <xf numFmtId="0" fontId="21" fillId="0" borderId="2" xfId="543" applyFont="1" applyBorder="1" applyAlignment="1">
      <alignment horizontal="right" vertical="top" wrapText="1"/>
    </xf>
    <xf numFmtId="0" fontId="21" fillId="0" borderId="0" xfId="543" applyFont="1" applyAlignment="1">
      <alignment vertical="center" wrapText="1"/>
    </xf>
    <xf numFmtId="0" fontId="22" fillId="0" borderId="0" xfId="543" applyFont="1"/>
    <xf numFmtId="0" fontId="14" fillId="0" borderId="0" xfId="543" applyAlignment="1">
      <alignment horizontal="left"/>
    </xf>
    <xf numFmtId="0" fontId="44" fillId="4" borderId="11" xfId="0" applyFont="1" applyFill="1" applyBorder="1" applyAlignment="1">
      <alignment vertical="top" wrapText="1"/>
    </xf>
    <xf numFmtId="0" fontId="44" fillId="2" borderId="11" xfId="0" applyFont="1" applyFill="1" applyBorder="1" applyAlignment="1">
      <alignment vertical="top" wrapText="1"/>
    </xf>
    <xf numFmtId="168" fontId="44" fillId="6" borderId="11" xfId="0" applyNumberFormat="1" applyFont="1" applyFill="1" applyBorder="1" applyAlignment="1">
      <alignment horizontal="center" vertical="top" wrapText="1"/>
    </xf>
    <xf numFmtId="0" fontId="44" fillId="0" borderId="11" xfId="0" applyFont="1" applyBorder="1" applyAlignment="1">
      <alignment horizontal="right" vertical="top"/>
    </xf>
    <xf numFmtId="168" fontId="44" fillId="0" borderId="11" xfId="0" applyNumberFormat="1" applyFont="1" applyBorder="1" applyAlignment="1">
      <alignment vertical="top"/>
    </xf>
    <xf numFmtId="168" fontId="44" fillId="5" borderId="11" xfId="0" applyNumberFormat="1" applyFont="1" applyFill="1" applyBorder="1" applyAlignment="1" applyProtection="1">
      <alignment vertical="top"/>
      <protection locked="0"/>
    </xf>
    <xf numFmtId="168" fontId="44" fillId="6" borderId="11" xfId="0" applyNumberFormat="1" applyFont="1" applyFill="1" applyBorder="1" applyAlignment="1">
      <alignment horizontal="center" vertical="top"/>
    </xf>
    <xf numFmtId="0" fontId="44" fillId="2" borderId="11" xfId="0" applyFont="1" applyFill="1" applyBorder="1" applyAlignment="1" applyProtection="1">
      <alignment vertical="top"/>
      <protection locked="0"/>
    </xf>
    <xf numFmtId="168" fontId="44" fillId="44" borderId="11" xfId="0" applyNumberFormat="1" applyFont="1" applyFill="1" applyBorder="1" applyAlignment="1">
      <alignment vertical="top" wrapText="1"/>
    </xf>
    <xf numFmtId="0" fontId="44" fillId="0" borderId="0" xfId="0" applyFont="1" applyAlignment="1">
      <alignment horizontal="left" vertical="top"/>
    </xf>
    <xf numFmtId="3" fontId="44" fillId="0" borderId="11" xfId="0" applyNumberFormat="1" applyFont="1" applyBorder="1" applyAlignment="1">
      <alignment vertical="top" wrapText="1"/>
    </xf>
    <xf numFmtId="0" fontId="44" fillId="2" borderId="12" xfId="0" applyFont="1" applyFill="1" applyBorder="1" applyAlignment="1">
      <alignment vertical="top" wrapText="1"/>
    </xf>
    <xf numFmtId="0" fontId="14" fillId="0" borderId="0" xfId="0" applyFont="1" applyAlignment="1">
      <alignment horizontal="right" vertical="top" wrapText="1"/>
    </xf>
    <xf numFmtId="10" fontId="14" fillId="5" borderId="6" xfId="0" applyNumberFormat="1" applyFont="1" applyFill="1" applyBorder="1" applyAlignment="1" applyProtection="1">
      <alignment horizontal="center" vertical="top" wrapText="1"/>
      <protection locked="0"/>
    </xf>
    <xf numFmtId="172" fontId="14" fillId="0" borderId="0" xfId="0" applyNumberFormat="1" applyFont="1" applyAlignment="1">
      <alignment horizontal="center"/>
    </xf>
    <xf numFmtId="10" fontId="37" fillId="0" borderId="0" xfId="0" applyNumberFormat="1" applyFont="1" applyAlignment="1">
      <alignment horizontal="center"/>
    </xf>
    <xf numFmtId="172" fontId="14" fillId="5" borderId="0" xfId="0" applyNumberFormat="1" applyFont="1" applyFill="1" applyAlignment="1">
      <alignment horizontal="center"/>
    </xf>
    <xf numFmtId="3" fontId="14" fillId="0" borderId="0" xfId="0" applyNumberFormat="1" applyFont="1" applyAlignment="1">
      <alignment vertical="top"/>
    </xf>
    <xf numFmtId="0" fontId="14"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wrapText="1"/>
    </xf>
    <xf numFmtId="0" fontId="15" fillId="0" borderId="0" xfId="244" applyAlignment="1"/>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1192" applyAlignment="1">
      <alignment horizontal="left"/>
    </xf>
    <xf numFmtId="4" fontId="14" fillId="0" borderId="0" xfId="1192" applyNumberFormat="1" applyAlignment="1">
      <alignment horizontal="left" vertical="top" wrapText="1"/>
    </xf>
    <xf numFmtId="0" fontId="32" fillId="0" borderId="0" xfId="0" applyFont="1" applyAlignment="1">
      <alignment horizontal="left"/>
    </xf>
    <xf numFmtId="0" fontId="21" fillId="0" borderId="0" xfId="0" applyFont="1" applyAlignment="1">
      <alignment horizontal="left"/>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569" applyAlignment="1">
      <alignment horizontal="left" vertical="top"/>
    </xf>
    <xf numFmtId="0" fontId="14" fillId="0" borderId="0" xfId="271" applyFont="1" applyAlignment="1">
      <alignment horizontal="left" vertical="top" wrapText="1"/>
    </xf>
    <xf numFmtId="0" fontId="14" fillId="0" borderId="0" xfId="0" applyFont="1" applyAlignment="1">
      <alignment horizontal="left" vertical="top"/>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0" xfId="569"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4" fontId="14" fillId="0" borderId="0" xfId="569" applyNumberFormat="1" applyAlignment="1">
      <alignment horizontal="left"/>
    </xf>
    <xf numFmtId="0" fontId="14" fillId="0" borderId="0" xfId="569" applyAlignment="1">
      <alignment wrapText="1"/>
    </xf>
    <xf numFmtId="0" fontId="14" fillId="0" borderId="0" xfId="1192" applyAlignment="1">
      <alignment vertical="top" wrapText="1"/>
    </xf>
    <xf numFmtId="4" fontId="14" fillId="0" borderId="0" xfId="0" applyNumberFormat="1" applyFont="1" applyAlignment="1">
      <alignment horizontal="left"/>
    </xf>
    <xf numFmtId="0" fontId="14" fillId="0" borderId="0" xfId="0" applyFont="1" applyAlignment="1">
      <alignment vertical="top" wrapText="1"/>
    </xf>
    <xf numFmtId="0" fontId="21" fillId="0" borderId="0" xfId="0" applyFont="1" applyAlignment="1">
      <alignment vertical="top" wrapText="1"/>
    </xf>
    <xf numFmtId="0" fontId="21" fillId="0" borderId="0" xfId="1192" applyFont="1" applyAlignment="1">
      <alignment horizontal="left" vertical="top" wrapText="1"/>
    </xf>
    <xf numFmtId="0" fontId="14" fillId="0" borderId="0" xfId="569" applyAlignment="1">
      <alignment vertical="top" wrapText="1"/>
    </xf>
    <xf numFmtId="0" fontId="14" fillId="0" borderId="0" xfId="0" quotePrefix="1" applyFont="1" applyAlignment="1">
      <alignment horizontal="left" vertical="top"/>
    </xf>
    <xf numFmtId="0" fontId="21" fillId="0" borderId="0" xfId="569" applyFont="1" applyAlignment="1">
      <alignment horizontal="center"/>
    </xf>
    <xf numFmtId="0" fontId="21" fillId="0" borderId="0" xfId="0" applyFont="1" applyAlignment="1">
      <alignment horizontal="left" vertical="top"/>
    </xf>
    <xf numFmtId="0" fontId="21" fillId="0" borderId="0" xfId="569" applyFont="1" applyAlignment="1">
      <alignment horizontal="left"/>
    </xf>
    <xf numFmtId="0" fontId="32" fillId="0" borderId="0" xfId="569" applyFont="1" applyAlignment="1">
      <alignment horizontal="center"/>
    </xf>
    <xf numFmtId="0" fontId="0" fillId="0" borderId="6" xfId="0" applyBorder="1" applyAlignment="1">
      <alignment horizontal="left"/>
    </xf>
    <xf numFmtId="0" fontId="0" fillId="5" borderId="4" xfId="0" applyFill="1" applyBorder="1" applyAlignment="1" applyProtection="1">
      <alignment horizontal="left"/>
      <protection locked="0"/>
    </xf>
    <xf numFmtId="0" fontId="14" fillId="0" borderId="0" xfId="0" applyFont="1" applyAlignment="1">
      <alignment wrapText="1"/>
    </xf>
    <xf numFmtId="0" fontId="41"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166" fontId="14" fillId="5" borderId="6" xfId="0" applyNumberFormat="1"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1" fillId="0" borderId="2" xfId="0" applyFont="1" applyBorder="1" applyAlignment="1">
      <alignment horizontal="center"/>
    </xf>
    <xf numFmtId="0" fontId="21" fillId="0" borderId="0" xfId="0" applyFont="1" applyAlignment="1">
      <alignment horizontal="center" vertical="center"/>
    </xf>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4" xfId="0"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14" fillId="0" borderId="0" xfId="543" applyAlignment="1">
      <alignment horizontal="center"/>
    </xf>
    <xf numFmtId="0" fontId="21" fillId="0" borderId="7" xfId="0" applyFont="1" applyBorder="1" applyAlignment="1">
      <alignment horizontal="right"/>
    </xf>
    <xf numFmtId="0" fontId="14" fillId="0" borderId="4" xfId="0" applyFont="1" applyBorder="1" applyAlignment="1">
      <alignment horizontal="left"/>
    </xf>
    <xf numFmtId="0" fontId="21" fillId="0" borderId="4" xfId="0" applyFont="1" applyBorder="1" applyAlignment="1">
      <alignment horizontal="center"/>
    </xf>
    <xf numFmtId="0" fontId="21" fillId="0" borderId="6" xfId="0" applyFont="1" applyBorder="1" applyAlignment="1">
      <alignment horizontal="right"/>
    </xf>
    <xf numFmtId="0" fontId="21" fillId="0" borderId="7" xfId="543" applyFont="1" applyBorder="1" applyAlignment="1">
      <alignment horizontal="right"/>
    </xf>
    <xf numFmtId="0" fontId="21" fillId="0" borderId="6" xfId="0" applyFont="1" applyBorder="1" applyAlignment="1">
      <alignment horizontal="center"/>
    </xf>
    <xf numFmtId="0" fontId="14" fillId="0" borderId="3" xfId="0" applyFont="1" applyBorder="1"/>
    <xf numFmtId="0" fontId="14" fillId="0" borderId="4" xfId="0" applyFont="1" applyBorder="1"/>
    <xf numFmtId="0" fontId="14" fillId="0" borderId="5" xfId="0" applyFont="1" applyBorder="1"/>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applyAlignment="1">
      <alignment horizontal="left"/>
    </xf>
    <xf numFmtId="0" fontId="22" fillId="0" borderId="0" xfId="0" applyFont="1" applyAlignment="1">
      <alignment horizontal="center"/>
    </xf>
    <xf numFmtId="0" fontId="0" fillId="5" borderId="6" xfId="0" applyFill="1" applyBorder="1" applyProtection="1">
      <protection locked="0"/>
    </xf>
    <xf numFmtId="0" fontId="14" fillId="0" borderId="0" xfId="0" applyFont="1" applyAlignment="1" applyProtection="1">
      <alignment horizontal="left"/>
      <protection locked="0"/>
    </xf>
    <xf numFmtId="0" fontId="0" fillId="0" borderId="0" xfId="0" applyAlignment="1">
      <alignment vertical="top" wrapText="1"/>
    </xf>
    <xf numFmtId="0" fontId="0" fillId="0" borderId="12" xfId="0" applyBorder="1" applyAlignment="1">
      <alignment horizontal="center"/>
    </xf>
    <xf numFmtId="0" fontId="0" fillId="0" borderId="5" xfId="0" applyBorder="1" applyAlignment="1">
      <alignment horizontal="left"/>
    </xf>
    <xf numFmtId="0" fontId="0" fillId="0" borderId="6" xfId="0" applyBorder="1" applyAlignment="1">
      <alignment horizontal="left" wrapText="1"/>
    </xf>
    <xf numFmtId="0" fontId="44" fillId="0" borderId="0" xfId="0" applyFont="1" applyAlignment="1">
      <alignment vertical="top" wrapText="1"/>
    </xf>
    <xf numFmtId="0" fontId="14" fillId="0" borderId="0" xfId="569" applyAlignment="1">
      <alignment horizontal="right" vertical="top" wrapText="1"/>
    </xf>
    <xf numFmtId="0" fontId="14" fillId="0" borderId="0" xfId="4495" applyFont="1" applyAlignment="1">
      <alignment horizontal="left" vertical="center" wrapText="1"/>
    </xf>
    <xf numFmtId="0" fontId="21" fillId="0" borderId="0" xfId="4495" applyFont="1" applyAlignment="1">
      <alignment horizontal="right"/>
    </xf>
    <xf numFmtId="0" fontId="110" fillId="0" borderId="53" xfId="4496" applyFont="1" applyBorder="1" applyAlignment="1">
      <alignment horizontal="left" vertical="top" wrapText="1"/>
    </xf>
    <xf numFmtId="0" fontId="110" fillId="0" borderId="0" xfId="4496" applyFont="1" applyAlignment="1">
      <alignment horizontal="left" vertical="top" wrapText="1"/>
    </xf>
    <xf numFmtId="0" fontId="110" fillId="0" borderId="54" xfId="4496" applyFont="1" applyBorder="1" applyAlignment="1">
      <alignment horizontal="left" vertical="top"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21" fillId="0" borderId="0" xfId="4495" applyFont="1" applyAlignment="1">
      <alignment horizontal="center" vertical="top"/>
    </xf>
    <xf numFmtId="0" fontId="14" fillId="0" borderId="0" xfId="1192" applyAlignment="1">
      <alignment horizontal="right"/>
    </xf>
    <xf numFmtId="9" fontId="14" fillId="0" borderId="0" xfId="1192" quotePrefix="1" applyNumberFormat="1" applyAlignment="1">
      <alignment horizontal="center"/>
    </xf>
    <xf numFmtId="0" fontId="14" fillId="0" borderId="0" xfId="4495" applyFont="1" applyAlignment="1">
      <alignment horizontal="left"/>
    </xf>
    <xf numFmtId="0" fontId="21" fillId="0" borderId="0" xfId="4495" applyFont="1" applyAlignment="1">
      <alignment horizontal="left" vertical="top"/>
    </xf>
    <xf numFmtId="0" fontId="108" fillId="0" borderId="0" xfId="4495" applyAlignment="1" applyProtection="1">
      <alignment horizontal="center"/>
      <protection locked="0"/>
    </xf>
    <xf numFmtId="165" fontId="14" fillId="0" borderId="0" xfId="1192" applyNumberFormat="1" applyAlignment="1">
      <alignment horizontal="right"/>
    </xf>
    <xf numFmtId="0" fontId="14" fillId="0" borderId="0" xfId="4495" applyFont="1" applyAlignment="1">
      <alignment horizontal="left" vertical="top" wrapText="1"/>
    </xf>
    <xf numFmtId="0" fontId="14" fillId="0" borderId="58" xfId="4495" applyFont="1" applyBorder="1" applyAlignment="1">
      <alignment horizontal="left" vertical="top" wrapText="1"/>
    </xf>
    <xf numFmtId="0" fontId="14" fillId="0" borderId="51" xfId="4495" applyFont="1" applyBorder="1" applyAlignment="1">
      <alignment horizontal="left" vertical="top" wrapText="1"/>
    </xf>
    <xf numFmtId="0" fontId="118" fillId="0" borderId="0" xfId="4495" applyFont="1" applyAlignment="1">
      <alignment horizontal="left" vertical="top" wrapText="1"/>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4" fillId="0" borderId="0" xfId="4495" applyFont="1" applyAlignment="1">
      <alignment horizontal="left" vertical="center" wrapText="1" shrinkToFit="1"/>
    </xf>
    <xf numFmtId="0" fontId="22" fillId="0" borderId="0" xfId="4495" applyFont="1" applyAlignment="1">
      <alignment horizontal="center"/>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08" fillId="0" borderId="0" xfId="4495" applyAlignment="1">
      <alignment horizontal="center"/>
    </xf>
    <xf numFmtId="0" fontId="108" fillId="0" borderId="53" xfId="4495" applyBorder="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0" fontId="21" fillId="0" borderId="3" xfId="4495" applyFont="1" applyBorder="1" applyAlignment="1">
      <alignment horizontal="left"/>
    </xf>
    <xf numFmtId="168" fontId="86" fillId="0" borderId="11" xfId="4499" applyNumberFormat="1" applyFont="1" applyFill="1" applyBorder="1" applyAlignment="1" applyProtection="1">
      <alignment horizontal="left" vertical="center" indent="1"/>
    </xf>
    <xf numFmtId="0" fontId="137" fillId="47" borderId="11" xfId="8726" applyFont="1" applyFill="1" applyBorder="1" applyAlignment="1">
      <alignment horizontal="center"/>
    </xf>
    <xf numFmtId="0" fontId="137" fillId="47" borderId="91" xfId="8726" applyFont="1" applyFill="1" applyBorder="1" applyAlignment="1">
      <alignment horizontal="center"/>
    </xf>
    <xf numFmtId="0" fontId="90" fillId="48" borderId="41" xfId="8726" applyFont="1" applyFill="1" applyBorder="1" applyAlignment="1">
      <alignment horizontal="center"/>
    </xf>
    <xf numFmtId="0" fontId="44" fillId="0" borderId="0" xfId="569" applyFont="1" applyAlignment="1">
      <alignment horizontal="left"/>
    </xf>
    <xf numFmtId="0" fontId="14" fillId="0" borderId="0" xfId="0" applyFont="1" applyAlignment="1">
      <alignment horizontal="left" vertical="top" wrapText="1"/>
    </xf>
    <xf numFmtId="0" fontId="15" fillId="0" borderId="0" xfId="244" applyAlignment="1"/>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0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9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14" fillId="0" borderId="0" xfId="0" applyFont="1" applyAlignment="1">
      <alignment horizontal="left" vertical="top"/>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21"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02" fillId="0" borderId="0" xfId="569" applyFont="1" applyAlignment="1">
      <alignment horizontal="center"/>
    </xf>
    <xf numFmtId="0" fontId="10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14" fillId="5" borderId="3" xfId="0"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5" xfId="0" applyFont="1" applyFill="1" applyBorder="1" applyAlignment="1" applyProtection="1">
      <alignment horizontal="center"/>
      <protection locked="0"/>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0" xfId="0" applyFont="1" applyAlignment="1">
      <alignment horizontal="center" vertical="top" wrapText="1"/>
    </xf>
    <xf numFmtId="0" fontId="14" fillId="0" borderId="12" xfId="0" applyFont="1" applyBorder="1" applyAlignment="1">
      <alignment horizontal="center" vertical="top" wrapText="1"/>
    </xf>
    <xf numFmtId="0" fontId="14" fillId="0" borderId="9" xfId="0" applyFont="1" applyBorder="1" applyAlignment="1">
      <alignment horizontal="center" vertical="top" wrapText="1"/>
    </xf>
    <xf numFmtId="0" fontId="14" fillId="0" borderId="6" xfId="0" applyFont="1" applyBorder="1" applyAlignment="1">
      <alignment horizontal="center" vertical="top" wrapText="1"/>
    </xf>
    <xf numFmtId="0" fontId="14" fillId="0" borderId="10" xfId="0" applyFont="1" applyBorder="1" applyAlignment="1">
      <alignment horizontal="center" vertical="top" wrapText="1"/>
    </xf>
    <xf numFmtId="168" fontId="14" fillId="5" borderId="3" xfId="0" applyNumberFormat="1" applyFont="1" applyFill="1" applyBorder="1" applyAlignment="1" applyProtection="1">
      <alignment horizontal="center"/>
      <protection locked="0"/>
    </xf>
    <xf numFmtId="168" fontId="14" fillId="5" borderId="4" xfId="0" applyNumberFormat="1" applyFont="1" applyFill="1" applyBorder="1" applyAlignment="1" applyProtection="1">
      <alignment horizontal="center"/>
      <protection locked="0"/>
    </xf>
    <xf numFmtId="168" fontId="14" fillId="5" borderId="5" xfId="0" applyNumberFormat="1" applyFont="1" applyFill="1" applyBorder="1" applyAlignment="1" applyProtection="1">
      <alignment horizontal="center"/>
      <protection locked="0"/>
    </xf>
    <xf numFmtId="168" fontId="14" fillId="0" borderId="3" xfId="0" applyNumberFormat="1" applyFont="1" applyBorder="1" applyAlignment="1">
      <alignment horizontal="center"/>
    </xf>
    <xf numFmtId="168" fontId="14" fillId="0" borderId="4" xfId="0" applyNumberFormat="1" applyFont="1" applyBorder="1" applyAlignment="1">
      <alignment horizontal="center"/>
    </xf>
    <xf numFmtId="168" fontId="14" fillId="0" borderId="5" xfId="0" applyNumberFormat="1" applyFont="1" applyBorder="1" applyAlignment="1">
      <alignment horizontal="center"/>
    </xf>
    <xf numFmtId="165" fontId="14" fillId="0" borderId="1" xfId="0" applyNumberFormat="1" applyFont="1" applyBorder="1" applyAlignment="1">
      <alignment horizontal="right"/>
    </xf>
    <xf numFmtId="165" fontId="14" fillId="0" borderId="2" xfId="0" applyNumberFormat="1" applyFont="1" applyBorder="1" applyAlignment="1">
      <alignment horizontal="right"/>
    </xf>
    <xf numFmtId="165" fontId="14" fillId="0" borderId="7" xfId="0" applyNumberFormat="1" applyFont="1" applyBorder="1" applyAlignment="1">
      <alignment horizontal="right"/>
    </xf>
    <xf numFmtId="9" fontId="14" fillId="5" borderId="3" xfId="0" applyNumberFormat="1" applyFont="1" applyFill="1" applyBorder="1" applyAlignment="1" applyProtection="1">
      <alignment horizontal="center"/>
      <protection locked="0"/>
    </xf>
    <xf numFmtId="9" fontId="14" fillId="5" borderId="4" xfId="0" applyNumberFormat="1" applyFont="1" applyFill="1" applyBorder="1" applyAlignment="1" applyProtection="1">
      <alignment horizontal="center"/>
      <protection locked="0"/>
    </xf>
    <xf numFmtId="9" fontId="14"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14" fillId="5" borderId="3" xfId="0" applyNumberFormat="1" applyFont="1" applyFill="1" applyBorder="1" applyAlignment="1" applyProtection="1">
      <alignment horizontal="center"/>
      <protection locked="0"/>
    </xf>
    <xf numFmtId="1" fontId="14" fillId="5" borderId="4" xfId="0" applyNumberFormat="1" applyFont="1" applyFill="1" applyBorder="1" applyAlignment="1" applyProtection="1">
      <alignment horizontal="center"/>
      <protection locked="0"/>
    </xf>
    <xf numFmtId="1" fontId="14"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4" fillId="0" borderId="11"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2" borderId="11" xfId="0" applyFont="1" applyFill="1" applyBorder="1" applyAlignment="1">
      <alignment horizontal="center"/>
    </xf>
    <xf numFmtId="0" fontId="14" fillId="45" borderId="3" xfId="0" applyFont="1" applyFill="1" applyBorder="1" applyAlignment="1">
      <alignment horizontal="center"/>
    </xf>
    <xf numFmtId="0" fontId="14" fillId="45" borderId="4" xfId="0" applyFont="1" applyFill="1" applyBorder="1" applyAlignment="1">
      <alignment horizontal="center"/>
    </xf>
    <xf numFmtId="0" fontId="14" fillId="45" borderId="5" xfId="0" applyFont="1" applyFill="1" applyBorder="1" applyAlignment="1">
      <alignment horizontal="center"/>
    </xf>
    <xf numFmtId="0" fontId="14" fillId="45" borderId="11" xfId="0" applyFont="1" applyFill="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4" fillId="5" borderId="9" xfId="0" applyFont="1" applyFill="1" applyBorder="1" applyAlignment="1" applyProtection="1">
      <alignment horizontal="center"/>
      <protection locked="0"/>
    </xf>
    <xf numFmtId="0" fontId="14" fillId="5" borderId="6" xfId="0" applyFont="1" applyFill="1"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3" fontId="14" fillId="0" borderId="11" xfId="0" applyNumberFormat="1" applyFont="1" applyBorder="1" applyAlignment="1">
      <alignment horizontal="center"/>
    </xf>
    <xf numFmtId="168" fontId="14" fillId="0" borderId="11" xfId="0" applyNumberFormat="1" applyFont="1"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4" fillId="5" borderId="11" xfId="0" applyFont="1" applyFill="1" applyBorder="1" applyAlignment="1" applyProtection="1">
      <alignment horizontal="left" vertical="center" wrapText="1"/>
      <protection locked="0"/>
    </xf>
    <xf numFmtId="0" fontId="0" fillId="5" borderId="6" xfId="0" applyFill="1" applyBorder="1" applyAlignment="1" applyProtection="1">
      <alignment horizontal="center"/>
      <protection locked="0"/>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 fontId="14" fillId="5" borderId="3" xfId="0" applyNumberFormat="1" applyFont="1" applyFill="1" applyBorder="1" applyAlignment="1" applyProtection="1">
      <alignment horizontal="right" vertical="top"/>
      <protection locked="0"/>
    </xf>
    <xf numFmtId="1" fontId="14" fillId="5" borderId="4" xfId="0" applyNumberFormat="1" applyFont="1" applyFill="1" applyBorder="1" applyAlignment="1" applyProtection="1">
      <alignment horizontal="right" vertical="top"/>
      <protection locked="0"/>
    </xf>
    <xf numFmtId="1" fontId="14" fillId="5" borderId="5" xfId="0" applyNumberFormat="1" applyFont="1" applyFill="1" applyBorder="1" applyAlignment="1" applyProtection="1">
      <alignment horizontal="right" vertical="top"/>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3" fontId="0" fillId="0" borderId="6" xfId="0" applyNumberFormat="1" applyBorder="1" applyAlignment="1">
      <alignment horizontal="right"/>
    </xf>
    <xf numFmtId="3" fontId="14" fillId="5" borderId="11" xfId="0" applyNumberFormat="1" applyFon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14" fillId="5" borderId="11" xfId="0" applyFont="1" applyFill="1" applyBorder="1" applyAlignment="1" applyProtection="1">
      <alignment horizontal="center"/>
      <protection locked="0"/>
    </xf>
    <xf numFmtId="0" fontId="0" fillId="0" borderId="12" xfId="0" applyBorder="1" applyAlignment="1">
      <alignment horizontal="center"/>
    </xf>
    <xf numFmtId="165" fontId="14" fillId="5" borderId="3" xfId="0" applyNumberFormat="1" applyFont="1" applyFill="1" applyBorder="1" applyAlignment="1" applyProtection="1">
      <alignment horizontal="center"/>
      <protection locked="0"/>
    </xf>
    <xf numFmtId="165" fontId="14" fillId="5" borderId="4" xfId="0" applyNumberFormat="1" applyFont="1" applyFill="1" applyBorder="1" applyAlignment="1" applyProtection="1">
      <alignment horizontal="center"/>
      <protection locked="0"/>
    </xf>
    <xf numFmtId="165" fontId="14"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5" borderId="6" xfId="0" applyFill="1" applyBorder="1" applyAlignment="1" applyProtection="1">
      <alignment horizontal="left"/>
      <protection locked="0"/>
    </xf>
    <xf numFmtId="10" fontId="14"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4" fillId="5" borderId="6" xfId="0" applyNumberFormat="1" applyFont="1" applyFill="1" applyBorder="1" applyAlignment="1" applyProtection="1">
      <alignment horizontal="right"/>
      <protection locked="0"/>
    </xf>
    <xf numFmtId="166" fontId="14" fillId="5" borderId="4" xfId="0" applyNumberFormat="1" applyFont="1" applyFill="1" applyBorder="1" applyAlignment="1" applyProtection="1">
      <alignment horizontal="left"/>
      <protection locked="0"/>
    </xf>
    <xf numFmtId="0" fontId="14" fillId="5" borderId="0" xfId="0" applyFont="1" applyFill="1" applyAlignment="1" applyProtection="1">
      <alignment horizontal="left" vertical="top" wrapText="1"/>
      <protection locked="0"/>
    </xf>
    <xf numFmtId="0" fontId="14"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10" fontId="14" fillId="5" borderId="4" xfId="0" applyNumberFormat="1" applyFont="1" applyFill="1" applyBorder="1" applyAlignment="1" applyProtection="1">
      <alignment horizontal="right"/>
      <protection locked="0"/>
    </xf>
    <xf numFmtId="0" fontId="20" fillId="3" borderId="0" xfId="0" applyFont="1" applyFill="1" applyAlignment="1">
      <alignment horizontal="center" vertical="center"/>
    </xf>
    <xf numFmtId="2" fontId="0" fillId="0" borderId="6" xfId="0" applyNumberFormat="1" applyBorder="1" applyAlignment="1">
      <alignment horizontal="center"/>
    </xf>
    <xf numFmtId="1" fontId="14" fillId="5" borderId="11" xfId="0" quotePrefix="1" applyNumberFormat="1" applyFont="1" applyFill="1" applyBorder="1" applyAlignment="1" applyProtection="1">
      <alignment horizontal="center"/>
      <protection locked="0"/>
    </xf>
    <xf numFmtId="1" fontId="14" fillId="5" borderId="11" xfId="0" applyNumberFormat="1" applyFon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4" fillId="5" borderId="6" xfId="0" applyFon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0" fontId="14" fillId="5" borderId="4" xfId="0" applyFont="1" applyFill="1" applyBorder="1" applyAlignment="1" applyProtection="1">
      <alignment horizontal="left"/>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6" xfId="0" applyFont="1" applyBorder="1" applyAlignment="1">
      <alignment horizontal="right"/>
    </xf>
    <xf numFmtId="0" fontId="21" fillId="0" borderId="5" xfId="0" applyFont="1" applyBorder="1" applyAlignment="1">
      <alignment horizontal="right"/>
    </xf>
    <xf numFmtId="0" fontId="2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44" fillId="0" borderId="2" xfId="0" applyNumberFormat="1" applyFont="1" applyBorder="1" applyAlignment="1">
      <alignment horizontal="left" vertical="top" wrapText="1"/>
    </xf>
    <xf numFmtId="168" fontId="44" fillId="0" borderId="0" xfId="0" applyNumberFormat="1" applyFont="1" applyAlignment="1">
      <alignment horizontal="left" vertical="top" wrapText="1"/>
    </xf>
    <xf numFmtId="178" fontId="14" fillId="5" borderId="4" xfId="0" applyNumberFormat="1" applyFont="1" applyFill="1" applyBorder="1" applyAlignment="1" applyProtection="1">
      <alignment horizontal="right"/>
      <protection locked="0"/>
    </xf>
    <xf numFmtId="0" fontId="22" fillId="43" borderId="6" xfId="0"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21" fillId="0" borderId="4" xfId="0" applyFont="1" applyBorder="1" applyAlignment="1">
      <alignment horizontal="center"/>
    </xf>
    <xf numFmtId="0" fontId="21" fillId="0" borderId="5" xfId="0" applyFont="1" applyBorder="1" applyAlignment="1">
      <alignment horizontal="center"/>
    </xf>
    <xf numFmtId="0" fontId="14" fillId="5" borderId="11" xfId="0" applyFont="1" applyFill="1" applyBorder="1" applyAlignment="1" applyProtection="1">
      <alignment vertical="center" wrapText="1"/>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14" fillId="5" borderId="4" xfId="0" applyFont="1" applyFill="1" applyBorder="1" applyAlignment="1" applyProtection="1">
      <alignment wrapText="1"/>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4" fillId="0" borderId="11" xfId="543" applyBorder="1" applyAlignment="1">
      <alignment horizontal="center"/>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0" fontId="21" fillId="0" borderId="9" xfId="0" applyFont="1" applyBorder="1" applyAlignment="1">
      <alignment horizontal="center"/>
    </xf>
    <xf numFmtId="0" fontId="21" fillId="0" borderId="6"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1" fillId="0" borderId="10" xfId="0" applyFont="1" applyBorder="1" applyAlignment="1">
      <alignment horizontal="center"/>
    </xf>
    <xf numFmtId="0" fontId="21" fillId="0" borderId="3" xfId="0" applyFont="1" applyBorder="1" applyAlignment="1">
      <alignment horizontal="center"/>
    </xf>
    <xf numFmtId="168" fontId="14" fillId="5" borderId="3" xfId="0" applyNumberFormat="1" applyFont="1" applyFill="1" applyBorder="1" applyAlignment="1" applyProtection="1">
      <alignment horizontal="left" vertical="top"/>
      <protection locked="0"/>
    </xf>
    <xf numFmtId="168" fontId="14" fillId="5" borderId="4" xfId="0" applyNumberFormat="1" applyFont="1" applyFill="1" applyBorder="1" applyAlignment="1" applyProtection="1">
      <alignment horizontal="left" vertical="top"/>
      <protection locked="0"/>
    </xf>
    <xf numFmtId="168" fontId="14" fillId="5" borderId="5" xfId="0" applyNumberFormat="1" applyFont="1" applyFill="1" applyBorder="1" applyAlignment="1" applyProtection="1">
      <alignment horizontal="left" vertical="top"/>
      <protection locked="0"/>
    </xf>
    <xf numFmtId="168" fontId="160"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4" fillId="5" borderId="6" xfId="244" applyFon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14" fillId="5" borderId="6" xfId="0" applyFont="1" applyFill="1" applyBorder="1" applyAlignment="1" applyProtection="1">
      <alignment horizontal="left" wrapText="1"/>
      <protection locked="0"/>
    </xf>
    <xf numFmtId="166" fontId="14" fillId="5" borderId="6" xfId="0" applyNumberFormat="1" applyFont="1" applyFill="1" applyBorder="1" applyAlignment="1" applyProtection="1">
      <alignment horizontal="left"/>
      <protection locked="0"/>
    </xf>
    <xf numFmtId="0" fontId="14" fillId="43" borderId="4" xfId="0" applyFont="1" applyFill="1" applyBorder="1" applyAlignment="1" applyProtection="1">
      <alignment horizontal="left" wrapText="1"/>
      <protection locked="0"/>
    </xf>
    <xf numFmtId="1" fontId="14" fillId="5" borderId="6" xfId="0" applyNumberFormat="1" applyFont="1" applyFill="1" applyBorder="1" applyAlignment="1" applyProtection="1">
      <alignment horizontal="right"/>
      <protection locked="0"/>
    </xf>
    <xf numFmtId="180" fontId="0" fillId="0" borderId="6" xfId="0" applyNumberFormat="1" applyBorder="1" applyAlignment="1">
      <alignment horizontal="center"/>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14" fillId="0" borderId="6" xfId="0" applyFont="1" applyBorder="1" applyAlignment="1">
      <alignment horizontal="left"/>
    </xf>
    <xf numFmtId="166" fontId="23" fillId="5" borderId="4" xfId="271" applyNumberFormat="1" applyFill="1" applyBorder="1" applyAlignment="1" applyProtection="1">
      <alignment horizontal="left"/>
      <protection locked="0"/>
    </xf>
    <xf numFmtId="0" fontId="0" fillId="0" borderId="0" xfId="0" applyAlignment="1">
      <alignment wrapText="1"/>
    </xf>
    <xf numFmtId="0" fontId="157" fillId="0" borderId="0" xfId="0" applyFont="1" applyAlignment="1" applyProtection="1">
      <alignment horizontal="left" vertical="top" wrapText="1"/>
      <protection locked="0"/>
    </xf>
    <xf numFmtId="0" fontId="14" fillId="0" borderId="6" xfId="0" applyFont="1" applyBorder="1" applyAlignment="1" applyProtection="1">
      <alignment horizontal="center"/>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0" fontId="0" fillId="43" borderId="6" xfId="0" applyFill="1" applyBorder="1" applyAlignment="1" applyProtection="1">
      <alignment horizontal="left" vertical="top" wrapText="1"/>
      <protection locked="0"/>
    </xf>
    <xf numFmtId="0" fontId="14" fillId="43" borderId="6" xfId="0" applyFont="1" applyFill="1" applyBorder="1" applyAlignment="1" applyProtection="1">
      <alignment vertical="center"/>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14" fillId="0" borderId="6" xfId="0" applyFont="1" applyBorder="1" applyAlignment="1">
      <alignment horizontal="left" wrapText="1"/>
    </xf>
    <xf numFmtId="166" fontId="0" fillId="5" borderId="6" xfId="0"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22" fillId="0" borderId="0" xfId="0" applyFont="1" applyAlignment="1">
      <alignment horizontal="center"/>
    </xf>
    <xf numFmtId="0" fontId="0" fillId="5" borderId="6" xfId="0" applyFill="1" applyBorder="1" applyProtection="1">
      <protection locked="0"/>
    </xf>
    <xf numFmtId="0" fontId="14"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4" fillId="0" borderId="0" xfId="0" applyFont="1" applyAlignment="1" applyProtection="1">
      <alignment horizontal="left"/>
      <protection locked="0"/>
    </xf>
    <xf numFmtId="0" fontId="0" fillId="5" borderId="6" xfId="0" applyFill="1" applyBorder="1" applyAlignment="1" applyProtection="1">
      <alignment horizontal="right"/>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11" xfId="0" applyNumberFormat="1" applyBorder="1" applyAlignment="1">
      <alignment horizontal="right"/>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5" xfId="0" applyNumberFormat="1"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0" fontId="14" fillId="0" borderId="11" xfId="0" applyFont="1" applyBorder="1" applyAlignment="1">
      <alignment horizontal="center" vertical="top" wrapText="1"/>
    </xf>
    <xf numFmtId="0" fontId="0" fillId="0" borderId="9" xfId="0" applyBorder="1" applyAlignment="1">
      <alignment horizontal="left"/>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11" xfId="0" applyNumberFormat="1" applyFill="1" applyBorder="1" applyProtection="1">
      <protection locked="0"/>
    </xf>
    <xf numFmtId="0" fontId="21" fillId="5" borderId="11" xfId="0" applyFont="1" applyFill="1" applyBorder="1" applyAlignment="1" applyProtection="1">
      <alignment horizontal="center"/>
      <protection locked="0"/>
    </xf>
    <xf numFmtId="0" fontId="21"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4" fillId="0" borderId="0" xfId="543" applyAlignment="1">
      <alignment horizontal="center"/>
    </xf>
    <xf numFmtId="9" fontId="14" fillId="0" borderId="0" xfId="543" applyNumberFormat="1" applyAlignment="1">
      <alignment horizontal="center" vertical="center"/>
    </xf>
    <xf numFmtId="2" fontId="14"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4" fillId="0" borderId="3" xfId="0" applyFont="1" applyBorder="1"/>
    <xf numFmtId="0" fontId="14" fillId="0" borderId="4" xfId="0" applyFont="1" applyBorder="1"/>
    <xf numFmtId="0" fontId="14" fillId="0" borderId="5" xfId="0" applyFont="1" applyBorder="1"/>
    <xf numFmtId="171" fontId="14" fillId="0" borderId="0" xfId="543" applyNumberFormat="1" applyAlignment="1">
      <alignment horizontal="center"/>
    </xf>
    <xf numFmtId="171" fontId="14" fillId="0" borderId="0" xfId="543" applyNumberFormat="1" applyAlignment="1">
      <alignment horizontal="right"/>
    </xf>
    <xf numFmtId="0" fontId="44" fillId="5" borderId="3" xfId="0" applyFont="1" applyFill="1" applyBorder="1" applyAlignment="1" applyProtection="1">
      <alignment horizontal="right"/>
      <protection locked="0"/>
    </xf>
    <xf numFmtId="0" fontId="44" fillId="5" borderId="4" xfId="0" applyFont="1" applyFill="1" applyBorder="1" applyAlignment="1" applyProtection="1">
      <alignment horizontal="right"/>
      <protection locked="0"/>
    </xf>
    <xf numFmtId="0" fontId="44" fillId="5" borderId="5" xfId="0" applyFont="1" applyFill="1" applyBorder="1" applyAlignment="1" applyProtection="1">
      <alignment horizontal="right"/>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14" fontId="0" fillId="5" borderId="3" xfId="0" applyNumberFormat="1" applyFill="1" applyBorder="1" applyAlignment="1" applyProtection="1">
      <alignment horizontal="right"/>
      <protection locked="0"/>
    </xf>
    <xf numFmtId="168" fontId="0" fillId="0" borderId="11" xfId="0" applyNumberFormat="1"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21" fillId="0" borderId="1" xfId="543" applyFont="1" applyBorder="1" applyAlignment="1">
      <alignment horizontal="right"/>
    </xf>
    <xf numFmtId="0" fontId="21" fillId="0" borderId="2" xfId="543" applyFont="1" applyBorder="1" applyAlignment="1">
      <alignment horizontal="right"/>
    </xf>
    <xf numFmtId="0" fontId="21" fillId="0" borderId="7" xfId="543" applyFont="1" applyBorder="1" applyAlignment="1">
      <alignment horizontal="right"/>
    </xf>
    <xf numFmtId="0" fontId="21" fillId="0" borderId="11" xfId="0" applyFont="1" applyBorder="1" applyAlignment="1">
      <alignment horizontal="center" vertical="center" wrapText="1"/>
    </xf>
    <xf numFmtId="0" fontId="21" fillId="0" borderId="9" xfId="0" applyFont="1" applyBorder="1" applyAlignment="1">
      <alignment horizontal="right"/>
    </xf>
    <xf numFmtId="0" fontId="21" fillId="0" borderId="10"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0" xfId="0" applyFont="1" applyAlignment="1">
      <alignment horizontal="center" vertical="center" wrapText="1"/>
    </xf>
    <xf numFmtId="0" fontId="45" fillId="0" borderId="1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0" xfId="0" applyFont="1" applyBorder="1" applyAlignment="1">
      <alignment horizontal="center" vertical="center" wrapText="1"/>
    </xf>
    <xf numFmtId="0" fontId="21" fillId="0" borderId="11" xfId="0" applyFont="1" applyBorder="1" applyAlignment="1">
      <alignment horizontal="center" vertical="center"/>
    </xf>
    <xf numFmtId="172" fontId="21" fillId="0" borderId="11" xfId="0" applyNumberFormat="1" applyFont="1" applyBorder="1" applyAlignment="1">
      <alignment horizontal="center" vertical="center" wrapText="1"/>
    </xf>
    <xf numFmtId="0" fontId="0" fillId="43" borderId="10" xfId="0" applyFill="1" applyBorder="1" applyAlignment="1" applyProtection="1">
      <alignment horizontal="lef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4" fillId="5" borderId="4" xfId="0" applyFont="1" applyFill="1" applyBorder="1" applyAlignment="1" applyProtection="1">
      <alignment horizontal="right"/>
      <protection locked="0"/>
    </xf>
    <xf numFmtId="14" fontId="14" fillId="5" borderId="4" xfId="0" applyNumberFormat="1" applyFont="1" applyFill="1" applyBorder="1" applyAlignment="1" applyProtection="1">
      <alignment horizontal="right"/>
      <protection locked="0"/>
    </xf>
    <xf numFmtId="0" fontId="22" fillId="5" borderId="3" xfId="543" applyFont="1" applyFill="1" applyBorder="1" applyAlignment="1">
      <alignment horizontal="center"/>
    </xf>
    <xf numFmtId="0" fontId="22" fillId="5" borderId="4" xfId="543" applyFont="1" applyFill="1" applyBorder="1" applyAlignment="1">
      <alignment horizontal="center"/>
    </xf>
    <xf numFmtId="0" fontId="22"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23" fillId="5" borderId="6" xfId="271" applyFill="1" applyBorder="1" applyProtection="1">
      <protection locked="0"/>
    </xf>
    <xf numFmtId="0" fontId="14" fillId="5" borderId="3" xfId="0" applyFont="1" applyFill="1" applyBorder="1" applyProtection="1">
      <protection locked="0"/>
    </xf>
    <xf numFmtId="0" fontId="14" fillId="0" borderId="4" xfId="0" applyFont="1" applyBorder="1" applyProtection="1">
      <protection locked="0"/>
    </xf>
    <xf numFmtId="0" fontId="14" fillId="0" borderId="5" xfId="0" applyFont="1" applyBorder="1" applyProtection="1">
      <protection locked="0"/>
    </xf>
    <xf numFmtId="0" fontId="21" fillId="0" borderId="2" xfId="0" applyFont="1" applyBorder="1" applyAlignment="1">
      <alignment horizontal="center" wrapText="1"/>
    </xf>
    <xf numFmtId="0" fontId="21" fillId="0" borderId="7" xfId="0" applyFont="1" applyBorder="1" applyAlignment="1">
      <alignment horizontal="center" wrapText="1"/>
    </xf>
    <xf numFmtId="168" fontId="14"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21" fillId="0" borderId="1" xfId="0" applyFont="1" applyBorder="1" applyAlignment="1">
      <alignment horizontal="center" wrapText="1"/>
    </xf>
    <xf numFmtId="0" fontId="22" fillId="5" borderId="9" xfId="543" applyFont="1" applyFill="1" applyBorder="1" applyAlignment="1" applyProtection="1">
      <alignment horizontal="center"/>
      <protection locked="0"/>
    </xf>
    <xf numFmtId="0" fontId="22" fillId="5" borderId="10" xfId="543" applyFont="1" applyFill="1" applyBorder="1" applyAlignment="1" applyProtection="1">
      <alignment horizontal="center"/>
      <protection locked="0"/>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21" fillId="0" borderId="0" xfId="0" applyFont="1" applyAlignment="1">
      <alignment horizontal="center" vertical="center"/>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4" fillId="43" borderId="11" xfId="0" applyFont="1" applyFill="1" applyBorder="1" applyAlignment="1" applyProtection="1">
      <alignment horizontal="center"/>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22" fillId="5" borderId="3" xfId="543" applyFont="1" applyFill="1" applyBorder="1" applyAlignment="1" applyProtection="1">
      <alignment horizontal="center"/>
      <protection locked="0"/>
    </xf>
    <xf numFmtId="0" fontId="22" fillId="5" borderId="5" xfId="543" applyFont="1" applyFill="1" applyBorder="1" applyAlignment="1" applyProtection="1">
      <alignment horizontal="center"/>
      <protection locked="0"/>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10" xfId="0" applyFont="1" applyBorder="1" applyAlignment="1">
      <alignment horizontal="left" wrapText="1"/>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22" fillId="0" borderId="3" xfId="543" applyFont="1" applyBorder="1" applyAlignment="1">
      <alignment horizontal="center"/>
    </xf>
    <xf numFmtId="0" fontId="22"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14" fillId="5" borderId="4" xfId="543" applyFill="1" applyBorder="1" applyAlignment="1" applyProtection="1">
      <alignment horizontal="left" vertical="top" wrapText="1"/>
      <protection locked="0"/>
    </xf>
    <xf numFmtId="0" fontId="14" fillId="5" borderId="5" xfId="543" applyFill="1" applyBorder="1" applyAlignment="1" applyProtection="1">
      <alignment horizontal="left" vertical="top" wrapText="1"/>
      <protection locked="0"/>
    </xf>
    <xf numFmtId="0" fontId="21" fillId="0" borderId="4" xfId="543" applyFont="1" applyBorder="1" applyAlignment="1">
      <alignment horizontal="right" vertical="top" wrapText="1"/>
    </xf>
    <xf numFmtId="0" fontId="21" fillId="0" borderId="5" xfId="543" applyFont="1" applyBorder="1" applyAlignment="1">
      <alignment horizontal="right" vertical="top" wrapText="1"/>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0" fontId="156" fillId="0" borderId="8" xfId="543" applyFont="1" applyBorder="1" applyAlignment="1">
      <alignment horizontal="center" vertical="center" wrapText="1"/>
    </xf>
    <xf numFmtId="0" fontId="156" fillId="0" borderId="0" xfId="543" applyFont="1" applyAlignment="1">
      <alignment horizontal="center" vertical="center" wrapText="1"/>
    </xf>
    <xf numFmtId="0" fontId="156" fillId="0" borderId="12" xfId="543" applyFont="1" applyBorder="1" applyAlignment="1">
      <alignment horizontal="center" vertical="center" wrapText="1"/>
    </xf>
    <xf numFmtId="0" fontId="32" fillId="0" borderId="3" xfId="543" applyFont="1" applyBorder="1" applyAlignment="1">
      <alignment horizontal="center"/>
    </xf>
    <xf numFmtId="0" fontId="32" fillId="0" borderId="4" xfId="543" applyFont="1" applyBorder="1" applyAlignment="1">
      <alignment horizontal="center"/>
    </xf>
    <xf numFmtId="0" fontId="32" fillId="0" borderId="5" xfId="543" applyFont="1" applyBorder="1" applyAlignment="1">
      <alignment horizontal="center"/>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22" fillId="5" borderId="3" xfId="543" applyFont="1" applyFill="1" applyBorder="1" applyAlignment="1" applyProtection="1">
      <alignment horizontal="center" vertical="top"/>
      <protection locked="0"/>
    </xf>
    <xf numFmtId="0" fontId="22" fillId="5" borderId="5" xfId="543" applyFont="1" applyFill="1" applyBorder="1" applyAlignment="1" applyProtection="1">
      <alignment horizontal="center" vertical="top"/>
      <protection locked="0"/>
    </xf>
    <xf numFmtId="0" fontId="36" fillId="0" borderId="8" xfId="543" applyFont="1" applyBorder="1" applyAlignment="1">
      <alignment horizontal="center" vertical="center" wrapText="1"/>
    </xf>
    <xf numFmtId="0" fontId="36" fillId="0" borderId="0" xfId="543" applyFont="1" applyAlignment="1">
      <alignment horizontal="center" vertical="center" wrapText="1"/>
    </xf>
    <xf numFmtId="0" fontId="36" fillId="0" borderId="12" xfId="543" applyFont="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4" fontId="0" fillId="5" borderId="4" xfId="0" applyNumberFormat="1" applyFill="1" applyBorder="1" applyAlignment="1" applyProtection="1">
      <alignment horizontal="center"/>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41"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165" fillId="0" borderId="8" xfId="543" applyFont="1" applyBorder="1" applyAlignment="1">
      <alignment horizontal="center" wrapText="1"/>
    </xf>
    <xf numFmtId="0" fontId="165" fillId="0" borderId="0" xfId="543" applyFont="1" applyAlignment="1">
      <alignment horizontal="center" wrapText="1"/>
    </xf>
    <xf numFmtId="0" fontId="165" fillId="0" borderId="12" xfId="543" applyFont="1" applyBorder="1" applyAlignment="1">
      <alignment horizontal="center" wrapText="1"/>
    </xf>
    <xf numFmtId="0" fontId="165" fillId="0" borderId="9" xfId="543" applyFont="1" applyBorder="1" applyAlignment="1">
      <alignment horizontal="center" wrapText="1"/>
    </xf>
    <xf numFmtId="0" fontId="165" fillId="0" borderId="6" xfId="543" applyFont="1" applyBorder="1" applyAlignment="1">
      <alignment horizontal="center" wrapText="1"/>
    </xf>
    <xf numFmtId="0" fontId="165" fillId="0" borderId="10" xfId="543" applyFont="1" applyBorder="1" applyAlignment="1">
      <alignment horizontal="center" wrapText="1"/>
    </xf>
    <xf numFmtId="0" fontId="165" fillId="0" borderId="8" xfId="543" applyFont="1" applyBorder="1" applyAlignment="1">
      <alignment horizontal="center" vertical="top" wrapText="1"/>
    </xf>
    <xf numFmtId="0" fontId="165" fillId="0" borderId="0" xfId="543" applyFont="1" applyAlignment="1">
      <alignment horizontal="center" vertical="top" wrapText="1"/>
    </xf>
    <xf numFmtId="0" fontId="165" fillId="0" borderId="12" xfId="543" applyFont="1" applyBorder="1" applyAlignment="1">
      <alignment horizontal="center" vertical="top" wrapText="1"/>
    </xf>
    <xf numFmtId="0" fontId="165" fillId="0" borderId="9" xfId="543" applyFont="1" applyBorder="1" applyAlignment="1">
      <alignment horizontal="center" vertical="top" wrapText="1"/>
    </xf>
    <xf numFmtId="0" fontId="165" fillId="0" borderId="6" xfId="543" applyFont="1" applyBorder="1" applyAlignment="1">
      <alignment horizontal="center" vertical="top" wrapText="1"/>
    </xf>
    <xf numFmtId="0" fontId="165" fillId="0" borderId="10" xfId="543" applyFont="1" applyBorder="1" applyAlignment="1">
      <alignment horizontal="center" vertical="top" wrapText="1"/>
    </xf>
    <xf numFmtId="0" fontId="160" fillId="0" borderId="0" xfId="0" applyFont="1" applyAlignment="1">
      <alignment horizontal="center" vertical="center" wrapText="1"/>
    </xf>
    <xf numFmtId="3" fontId="37" fillId="10" borderId="0" xfId="543" applyNumberFormat="1" applyFont="1" applyFill="1" applyAlignment="1">
      <alignment horizontal="left" vertical="center" wrapText="1"/>
    </xf>
    <xf numFmtId="0" fontId="14" fillId="0" borderId="2" xfId="0" applyFont="1" applyBorder="1" applyAlignment="1">
      <alignment horizontal="left" vertical="top" wrapText="1"/>
    </xf>
    <xf numFmtId="177" fontId="14" fillId="5" borderId="6" xfId="0" applyNumberFormat="1" applyFont="1" applyFill="1" applyBorder="1" applyAlignment="1" applyProtection="1">
      <alignment horizontal="left" vertical="top" wrapText="1"/>
      <protection locked="0"/>
    </xf>
    <xf numFmtId="0" fontId="45" fillId="0" borderId="0" xfId="0" applyFont="1" applyAlignment="1">
      <alignment vertical="top" wrapText="1"/>
    </xf>
    <xf numFmtId="0" fontId="14" fillId="0" borderId="6" xfId="0" applyFont="1" applyBorder="1" applyAlignment="1">
      <alignment horizontal="right" vertical="top" wrapText="1"/>
    </xf>
    <xf numFmtId="0" fontId="14" fillId="0" borderId="6" xfId="0" applyFont="1" applyBorder="1" applyAlignment="1">
      <alignment vertical="top" wrapText="1"/>
    </xf>
    <xf numFmtId="0" fontId="48" fillId="2" borderId="3" xfId="0" applyFont="1" applyFill="1" applyBorder="1" applyAlignment="1">
      <alignment horizontal="center" vertical="top"/>
    </xf>
    <xf numFmtId="0" fontId="48" fillId="2" borderId="4" xfId="0" applyFont="1" applyFill="1" applyBorder="1" applyAlignment="1">
      <alignment horizontal="center" vertical="top"/>
    </xf>
    <xf numFmtId="0" fontId="48" fillId="2" borderId="5" xfId="0" applyFont="1" applyFill="1" applyBorder="1" applyAlignment="1">
      <alignment horizontal="center" vertical="top"/>
    </xf>
    <xf numFmtId="0" fontId="14" fillId="0" borderId="2" xfId="0" applyFont="1" applyBorder="1" applyAlignment="1">
      <alignment vertical="top" wrapText="1"/>
    </xf>
    <xf numFmtId="0" fontId="44" fillId="0" borderId="0" xfId="0" applyFont="1" applyAlignment="1">
      <alignment vertical="top" wrapText="1"/>
    </xf>
    <xf numFmtId="0" fontId="45"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10" fillId="0" borderId="3" xfId="4496" applyNumberFormat="1" applyFont="1" applyBorder="1" applyAlignment="1">
      <alignment horizontal="center" vertical="top" wrapText="1"/>
    </xf>
    <xf numFmtId="165" fontId="110" fillId="0" borderId="4" xfId="4496" applyNumberFormat="1" applyFont="1" applyBorder="1" applyAlignment="1">
      <alignment horizontal="center" vertical="top" wrapText="1"/>
    </xf>
    <xf numFmtId="165" fontId="11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3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1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08" fillId="5" borderId="55" xfId="4495" applyFill="1" applyBorder="1" applyAlignment="1" applyProtection="1">
      <alignment horizontal="center"/>
      <protection locked="0"/>
    </xf>
    <xf numFmtId="0" fontId="10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06" fillId="0" borderId="4" xfId="1192" applyFont="1" applyBorder="1" applyAlignment="1">
      <alignment horizontal="left"/>
    </xf>
    <xf numFmtId="0" fontId="13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53" fillId="0" borderId="1" xfId="4495" applyNumberFormat="1" applyFont="1" applyBorder="1" applyAlignment="1">
      <alignment horizontal="right" vertical="center"/>
    </xf>
    <xf numFmtId="164" fontId="53" fillId="0" borderId="2" xfId="4495" applyNumberFormat="1" applyFont="1" applyBorder="1" applyAlignment="1">
      <alignment horizontal="right" vertical="center"/>
    </xf>
    <xf numFmtId="164" fontId="53" fillId="0" borderId="7" xfId="4495" applyNumberFormat="1" applyFont="1" applyBorder="1" applyAlignment="1">
      <alignment horizontal="right" vertical="center"/>
    </xf>
    <xf numFmtId="164" fontId="53" fillId="0" borderId="9" xfId="4495" applyNumberFormat="1" applyFont="1" applyBorder="1" applyAlignment="1">
      <alignment horizontal="right" vertical="center"/>
    </xf>
    <xf numFmtId="164" fontId="53" fillId="0" borderId="6" xfId="4495" applyNumberFormat="1" applyFont="1" applyBorder="1" applyAlignment="1">
      <alignment horizontal="right" vertical="center"/>
    </xf>
    <xf numFmtId="164" fontId="53" fillId="0" borderId="10" xfId="4495" applyNumberFormat="1" applyFont="1" applyBorder="1" applyAlignment="1">
      <alignment horizontal="right" vertical="center"/>
    </xf>
    <xf numFmtId="180" fontId="53" fillId="0" borderId="1" xfId="4495" applyNumberFormat="1" applyFont="1" applyBorder="1" applyAlignment="1">
      <alignment horizontal="center" vertical="center"/>
    </xf>
    <xf numFmtId="180" fontId="53" fillId="0" borderId="2" xfId="4495" applyNumberFormat="1" applyFont="1" applyBorder="1" applyAlignment="1">
      <alignment horizontal="center" vertical="center"/>
    </xf>
    <xf numFmtId="180" fontId="53" fillId="0" borderId="7" xfId="4495" applyNumberFormat="1" applyFont="1" applyBorder="1" applyAlignment="1">
      <alignment horizontal="center" vertical="center"/>
    </xf>
    <xf numFmtId="180" fontId="53" fillId="0" borderId="9" xfId="4495" applyNumberFormat="1" applyFont="1" applyBorder="1" applyAlignment="1">
      <alignment horizontal="center" vertical="center"/>
    </xf>
    <xf numFmtId="180" fontId="53" fillId="0" borderId="6" xfId="4495" applyNumberFormat="1" applyFont="1" applyBorder="1" applyAlignment="1">
      <alignment horizontal="center" vertical="center"/>
    </xf>
    <xf numFmtId="180" fontId="53"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10" fillId="0" borderId="50" xfId="4496" applyFont="1" applyBorder="1" applyAlignment="1">
      <alignment horizontal="left" wrapText="1"/>
    </xf>
    <xf numFmtId="0" fontId="110" fillId="0" borderId="51" xfId="4496" applyFont="1" applyBorder="1" applyAlignment="1">
      <alignment horizontal="left" wrapText="1"/>
    </xf>
    <xf numFmtId="0" fontId="110" fillId="0" borderId="52" xfId="4496" applyFont="1" applyBorder="1" applyAlignment="1">
      <alignment horizontal="left" wrapText="1"/>
    </xf>
    <xf numFmtId="0" fontId="110" fillId="0" borderId="57" xfId="4496" applyFont="1" applyBorder="1" applyAlignment="1">
      <alignment horizontal="left" wrapText="1"/>
    </xf>
    <xf numFmtId="0" fontId="110" fillId="0" borderId="58" xfId="4496" applyFont="1" applyBorder="1" applyAlignment="1">
      <alignment horizontal="left" wrapText="1"/>
    </xf>
    <xf numFmtId="0" fontId="110" fillId="0" borderId="59" xfId="4496" applyFont="1" applyBorder="1" applyAlignment="1">
      <alignment horizontal="left" wrapText="1"/>
    </xf>
    <xf numFmtId="0" fontId="108" fillId="5" borderId="50" xfId="4495" applyFill="1" applyBorder="1" applyAlignment="1">
      <alignment horizontal="center"/>
    </xf>
    <xf numFmtId="0" fontId="108" fillId="5" borderId="51" xfId="4495" applyFill="1" applyBorder="1" applyAlignment="1">
      <alignment horizontal="center"/>
    </xf>
    <xf numFmtId="0" fontId="108" fillId="0" borderId="53" xfId="4495" applyBorder="1" applyAlignment="1">
      <alignment horizontal="center"/>
    </xf>
    <xf numFmtId="0" fontId="108" fillId="0" borderId="0" xfId="4495" applyAlignment="1">
      <alignment horizontal="center"/>
    </xf>
    <xf numFmtId="0" fontId="22" fillId="5" borderId="0" xfId="4495" applyFont="1" applyFill="1" applyAlignment="1">
      <alignment horizontal="left" vertical="top"/>
    </xf>
    <xf numFmtId="0" fontId="108" fillId="5" borderId="53" xfId="4495" applyFill="1" applyBorder="1" applyAlignment="1">
      <alignment horizontal="center"/>
    </xf>
    <xf numFmtId="0" fontId="10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44" fillId="0" borderId="51" xfId="4495" applyFont="1" applyBorder="1" applyAlignment="1">
      <alignment horizontal="left" vertical="top" wrapText="1"/>
    </xf>
    <xf numFmtId="0" fontId="44" fillId="0" borderId="0" xfId="4495" applyFont="1" applyAlignment="1">
      <alignment horizontal="left" vertical="top" wrapText="1"/>
    </xf>
    <xf numFmtId="9" fontId="22" fillId="5" borderId="58" xfId="4495" applyNumberFormat="1" applyFont="1" applyFill="1" applyBorder="1" applyAlignment="1">
      <alignment horizontal="left"/>
    </xf>
    <xf numFmtId="0" fontId="108" fillId="5" borderId="55" xfId="4495" applyFill="1" applyBorder="1" applyAlignment="1">
      <alignment horizontal="center"/>
    </xf>
    <xf numFmtId="0" fontId="10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08" fillId="5" borderId="62" xfId="4495" applyFill="1" applyBorder="1" applyAlignment="1">
      <alignment horizontal="center"/>
    </xf>
    <xf numFmtId="0" fontId="10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44" fillId="0" borderId="51" xfId="4495" applyFont="1" applyBorder="1" applyAlignment="1">
      <alignment horizontal="left" wrapText="1"/>
    </xf>
    <xf numFmtId="0" fontId="44" fillId="0" borderId="0" xfId="4495" applyFont="1" applyAlignment="1">
      <alignment horizontal="left" wrapText="1"/>
    </xf>
    <xf numFmtId="0" fontId="21" fillId="0" borderId="54" xfId="4495" applyFont="1" applyBorder="1" applyAlignment="1">
      <alignment horizontal="center" vertical="top"/>
    </xf>
    <xf numFmtId="0" fontId="11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63" fillId="0" borderId="0" xfId="0" applyFont="1" applyAlignment="1" applyProtection="1">
      <alignment horizontal="left"/>
      <protection locked="0"/>
    </xf>
    <xf numFmtId="168" fontId="160" fillId="0" borderId="0" xfId="0" applyNumberFormat="1" applyFont="1" applyAlignment="1">
      <alignment horizontal="center" vertical="top" wrapText="1"/>
    </xf>
    <xf numFmtId="168" fontId="16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08" fillId="5" borderId="62" xfId="4495" applyFill="1" applyBorder="1" applyAlignment="1" applyProtection="1">
      <alignment horizontal="center"/>
      <protection locked="0"/>
    </xf>
    <xf numFmtId="0" fontId="10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0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0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44"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10" fillId="0" borderId="55" xfId="4496" applyNumberFormat="1" applyFont="1" applyBorder="1" applyAlignment="1">
      <alignment horizontal="center" vertical="top" wrapText="1"/>
    </xf>
    <xf numFmtId="1" fontId="110" fillId="0" borderId="6" xfId="4496" applyNumberFormat="1" applyFont="1" applyBorder="1" applyAlignment="1">
      <alignment horizontal="center" vertical="top" wrapText="1"/>
    </xf>
    <xf numFmtId="165" fontId="110" fillId="0" borderId="55" xfId="4496" applyNumberFormat="1" applyFont="1" applyBorder="1" applyAlignment="1">
      <alignment horizontal="center" vertical="top" wrapText="1"/>
    </xf>
    <xf numFmtId="165" fontId="110" fillId="0" borderId="6" xfId="4496" applyNumberFormat="1" applyFont="1" applyBorder="1" applyAlignment="1">
      <alignment horizontal="center" vertical="top" wrapText="1"/>
    </xf>
    <xf numFmtId="168" fontId="110" fillId="43" borderId="55" xfId="4496" applyNumberFormat="1" applyFont="1" applyFill="1" applyBorder="1" applyAlignment="1" applyProtection="1">
      <alignment horizontal="center" vertical="top" wrapText="1"/>
      <protection locked="0"/>
    </xf>
    <xf numFmtId="168" fontId="110" fillId="43" borderId="6" xfId="4496" applyNumberFormat="1" applyFont="1" applyFill="1" applyBorder="1" applyAlignment="1" applyProtection="1">
      <alignment horizontal="center" vertical="top" wrapText="1"/>
      <protection locked="0"/>
    </xf>
    <xf numFmtId="0" fontId="110" fillId="0" borderId="50" xfId="4496" applyFont="1" applyBorder="1" applyAlignment="1">
      <alignment horizontal="left" vertical="top" wrapText="1"/>
    </xf>
    <xf numFmtId="0" fontId="110" fillId="0" borderId="51" xfId="4496" applyFont="1" applyBorder="1" applyAlignment="1">
      <alignment horizontal="left" vertical="top" wrapText="1"/>
    </xf>
    <xf numFmtId="0" fontId="110" fillId="0" borderId="52" xfId="4496" applyFont="1" applyBorder="1" applyAlignment="1">
      <alignment horizontal="left" vertical="top" wrapText="1"/>
    </xf>
    <xf numFmtId="0" fontId="110" fillId="0" borderId="53" xfId="4496" applyFont="1" applyBorder="1" applyAlignment="1">
      <alignment horizontal="left" vertical="top" wrapText="1"/>
    </xf>
    <xf numFmtId="0" fontId="110" fillId="0" borderId="0" xfId="4496" applyFont="1" applyAlignment="1">
      <alignment horizontal="left" vertical="top" wrapText="1"/>
    </xf>
    <xf numFmtId="0" fontId="110" fillId="0" borderId="54" xfId="4496" applyFont="1" applyBorder="1" applyAlignment="1">
      <alignment horizontal="left" vertical="top" wrapText="1"/>
    </xf>
    <xf numFmtId="168" fontId="110" fillId="0" borderId="55" xfId="4496" applyNumberFormat="1" applyFont="1" applyBorder="1" applyAlignment="1">
      <alignment horizontal="center" vertical="top"/>
    </xf>
    <xf numFmtId="168" fontId="110" fillId="0" borderId="6" xfId="4496" applyNumberFormat="1" applyFont="1" applyBorder="1" applyAlignment="1">
      <alignment horizontal="center" vertical="top"/>
    </xf>
    <xf numFmtId="0" fontId="110" fillId="5" borderId="6" xfId="4496" applyFont="1" applyFill="1" applyBorder="1" applyAlignment="1" applyProtection="1">
      <alignment horizontal="center"/>
      <protection locked="0"/>
    </xf>
    <xf numFmtId="10" fontId="110" fillId="0" borderId="3" xfId="4496" applyNumberFormat="1" applyFont="1" applyBorder="1" applyAlignment="1">
      <alignment horizontal="center" vertical="top" wrapText="1"/>
    </xf>
    <xf numFmtId="10" fontId="110" fillId="0" borderId="4" xfId="4496" applyNumberFormat="1" applyFont="1" applyBorder="1" applyAlignment="1">
      <alignment horizontal="center" vertical="top" wrapText="1"/>
    </xf>
    <xf numFmtId="10" fontId="110" fillId="0" borderId="5" xfId="4496" applyNumberFormat="1" applyFont="1" applyBorder="1" applyAlignment="1">
      <alignment horizontal="center" vertical="top" wrapText="1"/>
    </xf>
    <xf numFmtId="0" fontId="110" fillId="0" borderId="55" xfId="4496" applyFont="1" applyBorder="1" applyAlignment="1">
      <alignment horizontal="center" vertical="top" wrapText="1"/>
    </xf>
    <xf numFmtId="0" fontId="11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10" fillId="43" borderId="55" xfId="4496" applyFont="1" applyFill="1" applyBorder="1" applyAlignment="1" applyProtection="1">
      <alignment horizontal="left" vertical="top" wrapText="1"/>
      <protection locked="0"/>
    </xf>
    <xf numFmtId="0" fontId="110" fillId="43" borderId="6" xfId="4496" applyFont="1" applyFill="1" applyBorder="1" applyAlignment="1" applyProtection="1">
      <alignment horizontal="left" vertical="top" wrapText="1"/>
      <protection locked="0"/>
    </xf>
    <xf numFmtId="0" fontId="110" fillId="43" borderId="56" xfId="4496" applyFont="1" applyFill="1" applyBorder="1" applyAlignment="1" applyProtection="1">
      <alignment horizontal="left" vertical="top" wrapText="1"/>
      <protection locked="0"/>
    </xf>
    <xf numFmtId="165" fontId="110" fillId="0" borderId="60" xfId="4496" applyNumberFormat="1" applyFont="1" applyBorder="1" applyAlignment="1">
      <alignment horizontal="center" vertical="top" wrapText="1"/>
    </xf>
    <xf numFmtId="0" fontId="110" fillId="5" borderId="60" xfId="4496" applyFont="1" applyFill="1" applyBorder="1" applyAlignment="1" applyProtection="1">
      <alignment horizontal="center"/>
      <protection locked="0"/>
    </xf>
    <xf numFmtId="0" fontId="110" fillId="5" borderId="4" xfId="4496" applyFont="1" applyFill="1" applyBorder="1" applyAlignment="1" applyProtection="1">
      <alignment horizontal="center"/>
      <protection locked="0"/>
    </xf>
    <xf numFmtId="0" fontId="110" fillId="0" borderId="57" xfId="4496" applyFont="1" applyBorder="1" applyAlignment="1">
      <alignment horizontal="left" vertical="top" wrapText="1"/>
    </xf>
    <xf numFmtId="0" fontId="110" fillId="0" borderId="58" xfId="4496" applyFont="1" applyBorder="1" applyAlignment="1">
      <alignment horizontal="left" vertical="top" wrapText="1"/>
    </xf>
    <xf numFmtId="0" fontId="110" fillId="0" borderId="59" xfId="4496" applyFont="1" applyBorder="1" applyAlignment="1">
      <alignment horizontal="left" vertical="top" wrapText="1"/>
    </xf>
    <xf numFmtId="0" fontId="110" fillId="5" borderId="55" xfId="4496" applyFont="1" applyFill="1" applyBorder="1" applyAlignment="1" applyProtection="1">
      <alignment horizontal="center"/>
      <protection locked="0"/>
    </xf>
    <xf numFmtId="0" fontId="110" fillId="0" borderId="47" xfId="4496" applyFont="1" applyBorder="1"/>
    <xf numFmtId="0" fontId="110" fillId="0" borderId="48" xfId="4496" applyFont="1" applyBorder="1"/>
    <xf numFmtId="0" fontId="110" fillId="0" borderId="49" xfId="4496" applyFont="1" applyBorder="1"/>
    <xf numFmtId="49" fontId="86" fillId="45" borderId="15" xfId="4496" applyNumberFormat="1" applyFont="1" applyFill="1" applyBorder="1" applyAlignment="1">
      <alignment horizontal="center" vertical="center" wrapText="1"/>
    </xf>
    <xf numFmtId="49" fontId="86" fillId="45" borderId="13" xfId="4496" applyNumberFormat="1" applyFont="1" applyFill="1" applyBorder="1" applyAlignment="1">
      <alignment horizontal="center" vertical="center" wrapText="1"/>
    </xf>
    <xf numFmtId="168" fontId="86" fillId="0" borderId="84" xfId="4499" applyNumberFormat="1" applyFont="1" applyFill="1" applyBorder="1" applyAlignment="1" applyProtection="1">
      <alignment horizontal="left" vertical="center" indent="1"/>
    </xf>
    <xf numFmtId="168" fontId="86" fillId="0" borderId="83" xfId="4499" applyNumberFormat="1" applyFont="1" applyFill="1" applyBorder="1" applyAlignment="1" applyProtection="1">
      <alignment horizontal="left" vertical="center" indent="1"/>
    </xf>
    <xf numFmtId="0" fontId="86" fillId="0" borderId="11" xfId="4496" applyFont="1" applyBorder="1" applyAlignment="1">
      <alignment horizontal="left" indent="1"/>
    </xf>
    <xf numFmtId="0" fontId="86" fillId="0" borderId="15" xfId="4496" applyFont="1" applyBorder="1" applyAlignment="1">
      <alignment horizontal="left" indent="1"/>
    </xf>
    <xf numFmtId="0" fontId="125" fillId="0" borderId="71" xfId="4496" applyFont="1" applyBorder="1" applyAlignment="1">
      <alignment horizontal="left" indent="1"/>
    </xf>
    <xf numFmtId="168" fontId="86" fillId="0" borderId="11" xfId="4499" applyNumberFormat="1" applyFont="1" applyFill="1" applyBorder="1" applyAlignment="1" applyProtection="1">
      <alignment horizontal="left" vertical="center" indent="1"/>
    </xf>
    <xf numFmtId="168" fontId="86" fillId="0" borderId="13" xfId="4499" applyNumberFormat="1" applyFont="1" applyFill="1" applyBorder="1" applyAlignment="1" applyProtection="1">
      <alignment horizontal="left" vertical="center" indent="1"/>
    </xf>
    <xf numFmtId="49" fontId="124" fillId="3" borderId="0" xfId="1192" applyNumberFormat="1" applyFont="1" applyFill="1" applyAlignment="1">
      <alignment horizontal="center" vertical="center"/>
    </xf>
    <xf numFmtId="0" fontId="125" fillId="45" borderId="3" xfId="4496" applyFont="1" applyFill="1" applyBorder="1" applyAlignment="1">
      <alignment horizontal="center" vertical="center"/>
    </xf>
    <xf numFmtId="0" fontId="125" fillId="45" borderId="4" xfId="4496" applyFont="1" applyFill="1" applyBorder="1" applyAlignment="1">
      <alignment horizontal="center" vertical="center"/>
    </xf>
    <xf numFmtId="0" fontId="125" fillId="45" borderId="5" xfId="4496" applyFont="1" applyFill="1" applyBorder="1" applyAlignment="1">
      <alignment horizontal="center" vertical="center"/>
    </xf>
    <xf numFmtId="9" fontId="125" fillId="45" borderId="3" xfId="4499" applyFont="1" applyFill="1" applyBorder="1" applyAlignment="1" applyProtection="1">
      <alignment horizontal="center" vertical="center"/>
    </xf>
    <xf numFmtId="9" fontId="125" fillId="45" borderId="4" xfId="4499" applyFont="1" applyFill="1" applyBorder="1" applyAlignment="1" applyProtection="1">
      <alignment horizontal="center" vertical="center"/>
    </xf>
    <xf numFmtId="9" fontId="125" fillId="45" borderId="5" xfId="4499" applyFont="1" applyFill="1" applyBorder="1" applyAlignment="1" applyProtection="1">
      <alignment horizontal="center" vertical="center"/>
    </xf>
    <xf numFmtId="0" fontId="125" fillId="0" borderId="90" xfId="4496" applyFont="1" applyBorder="1" applyAlignment="1">
      <alignment horizontal="center" vertical="top" wrapText="1"/>
    </xf>
    <xf numFmtId="0" fontId="125" fillId="0" borderId="89" xfId="4496" applyFont="1" applyBorder="1" applyAlignment="1">
      <alignment horizontal="center" vertical="top" wrapText="1"/>
    </xf>
    <xf numFmtId="0" fontId="86" fillId="0" borderId="71" xfId="4496" applyFont="1" applyBorder="1"/>
    <xf numFmtId="0" fontId="86" fillId="0" borderId="74" xfId="4496" applyFont="1" applyBorder="1"/>
    <xf numFmtId="0" fontId="86" fillId="0" borderId="11" xfId="4496" applyFont="1" applyBorder="1"/>
    <xf numFmtId="0" fontId="86" fillId="0" borderId="91" xfId="4496" applyFont="1" applyBorder="1"/>
    <xf numFmtId="0" fontId="86" fillId="0" borderId="0" xfId="4496" applyFont="1" applyAlignment="1">
      <alignment horizontal="left" wrapText="1"/>
    </xf>
    <xf numFmtId="0" fontId="86" fillId="43" borderId="0" xfId="4496" applyFont="1" applyFill="1" applyAlignment="1" applyProtection="1">
      <alignment horizontal="left" vertical="top" wrapText="1"/>
      <protection locked="0"/>
    </xf>
    <xf numFmtId="0" fontId="86" fillId="43" borderId="6" xfId="4496" applyFont="1" applyFill="1" applyBorder="1" applyAlignment="1" applyProtection="1">
      <alignment horizontal="left" vertical="top" wrapText="1"/>
      <protection locked="0"/>
    </xf>
    <xf numFmtId="0" fontId="86" fillId="0" borderId="80" xfId="4496" applyFont="1" applyBorder="1" applyAlignment="1">
      <alignment horizontal="right"/>
    </xf>
    <xf numFmtId="0" fontId="86" fillId="0" borderId="11" xfId="4496" applyFont="1" applyBorder="1" applyAlignment="1">
      <alignment horizontal="right"/>
    </xf>
    <xf numFmtId="0" fontId="86" fillId="0" borderId="72" xfId="4496" applyFont="1" applyBorder="1" applyAlignment="1">
      <alignment horizontal="right"/>
    </xf>
    <xf numFmtId="0" fontId="86" fillId="0" borderId="73" xfId="4496" applyFont="1" applyBorder="1" applyAlignment="1">
      <alignment horizontal="right"/>
    </xf>
    <xf numFmtId="0" fontId="86" fillId="0" borderId="73" xfId="4496" applyFont="1" applyBorder="1"/>
    <xf numFmtId="0" fontId="86" fillId="0" borderId="93" xfId="4496" applyFont="1" applyBorder="1"/>
    <xf numFmtId="0" fontId="86" fillId="0" borderId="70" xfId="4496" applyFont="1" applyBorder="1" applyAlignment="1">
      <alignment horizontal="right"/>
    </xf>
    <xf numFmtId="0" fontId="86" fillId="0" borderId="71" xfId="4496" applyFont="1" applyBorder="1" applyAlignment="1">
      <alignment horizontal="right"/>
    </xf>
    <xf numFmtId="0" fontId="137" fillId="45" borderId="72" xfId="8726" applyFont="1" applyFill="1" applyBorder="1" applyAlignment="1">
      <alignment horizontal="center"/>
    </xf>
    <xf numFmtId="0" fontId="13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37" fillId="45" borderId="80" xfId="8726" applyFont="1" applyFill="1" applyBorder="1" applyAlignment="1">
      <alignment horizontal="center"/>
    </xf>
    <xf numFmtId="0" fontId="137" fillId="45" borderId="11" xfId="8726" applyFont="1" applyFill="1" applyBorder="1" applyAlignment="1">
      <alignment horizontal="center"/>
    </xf>
    <xf numFmtId="0" fontId="137" fillId="45" borderId="11" xfId="8726" applyFont="1" applyFill="1" applyBorder="1" applyAlignment="1">
      <alignment horizontal="center" wrapText="1"/>
    </xf>
    <xf numFmtId="0" fontId="138" fillId="45" borderId="11" xfId="8726" applyFont="1" applyFill="1" applyBorder="1" applyAlignment="1">
      <alignment horizontal="center"/>
    </xf>
    <xf numFmtId="0" fontId="138" fillId="45" borderId="91" xfId="8726" applyFont="1" applyFill="1" applyBorder="1" applyAlignment="1">
      <alignment horizontal="center"/>
    </xf>
    <xf numFmtId="0" fontId="90" fillId="45" borderId="70" xfId="8726" applyFont="1" applyFill="1" applyBorder="1" applyAlignment="1">
      <alignment horizontal="center"/>
    </xf>
    <xf numFmtId="0" fontId="90" fillId="45" borderId="71" xfId="8726" applyFont="1" applyFill="1" applyBorder="1" applyAlignment="1">
      <alignment horizontal="center"/>
    </xf>
    <xf numFmtId="0" fontId="90" fillId="45" borderId="74" xfId="8726" applyFont="1" applyFill="1" applyBorder="1" applyAlignment="1">
      <alignment horizontal="center"/>
    </xf>
    <xf numFmtId="0" fontId="90" fillId="45" borderId="70" xfId="8726" applyFont="1" applyFill="1" applyBorder="1" applyAlignment="1">
      <alignment horizontal="left" wrapText="1"/>
    </xf>
    <xf numFmtId="0" fontId="90" fillId="45" borderId="71" xfId="8726" applyFont="1" applyFill="1" applyBorder="1" applyAlignment="1">
      <alignment horizontal="left" wrapText="1"/>
    </xf>
    <xf numFmtId="0" fontId="90" fillId="45" borderId="80" xfId="8726" applyFont="1" applyFill="1" applyBorder="1" applyAlignment="1">
      <alignment horizontal="left" wrapText="1"/>
    </xf>
    <xf numFmtId="0" fontId="90" fillId="45" borderId="11" xfId="8726" applyFont="1" applyFill="1" applyBorder="1" applyAlignment="1">
      <alignment horizontal="left" wrapText="1"/>
    </xf>
    <xf numFmtId="0" fontId="151" fillId="49" borderId="80" xfId="8726" applyFont="1" applyFill="1" applyBorder="1" applyAlignment="1">
      <alignment horizontal="left" vertical="top"/>
    </xf>
    <xf numFmtId="0" fontId="151" fillId="49" borderId="11" xfId="8726" applyFont="1" applyFill="1" applyBorder="1" applyAlignment="1">
      <alignment horizontal="left" vertical="top"/>
    </xf>
    <xf numFmtId="0" fontId="151" fillId="49" borderId="91" xfId="8726" applyFont="1" applyFill="1" applyBorder="1" applyAlignment="1">
      <alignment horizontal="left" vertical="top"/>
    </xf>
    <xf numFmtId="0" fontId="151" fillId="49" borderId="72" xfId="8726" applyFont="1" applyFill="1" applyBorder="1" applyAlignment="1">
      <alignment horizontal="left" vertical="top"/>
    </xf>
    <xf numFmtId="0" fontId="151" fillId="49" borderId="73" xfId="8726" applyFont="1" applyFill="1" applyBorder="1" applyAlignment="1">
      <alignment horizontal="left" vertical="top"/>
    </xf>
    <xf numFmtId="0" fontId="15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36" fillId="49" borderId="3" xfId="8726" applyFont="1" applyFill="1" applyBorder="1" applyAlignment="1" applyProtection="1">
      <alignment horizontal="center"/>
      <protection locked="0"/>
    </xf>
    <xf numFmtId="0" fontId="136" fillId="49" borderId="4" xfId="8726" applyFont="1" applyFill="1" applyBorder="1" applyAlignment="1" applyProtection="1">
      <alignment horizontal="center"/>
      <protection locked="0"/>
    </xf>
    <xf numFmtId="0" fontId="13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36" fillId="49" borderId="71" xfId="8726" applyFont="1" applyFill="1" applyBorder="1" applyAlignment="1" applyProtection="1">
      <alignment horizontal="left" wrapText="1"/>
      <protection locked="0"/>
    </xf>
    <xf numFmtId="0" fontId="136" fillId="49" borderId="74" xfId="8726" applyFont="1" applyFill="1" applyBorder="1" applyAlignment="1" applyProtection="1">
      <alignment horizontal="left" wrapText="1"/>
      <protection locked="0"/>
    </xf>
    <xf numFmtId="0" fontId="136" fillId="49" borderId="11" xfId="8726" applyFont="1" applyFill="1" applyBorder="1" applyAlignment="1" applyProtection="1">
      <alignment horizontal="left" wrapText="1"/>
      <protection locked="0"/>
    </xf>
    <xf numFmtId="0" fontId="136" fillId="49" borderId="91" xfId="8726" applyFont="1" applyFill="1" applyBorder="1" applyAlignment="1" applyProtection="1">
      <alignment horizontal="left" wrapText="1"/>
      <protection locked="0"/>
    </xf>
    <xf numFmtId="168" fontId="153" fillId="49" borderId="11" xfId="700" applyNumberFormat="1" applyFont="1" applyFill="1" applyBorder="1" applyAlignment="1" applyProtection="1">
      <alignment horizontal="left"/>
      <protection locked="0"/>
    </xf>
    <xf numFmtId="168" fontId="153" fillId="49" borderId="91" xfId="700" applyNumberFormat="1" applyFont="1" applyFill="1" applyBorder="1" applyAlignment="1" applyProtection="1">
      <alignment horizontal="left"/>
      <protection locked="0"/>
    </xf>
    <xf numFmtId="0" fontId="134" fillId="45" borderId="95" xfId="8726" applyFont="1" applyFill="1" applyBorder="1" applyAlignment="1">
      <alignment horizontal="center"/>
    </xf>
    <xf numFmtId="0" fontId="134" fillId="45" borderId="13" xfId="8726" applyFont="1" applyFill="1" applyBorder="1" applyAlignment="1">
      <alignment horizontal="center"/>
    </xf>
    <xf numFmtId="0" fontId="134" fillId="45" borderId="71" xfId="8726" applyFont="1" applyFill="1" applyBorder="1" applyAlignment="1">
      <alignment horizontal="center"/>
    </xf>
    <xf numFmtId="0" fontId="134" fillId="45" borderId="74" xfId="8726" applyFont="1" applyFill="1" applyBorder="1" applyAlignment="1">
      <alignment horizontal="center"/>
    </xf>
    <xf numFmtId="0" fontId="151" fillId="49" borderId="80" xfId="8726" applyFont="1" applyFill="1" applyBorder="1" applyAlignment="1" applyProtection="1">
      <alignment horizontal="right"/>
      <protection locked="0"/>
    </xf>
    <xf numFmtId="0" fontId="151" fillId="49" borderId="11" xfId="8726" applyFont="1" applyFill="1" applyBorder="1" applyAlignment="1" applyProtection="1">
      <alignment horizontal="right"/>
      <protection locked="0"/>
    </xf>
    <xf numFmtId="168" fontId="134" fillId="45" borderId="43" xfId="8726" applyNumberFormat="1" applyFont="1" applyFill="1" applyBorder="1" applyAlignment="1">
      <alignment horizontal="left"/>
    </xf>
    <xf numFmtId="168" fontId="134" fillId="45" borderId="96" xfId="8726" applyNumberFormat="1" applyFont="1" applyFill="1" applyBorder="1" applyAlignment="1">
      <alignment horizontal="left"/>
    </xf>
    <xf numFmtId="0" fontId="149" fillId="45" borderId="11" xfId="8726" applyFont="1" applyFill="1" applyBorder="1" applyAlignment="1">
      <alignment horizontal="right"/>
    </xf>
    <xf numFmtId="14" fontId="136" fillId="49" borderId="11" xfId="8726" applyNumberFormat="1" applyFont="1" applyFill="1" applyBorder="1" applyAlignment="1" applyProtection="1">
      <alignment horizontal="center"/>
      <protection locked="0"/>
    </xf>
    <xf numFmtId="0" fontId="136" fillId="49" borderId="11" xfId="8726" applyFont="1" applyFill="1" applyBorder="1" applyAlignment="1" applyProtection="1">
      <alignment horizontal="center"/>
      <protection locked="0"/>
    </xf>
    <xf numFmtId="1" fontId="152" fillId="49" borderId="11" xfId="8726" applyNumberFormat="1" applyFont="1" applyFill="1" applyBorder="1" applyAlignment="1" applyProtection="1">
      <alignment horizontal="center"/>
      <protection locked="0"/>
    </xf>
    <xf numFmtId="1" fontId="152" fillId="49" borderId="3" xfId="8726" applyNumberFormat="1" applyFont="1" applyFill="1" applyBorder="1" applyAlignment="1" applyProtection="1">
      <alignment horizontal="center"/>
      <protection locked="0"/>
    </xf>
    <xf numFmtId="1" fontId="152" fillId="49" borderId="4" xfId="8726" applyNumberFormat="1" applyFont="1" applyFill="1" applyBorder="1" applyAlignment="1" applyProtection="1">
      <alignment horizontal="center"/>
      <protection locked="0"/>
    </xf>
    <xf numFmtId="1" fontId="152" fillId="49" borderId="5" xfId="8726" applyNumberFormat="1" applyFont="1" applyFill="1" applyBorder="1" applyAlignment="1" applyProtection="1">
      <alignment horizontal="center"/>
      <protection locked="0"/>
    </xf>
    <xf numFmtId="1" fontId="138" fillId="44" borderId="3" xfId="8726" applyNumberFormat="1" applyFont="1" applyFill="1" applyBorder="1" applyAlignment="1">
      <alignment horizontal="center"/>
    </xf>
    <xf numFmtId="1" fontId="138" fillId="44" borderId="4" xfId="8726" applyNumberFormat="1" applyFont="1" applyFill="1" applyBorder="1" applyAlignment="1">
      <alignment horizontal="center"/>
    </xf>
    <xf numFmtId="1" fontId="13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36" fillId="49" borderId="89" xfId="8726" applyFont="1" applyFill="1" applyBorder="1" applyAlignment="1" applyProtection="1">
      <alignment horizontal="left"/>
      <protection locked="0"/>
    </xf>
    <xf numFmtId="0" fontId="136" fillId="49" borderId="71" xfId="8726" applyFont="1" applyFill="1" applyBorder="1" applyAlignment="1" applyProtection="1">
      <alignment horizontal="left"/>
      <protection locked="0"/>
    </xf>
    <xf numFmtId="0" fontId="136" fillId="49" borderId="74" xfId="8726" applyFont="1" applyFill="1" applyBorder="1" applyAlignment="1" applyProtection="1">
      <alignment horizontal="left"/>
      <protection locked="0"/>
    </xf>
    <xf numFmtId="0" fontId="134" fillId="45" borderId="80" xfId="8726" applyFont="1" applyFill="1" applyBorder="1" applyAlignment="1">
      <alignment horizontal="center"/>
    </xf>
    <xf numFmtId="0" fontId="134" fillId="45" borderId="11" xfId="8726" applyFont="1" applyFill="1" applyBorder="1" applyAlignment="1">
      <alignment horizontal="center"/>
    </xf>
    <xf numFmtId="0" fontId="134" fillId="45" borderId="3" xfId="8726" applyFont="1" applyFill="1" applyBorder="1" applyAlignment="1">
      <alignment horizontal="center"/>
    </xf>
    <xf numFmtId="0" fontId="134" fillId="45" borderId="4" xfId="8726" applyFont="1" applyFill="1" applyBorder="1" applyAlignment="1">
      <alignment horizontal="center"/>
    </xf>
    <xf numFmtId="0" fontId="134" fillId="45" borderId="79" xfId="8726" applyFont="1" applyFill="1" applyBorder="1" applyAlignment="1">
      <alignment horizontal="center"/>
    </xf>
    <xf numFmtId="0" fontId="90" fillId="45" borderId="72" xfId="8726" applyFont="1" applyFill="1" applyBorder="1" applyAlignment="1">
      <alignment horizontal="center"/>
    </xf>
    <xf numFmtId="0" fontId="90" fillId="45" borderId="73" xfId="8726" applyFont="1" applyFill="1" applyBorder="1" applyAlignment="1">
      <alignment horizontal="center"/>
    </xf>
    <xf numFmtId="14" fontId="136" fillId="49" borderId="83" xfId="8726" applyNumberFormat="1" applyFont="1" applyFill="1" applyBorder="1" applyAlignment="1" applyProtection="1">
      <alignment horizontal="center"/>
      <protection locked="0"/>
    </xf>
    <xf numFmtId="0" fontId="136" fillId="49" borderId="73" xfId="8726" applyFont="1" applyFill="1" applyBorder="1" applyAlignment="1" applyProtection="1">
      <alignment horizontal="center"/>
      <protection locked="0"/>
    </xf>
    <xf numFmtId="0" fontId="136" fillId="49" borderId="93" xfId="8726" applyFont="1" applyFill="1" applyBorder="1" applyAlignment="1" applyProtection="1">
      <alignment horizontal="center"/>
      <protection locked="0"/>
    </xf>
    <xf numFmtId="0" fontId="153" fillId="49" borderId="80" xfId="8726" applyFont="1" applyFill="1" applyBorder="1" applyAlignment="1" applyProtection="1">
      <alignment horizontal="right"/>
      <protection locked="0"/>
    </xf>
    <xf numFmtId="0" fontId="153" fillId="49" borderId="11" xfId="8726" applyFont="1" applyFill="1" applyBorder="1" applyAlignment="1" applyProtection="1">
      <alignment horizontal="right"/>
      <protection locked="0"/>
    </xf>
    <xf numFmtId="43" fontId="134" fillId="53" borderId="3" xfId="698" applyFont="1" applyFill="1" applyBorder="1" applyAlignment="1" applyProtection="1">
      <alignment horizontal="center"/>
      <protection hidden="1"/>
    </xf>
    <xf numFmtId="43" fontId="134" fillId="53" borderId="4" xfId="698" applyFont="1" applyFill="1" applyBorder="1" applyAlignment="1" applyProtection="1">
      <alignment horizontal="center"/>
      <protection hidden="1"/>
    </xf>
    <xf numFmtId="43" fontId="134" fillId="53" borderId="79" xfId="698" applyFont="1" applyFill="1" applyBorder="1" applyAlignment="1" applyProtection="1">
      <alignment horizontal="center"/>
      <protection hidden="1"/>
    </xf>
    <xf numFmtId="0" fontId="166" fillId="54" borderId="3" xfId="698" applyNumberFormat="1" applyFont="1" applyFill="1" applyBorder="1" applyAlignment="1" applyProtection="1">
      <alignment horizontal="center"/>
      <protection locked="0"/>
    </xf>
    <xf numFmtId="0" fontId="166" fillId="54" borderId="4" xfId="698" applyNumberFormat="1" applyFont="1" applyFill="1" applyBorder="1" applyAlignment="1" applyProtection="1">
      <alignment horizontal="center"/>
      <protection locked="0"/>
    </xf>
    <xf numFmtId="0" fontId="166" fillId="54" borderId="79" xfId="698" applyNumberFormat="1" applyFont="1" applyFill="1" applyBorder="1" applyAlignment="1" applyProtection="1">
      <alignment horizontal="center"/>
      <protection locked="0"/>
    </xf>
    <xf numFmtId="44" fontId="135" fillId="0" borderId="8" xfId="700" applyFont="1" applyBorder="1" applyAlignment="1" applyProtection="1">
      <alignment horizontal="center" wrapText="1"/>
      <protection hidden="1"/>
    </xf>
    <xf numFmtId="44" fontId="135" fillId="0" borderId="0" xfId="700" applyFont="1" applyBorder="1" applyAlignment="1" applyProtection="1">
      <alignment horizontal="center" wrapText="1"/>
      <protection hidden="1"/>
    </xf>
    <xf numFmtId="44" fontId="135" fillId="0" borderId="12" xfId="700" applyFont="1" applyBorder="1" applyAlignment="1" applyProtection="1">
      <alignment horizontal="center" wrapText="1"/>
      <protection hidden="1"/>
    </xf>
    <xf numFmtId="44" fontId="135" fillId="0" borderId="9" xfId="700" applyFont="1" applyBorder="1" applyAlignment="1" applyProtection="1">
      <alignment horizontal="center" wrapText="1"/>
      <protection hidden="1"/>
    </xf>
    <xf numFmtId="44" fontId="135" fillId="0" borderId="6" xfId="700" applyFont="1" applyBorder="1" applyAlignment="1" applyProtection="1">
      <alignment horizontal="center" wrapText="1"/>
      <protection hidden="1"/>
    </xf>
    <xf numFmtId="44" fontId="135" fillId="0" borderId="10" xfId="700" applyFont="1" applyBorder="1" applyAlignment="1" applyProtection="1">
      <alignment horizontal="center" wrapText="1"/>
      <protection hidden="1"/>
    </xf>
    <xf numFmtId="43" fontId="135" fillId="53" borderId="8" xfId="698" applyFont="1" applyFill="1" applyBorder="1" applyAlignment="1" applyProtection="1">
      <alignment horizontal="center" wrapText="1"/>
      <protection hidden="1"/>
    </xf>
    <xf numFmtId="43" fontId="135" fillId="53" borderId="0" xfId="698" applyFont="1" applyFill="1" applyBorder="1" applyAlignment="1" applyProtection="1">
      <alignment horizontal="center" wrapText="1"/>
      <protection hidden="1"/>
    </xf>
    <xf numFmtId="43" fontId="135" fillId="53" borderId="41" xfId="698" applyFont="1" applyFill="1" applyBorder="1" applyAlignment="1" applyProtection="1">
      <alignment horizontal="center" wrapText="1"/>
      <protection hidden="1"/>
    </xf>
    <xf numFmtId="43" fontId="135" fillId="53" borderId="9" xfId="698" applyFont="1" applyFill="1" applyBorder="1" applyAlignment="1" applyProtection="1">
      <alignment horizontal="center" wrapText="1"/>
      <protection hidden="1"/>
    </xf>
    <xf numFmtId="43" fontId="135" fillId="53" borderId="6" xfId="698" applyFont="1" applyFill="1" applyBorder="1" applyAlignment="1" applyProtection="1">
      <alignment horizontal="center" wrapText="1"/>
      <protection hidden="1"/>
    </xf>
    <xf numFmtId="43" fontId="135" fillId="53" borderId="103" xfId="698" applyFont="1" applyFill="1" applyBorder="1" applyAlignment="1" applyProtection="1">
      <alignment horizontal="center" wrapText="1"/>
      <protection hidden="1"/>
    </xf>
    <xf numFmtId="0" fontId="136" fillId="53" borderId="80" xfId="698" applyNumberFormat="1" applyFont="1" applyFill="1" applyBorder="1" applyAlignment="1" applyProtection="1">
      <alignment horizontal="center"/>
      <protection hidden="1"/>
    </xf>
    <xf numFmtId="0" fontId="136" fillId="53" borderId="11" xfId="698" applyNumberFormat="1" applyFont="1" applyFill="1" applyBorder="1" applyAlignment="1" applyProtection="1">
      <alignment horizontal="center"/>
      <protection hidden="1"/>
    </xf>
    <xf numFmtId="0" fontId="136" fillId="49" borderId="11" xfId="0" applyFont="1" applyFill="1" applyBorder="1" applyAlignment="1" applyProtection="1">
      <alignment horizontal="center"/>
      <protection locked="0"/>
    </xf>
    <xf numFmtId="14" fontId="166" fillId="49" borderId="11" xfId="700" applyNumberFormat="1" applyFont="1" applyFill="1" applyBorder="1" applyAlignment="1" applyProtection="1">
      <alignment horizontal="center"/>
      <protection locked="0"/>
    </xf>
    <xf numFmtId="44" fontId="166" fillId="49" borderId="11" xfId="700" applyFont="1" applyFill="1" applyBorder="1" applyAlignment="1" applyProtection="1">
      <alignment horizontal="center"/>
      <protection locked="0"/>
    </xf>
    <xf numFmtId="164" fontId="136" fillId="49" borderId="11" xfId="700" applyNumberFormat="1" applyFont="1" applyFill="1" applyBorder="1" applyAlignment="1" applyProtection="1">
      <alignment horizontal="center"/>
      <protection locked="0"/>
    </xf>
    <xf numFmtId="9" fontId="136" fillId="49" borderId="11" xfId="1022" applyFont="1" applyFill="1" applyBorder="1" applyAlignment="1" applyProtection="1">
      <alignment horizontal="center"/>
      <protection locked="0"/>
    </xf>
    <xf numFmtId="0" fontId="90" fillId="44" borderId="0" xfId="8726" applyFont="1" applyFill="1" applyAlignment="1">
      <alignment horizontal="left"/>
    </xf>
    <xf numFmtId="0" fontId="138" fillId="44" borderId="0" xfId="8726" applyFont="1" applyFill="1" applyAlignment="1">
      <alignment horizontal="left" vertical="top"/>
    </xf>
    <xf numFmtId="0" fontId="90" fillId="44" borderId="0" xfId="4503" applyFont="1" applyFill="1" applyBorder="1" applyAlignment="1">
      <alignment horizontal="left" vertical="top"/>
    </xf>
    <xf numFmtId="0" fontId="162" fillId="48" borderId="65" xfId="8726" applyFont="1" applyFill="1" applyBorder="1" applyAlignment="1">
      <alignment horizontal="center"/>
    </xf>
    <xf numFmtId="0" fontId="162" fillId="48" borderId="29" xfId="8726" applyFont="1" applyFill="1" applyBorder="1" applyAlignment="1">
      <alignment horizontal="center"/>
    </xf>
    <xf numFmtId="0" fontId="16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34" fillId="48" borderId="66" xfId="8726" applyFont="1" applyFill="1" applyBorder="1" applyAlignment="1">
      <alignment horizontal="center"/>
    </xf>
    <xf numFmtId="0" fontId="134" fillId="48" borderId="0" xfId="8726" applyFont="1" applyFill="1" applyAlignment="1">
      <alignment horizontal="center"/>
    </xf>
    <xf numFmtId="0" fontId="134" fillId="48" borderId="41" xfId="8726" applyFont="1" applyFill="1" applyBorder="1" applyAlignment="1">
      <alignment horizontal="center"/>
    </xf>
    <xf numFmtId="0" fontId="90" fillId="48" borderId="66" xfId="8726" applyFont="1" applyFill="1" applyBorder="1" applyAlignment="1">
      <alignment horizontal="center"/>
    </xf>
    <xf numFmtId="0" fontId="90" fillId="48" borderId="0" xfId="8726" applyFont="1" applyFill="1" applyAlignment="1">
      <alignment horizontal="center"/>
    </xf>
    <xf numFmtId="0" fontId="9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90" fillId="48" borderId="42" xfId="8726" applyFont="1" applyFill="1" applyBorder="1" applyAlignment="1">
      <alignment horizontal="center"/>
    </xf>
    <xf numFmtId="0" fontId="134" fillId="48" borderId="0" xfId="8726" applyFont="1" applyFill="1" applyAlignment="1">
      <alignment horizontal="left" vertical="top" wrapText="1"/>
    </xf>
    <xf numFmtId="0" fontId="90" fillId="48" borderId="0" xfId="8726" applyFont="1" applyFill="1" applyAlignment="1">
      <alignment horizontal="left"/>
    </xf>
    <xf numFmtId="43" fontId="134" fillId="45" borderId="67" xfId="698" applyFont="1" applyFill="1" applyBorder="1" applyAlignment="1" applyProtection="1">
      <alignment horizontal="center"/>
      <protection hidden="1"/>
    </xf>
    <xf numFmtId="43" fontId="134" fillId="45" borderId="68" xfId="698" applyFont="1" applyFill="1" applyBorder="1" applyAlignment="1" applyProtection="1">
      <alignment horizontal="center"/>
      <protection hidden="1"/>
    </xf>
    <xf numFmtId="43" fontId="134" fillId="45" borderId="69" xfId="698" applyFont="1" applyFill="1" applyBorder="1" applyAlignment="1" applyProtection="1">
      <alignment horizontal="center"/>
      <protection hidden="1"/>
    </xf>
    <xf numFmtId="43" fontId="135" fillId="53" borderId="66" xfId="698" applyFont="1" applyFill="1" applyBorder="1" applyAlignment="1" applyProtection="1">
      <alignment horizontal="center" wrapText="1"/>
      <protection hidden="1"/>
    </xf>
    <xf numFmtId="43" fontId="135" fillId="53" borderId="12" xfId="698" applyFont="1" applyFill="1" applyBorder="1" applyAlignment="1" applyProtection="1">
      <alignment horizontal="center" wrapText="1"/>
      <protection hidden="1"/>
    </xf>
    <xf numFmtId="43" fontId="135" fillId="53" borderId="102" xfId="698" applyFont="1" applyFill="1" applyBorder="1" applyAlignment="1" applyProtection="1">
      <alignment horizontal="center" wrapText="1"/>
      <protection hidden="1"/>
    </xf>
    <xf numFmtId="43" fontId="135" fillId="53" borderId="10" xfId="698" applyFont="1" applyFill="1" applyBorder="1" applyAlignment="1" applyProtection="1">
      <alignment horizontal="center" wrapText="1"/>
      <protection hidden="1"/>
    </xf>
    <xf numFmtId="14" fontId="135" fillId="0" borderId="8" xfId="700" applyNumberFormat="1" applyFont="1" applyFill="1" applyBorder="1" applyAlignment="1" applyProtection="1">
      <alignment horizontal="center" wrapText="1"/>
      <protection hidden="1"/>
    </xf>
    <xf numFmtId="14" fontId="135" fillId="0" borderId="0" xfId="700" applyNumberFormat="1" applyFont="1" applyFill="1" applyBorder="1" applyAlignment="1" applyProtection="1">
      <alignment horizontal="center" wrapText="1"/>
      <protection hidden="1"/>
    </xf>
    <xf numFmtId="14" fontId="135" fillId="0" borderId="12" xfId="700" applyNumberFormat="1" applyFont="1" applyFill="1" applyBorder="1" applyAlignment="1" applyProtection="1">
      <alignment horizontal="center" wrapText="1"/>
      <protection hidden="1"/>
    </xf>
    <xf numFmtId="14" fontId="135" fillId="0" borderId="9" xfId="700" applyNumberFormat="1" applyFont="1" applyFill="1" applyBorder="1" applyAlignment="1" applyProtection="1">
      <alignment horizontal="center" wrapText="1"/>
      <protection hidden="1"/>
    </xf>
    <xf numFmtId="14" fontId="135" fillId="0" borderId="6" xfId="700" applyNumberFormat="1" applyFont="1" applyFill="1" applyBorder="1" applyAlignment="1" applyProtection="1">
      <alignment horizontal="center" wrapText="1"/>
      <protection hidden="1"/>
    </xf>
    <xf numFmtId="14" fontId="135" fillId="0" borderId="10" xfId="700" applyNumberFormat="1" applyFont="1" applyFill="1" applyBorder="1" applyAlignment="1" applyProtection="1">
      <alignment horizontal="center" wrapText="1"/>
      <protection hidden="1"/>
    </xf>
    <xf numFmtId="0" fontId="90" fillId="0" borderId="67" xfId="8726" applyFont="1" applyBorder="1" applyAlignment="1">
      <alignment horizontal="left"/>
    </xf>
    <xf numFmtId="0" fontId="90" fillId="0" borderId="68" xfId="8726" applyFont="1" applyBorder="1" applyAlignment="1">
      <alignment horizontal="left"/>
    </xf>
    <xf numFmtId="0" fontId="137" fillId="45" borderId="72" xfId="8726" applyFont="1" applyFill="1" applyBorder="1" applyAlignment="1">
      <alignment horizontal="right"/>
    </xf>
    <xf numFmtId="0" fontId="137" fillId="45" borderId="73" xfId="8726" applyFont="1" applyFill="1" applyBorder="1" applyAlignment="1">
      <alignment horizontal="right"/>
    </xf>
    <xf numFmtId="0" fontId="138" fillId="44" borderId="73" xfId="700" applyNumberFormat="1" applyFont="1" applyFill="1" applyBorder="1" applyAlignment="1">
      <alignment horizontal="left"/>
    </xf>
    <xf numFmtId="168" fontId="138" fillId="44" borderId="73" xfId="700" applyNumberFormat="1" applyFont="1" applyFill="1" applyBorder="1" applyAlignment="1">
      <alignment horizontal="left"/>
    </xf>
    <xf numFmtId="168" fontId="138" fillId="44" borderId="93" xfId="700" applyNumberFormat="1" applyFont="1" applyFill="1" applyBorder="1" applyAlignment="1">
      <alignment horizontal="left"/>
    </xf>
    <xf numFmtId="0" fontId="134"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1"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5" fillId="48" borderId="0" xfId="700" applyNumberFormat="1" applyFont="1" applyFill="1" applyBorder="1" applyAlignment="1" applyProtection="1">
      <alignment horizontal="left"/>
      <protection locked="0"/>
    </xf>
    <xf numFmtId="0" fontId="138" fillId="45" borderId="67" xfId="0" applyFont="1" applyFill="1" applyBorder="1" applyAlignment="1" applyProtection="1">
      <alignment horizontal="center" wrapText="1"/>
      <protection hidden="1"/>
    </xf>
    <xf numFmtId="0" fontId="138" fillId="45" borderId="68" xfId="0" applyFont="1" applyFill="1" applyBorder="1" applyAlignment="1" applyProtection="1">
      <alignment horizontal="center" wrapText="1"/>
      <protection hidden="1"/>
    </xf>
    <xf numFmtId="0" fontId="138"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53" fillId="45" borderId="70" xfId="8726" applyFont="1" applyFill="1" applyBorder="1" applyAlignment="1">
      <alignment horizontal="right"/>
    </xf>
    <xf numFmtId="0" fontId="153" fillId="45" borderId="71" xfId="8726" applyFont="1" applyFill="1" applyBorder="1" applyAlignment="1">
      <alignment horizontal="right"/>
    </xf>
    <xf numFmtId="168" fontId="136" fillId="44" borderId="71" xfId="700" applyNumberFormat="1" applyFont="1" applyFill="1" applyBorder="1" applyAlignment="1">
      <alignment horizontal="left"/>
    </xf>
    <xf numFmtId="168" fontId="136" fillId="44" borderId="74" xfId="700" applyNumberFormat="1" applyFont="1" applyFill="1" applyBorder="1" applyAlignment="1">
      <alignment horizontal="left"/>
    </xf>
    <xf numFmtId="0" fontId="151" fillId="49" borderId="81" xfId="8726" applyFont="1" applyFill="1" applyBorder="1" applyAlignment="1" applyProtection="1">
      <alignment horizontal="center"/>
      <protection locked="0"/>
    </xf>
    <xf numFmtId="0" fontId="151" fillId="49" borderId="82" xfId="8726" applyFont="1" applyFill="1" applyBorder="1" applyAlignment="1" applyProtection="1">
      <alignment horizontal="center"/>
      <protection locked="0"/>
    </xf>
    <xf numFmtId="0" fontId="153" fillId="49" borderId="73" xfId="8726" applyFont="1" applyFill="1" applyBorder="1" applyAlignment="1" applyProtection="1">
      <alignment horizontal="left"/>
      <protection locked="0"/>
    </xf>
    <xf numFmtId="0" fontId="153" fillId="49" borderId="93" xfId="8726" applyFont="1" applyFill="1" applyBorder="1" applyAlignment="1" applyProtection="1">
      <alignment horizontal="left"/>
      <protection locked="0"/>
    </xf>
    <xf numFmtId="168" fontId="151" fillId="49" borderId="82" xfId="700" applyNumberFormat="1" applyFont="1" applyFill="1" applyBorder="1" applyAlignment="1" applyProtection="1">
      <alignment horizontal="left"/>
      <protection locked="0"/>
    </xf>
    <xf numFmtId="168" fontId="151" fillId="49" borderId="85" xfId="700" applyNumberFormat="1" applyFont="1" applyFill="1" applyBorder="1" applyAlignment="1" applyProtection="1">
      <alignment horizontal="left"/>
      <protection locked="0"/>
    </xf>
    <xf numFmtId="0" fontId="151" fillId="49" borderId="81" xfId="8726" applyFont="1" applyFill="1" applyBorder="1" applyAlignment="1" applyProtection="1">
      <alignment horizontal="left"/>
      <protection locked="0"/>
    </xf>
    <xf numFmtId="0" fontId="151" fillId="49" borderId="82" xfId="8726" applyFont="1" applyFill="1" applyBorder="1" applyAlignment="1" applyProtection="1">
      <alignment horizontal="left"/>
      <protection locked="0"/>
    </xf>
    <xf numFmtId="0" fontId="151" fillId="49" borderId="85" xfId="8726" applyFont="1" applyFill="1" applyBorder="1" applyAlignment="1" applyProtection="1">
      <alignment horizontal="left"/>
      <protection locked="0"/>
    </xf>
    <xf numFmtId="0" fontId="161" fillId="48" borderId="0" xfId="8726" applyFont="1" applyFill="1" applyAlignment="1">
      <alignment horizontal="left" wrapText="1"/>
    </xf>
    <xf numFmtId="0" fontId="161" fillId="48" borderId="41" xfId="8726" applyFont="1" applyFill="1" applyBorder="1" applyAlignment="1">
      <alignment horizontal="left" wrapText="1"/>
    </xf>
    <xf numFmtId="0" fontId="151" fillId="49" borderId="80"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0" fontId="153" fillId="49" borderId="11" xfId="8726" applyFont="1" applyFill="1" applyBorder="1" applyAlignment="1" applyProtection="1">
      <alignment horizontal="left"/>
      <protection locked="0"/>
    </xf>
    <xf numFmtId="168" fontId="151" fillId="49" borderId="11" xfId="700" applyNumberFormat="1" applyFont="1" applyFill="1" applyBorder="1" applyAlignment="1" applyProtection="1">
      <alignment horizontal="left"/>
      <protection locked="0"/>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3" fillId="49" borderId="80" xfId="8726" applyFont="1" applyFill="1" applyBorder="1" applyAlignment="1" applyProtection="1">
      <alignment horizontal="center"/>
      <protection locked="0"/>
    </xf>
    <xf numFmtId="0" fontId="153"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1" fillId="45" borderId="80" xfId="8726" applyFont="1" applyFill="1" applyBorder="1" applyAlignment="1">
      <alignment horizontal="right"/>
    </xf>
    <xf numFmtId="0" fontId="151" fillId="45" borderId="11" xfId="8726" applyFont="1" applyFill="1" applyBorder="1" applyAlignment="1">
      <alignment horizontal="right"/>
    </xf>
    <xf numFmtId="168" fontId="151" fillId="44" borderId="11" xfId="700" applyNumberFormat="1" applyFont="1" applyFill="1" applyBorder="1" applyAlignment="1">
      <alignment horizontal="left"/>
    </xf>
    <xf numFmtId="43" fontId="134" fillId="55" borderId="104" xfId="698" applyFont="1" applyFill="1" applyBorder="1" applyAlignment="1" applyProtection="1">
      <alignment horizontal="center"/>
      <protection hidden="1"/>
    </xf>
    <xf numFmtId="43" fontId="134" fillId="55" borderId="97" xfId="698" applyFont="1" applyFill="1" applyBorder="1" applyAlignment="1" applyProtection="1">
      <alignment horizontal="center"/>
      <protection hidden="1"/>
    </xf>
    <xf numFmtId="43" fontId="134" fillId="55" borderId="98" xfId="698" applyFont="1" applyFill="1" applyBorder="1" applyAlignment="1" applyProtection="1">
      <alignment horizontal="center"/>
      <protection hidden="1"/>
    </xf>
    <xf numFmtId="43" fontId="136"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1" fillId="48" borderId="9" xfId="8726" applyFont="1" applyFill="1" applyBorder="1" applyAlignment="1">
      <alignment horizontal="center"/>
    </xf>
    <xf numFmtId="0" fontId="151" fillId="48" borderId="6" xfId="8726" applyFont="1" applyFill="1" applyBorder="1" applyAlignment="1">
      <alignment horizontal="center"/>
    </xf>
    <xf numFmtId="0" fontId="151" fillId="48" borderId="10" xfId="8726" applyFont="1" applyFill="1" applyBorder="1" applyAlignment="1">
      <alignment horizontal="center"/>
    </xf>
    <xf numFmtId="43" fontId="136" fillId="53" borderId="11" xfId="698" applyFont="1" applyFill="1" applyBorder="1" applyAlignment="1" applyProtection="1">
      <alignment horizontal="left"/>
      <protection hidden="1"/>
    </xf>
    <xf numFmtId="14" fontId="151" fillId="49" borderId="11" xfId="8726" applyNumberFormat="1" applyFont="1" applyFill="1" applyBorder="1" applyAlignment="1" applyProtection="1">
      <alignment horizontal="center"/>
      <protection locked="0"/>
    </xf>
    <xf numFmtId="14" fontId="151" fillId="49" borderId="91" xfId="8726" applyNumberFormat="1" applyFont="1" applyFill="1" applyBorder="1" applyAlignment="1" applyProtection="1">
      <alignment horizontal="center"/>
      <protection locked="0"/>
    </xf>
    <xf numFmtId="168" fontId="153" fillId="44" borderId="11" xfId="700" applyNumberFormat="1" applyFont="1" applyFill="1" applyBorder="1" applyAlignment="1">
      <alignment horizontal="left"/>
    </xf>
    <xf numFmtId="0" fontId="137" fillId="47" borderId="11" xfId="8726" applyFont="1" applyFill="1" applyBorder="1" applyAlignment="1">
      <alignment horizontal="center"/>
    </xf>
    <xf numFmtId="0" fontId="137" fillId="47" borderId="91" xfId="8726" applyFont="1" applyFill="1" applyBorder="1" applyAlignment="1">
      <alignment horizontal="center"/>
    </xf>
    <xf numFmtId="0" fontId="153" fillId="45" borderId="80" xfId="8726" applyFont="1" applyFill="1" applyBorder="1" applyAlignment="1">
      <alignment horizontal="right"/>
    </xf>
    <xf numFmtId="0" fontId="153" fillId="45" borderId="11" xfId="8726" applyFont="1" applyFill="1" applyBorder="1" applyAlignment="1">
      <alignment horizontal="right"/>
    </xf>
    <xf numFmtId="0" fontId="161" fillId="45" borderId="72" xfId="8726" applyFont="1" applyFill="1" applyBorder="1" applyAlignment="1">
      <alignment horizontal="center"/>
    </xf>
    <xf numFmtId="0" fontId="161" fillId="45" borderId="73" xfId="8726" applyFont="1" applyFill="1" applyBorder="1" applyAlignment="1">
      <alignment horizontal="center"/>
    </xf>
    <xf numFmtId="0" fontId="147" fillId="49" borderId="73" xfId="8726" applyFont="1" applyFill="1" applyBorder="1" applyAlignment="1" applyProtection="1">
      <alignment horizontal="left"/>
      <protection locked="0"/>
    </xf>
    <xf numFmtId="0" fontId="153" fillId="49" borderId="73" xfId="8726" applyFont="1" applyFill="1" applyBorder="1" applyAlignment="1" applyProtection="1">
      <alignment horizontal="center"/>
      <protection locked="0"/>
    </xf>
    <xf numFmtId="14" fontId="153" fillId="49" borderId="73" xfId="8726" applyNumberFormat="1" applyFont="1" applyFill="1" applyBorder="1" applyAlignment="1" applyProtection="1">
      <alignment horizontal="center"/>
      <protection locked="0"/>
    </xf>
    <xf numFmtId="168" fontId="153" fillId="49" borderId="73" xfId="8727" applyNumberFormat="1" applyFont="1" applyFill="1" applyBorder="1" applyAlignment="1" applyProtection="1">
      <alignment horizontal="center"/>
      <protection locked="0"/>
    </xf>
    <xf numFmtId="168" fontId="153" fillId="49" borderId="93" xfId="8727" applyNumberFormat="1" applyFont="1" applyFill="1" applyBorder="1" applyAlignment="1" applyProtection="1">
      <alignment horizontal="center"/>
      <protection locked="0"/>
    </xf>
    <xf numFmtId="0" fontId="151" fillId="49" borderId="72" xfId="8726" applyFont="1" applyFill="1" applyBorder="1" applyAlignment="1" applyProtection="1">
      <alignment horizontal="center"/>
      <protection locked="0"/>
    </xf>
    <xf numFmtId="0" fontId="151" fillId="49" borderId="73" xfId="8726" applyFont="1" applyFill="1" applyBorder="1" applyAlignment="1" applyProtection="1">
      <alignment horizontal="center"/>
      <protection locked="0"/>
    </xf>
    <xf numFmtId="14" fontId="151" fillId="49" borderId="73" xfId="8726" applyNumberFormat="1" applyFont="1" applyFill="1" applyBorder="1" applyAlignment="1" applyProtection="1">
      <alignment horizontal="center"/>
      <protection locked="0"/>
    </xf>
    <xf numFmtId="14" fontId="151" fillId="49" borderId="93" xfId="8726" applyNumberFormat="1" applyFont="1" applyFill="1" applyBorder="1" applyAlignment="1" applyProtection="1">
      <alignment horizontal="center"/>
      <protection locked="0"/>
    </xf>
    <xf numFmtId="0" fontId="90" fillId="45" borderId="65" xfId="8726" applyFont="1" applyFill="1" applyBorder="1" applyAlignment="1">
      <alignment horizontal="left" wrapText="1"/>
    </xf>
    <xf numFmtId="0" fontId="90" fillId="45" borderId="29" xfId="8726" applyFont="1" applyFill="1" applyBorder="1" applyAlignment="1">
      <alignment horizontal="left" wrapText="1"/>
    </xf>
    <xf numFmtId="0" fontId="90" fillId="45" borderId="31" xfId="8726" applyFont="1" applyFill="1" applyBorder="1" applyAlignment="1">
      <alignment horizontal="left" wrapText="1"/>
    </xf>
    <xf numFmtId="0" fontId="90" fillId="45" borderId="86" xfId="8726" applyFont="1" applyFill="1" applyBorder="1" applyAlignment="1">
      <alignment horizontal="left" wrapText="1"/>
    </xf>
    <xf numFmtId="0" fontId="90" fillId="45" borderId="42" xfId="8726" applyFont="1" applyFill="1" applyBorder="1" applyAlignment="1">
      <alignment horizontal="left" wrapText="1"/>
    </xf>
    <xf numFmtId="0" fontId="90" fillId="45" borderId="44" xfId="8726" applyFont="1" applyFill="1" applyBorder="1" applyAlignment="1">
      <alignment horizontal="left" wrapText="1"/>
    </xf>
    <xf numFmtId="0" fontId="134" fillId="45" borderId="70" xfId="8726" applyFont="1" applyFill="1" applyBorder="1" applyAlignment="1">
      <alignment horizontal="left"/>
    </xf>
    <xf numFmtId="0" fontId="134" fillId="45" borderId="71" xfId="8726" applyFont="1" applyFill="1" applyBorder="1" applyAlignment="1">
      <alignment horizontal="left"/>
    </xf>
    <xf numFmtId="0" fontId="134" fillId="45" borderId="74" xfId="8726" applyFont="1" applyFill="1" applyBorder="1" applyAlignment="1">
      <alignment horizontal="left"/>
    </xf>
    <xf numFmtId="0" fontId="90" fillId="45" borderId="80" xfId="8726" applyFont="1" applyFill="1" applyBorder="1" applyAlignment="1">
      <alignment horizontal="center"/>
    </xf>
    <xf numFmtId="0" fontId="90" fillId="45" borderId="11" xfId="8726" applyFont="1" applyFill="1" applyBorder="1" applyAlignment="1">
      <alignment horizontal="center"/>
    </xf>
    <xf numFmtId="0" fontId="90" fillId="45" borderId="91" xfId="8726" applyFont="1" applyFill="1" applyBorder="1" applyAlignment="1">
      <alignment horizontal="center"/>
    </xf>
    <xf numFmtId="0" fontId="151" fillId="49" borderId="80" xfId="8726" applyFont="1" applyFill="1" applyBorder="1" applyAlignment="1" applyProtection="1">
      <alignment horizontal="left" vertical="top"/>
      <protection locked="0"/>
    </xf>
    <xf numFmtId="0" fontId="151" fillId="49" borderId="11" xfId="8726" applyFont="1" applyFill="1" applyBorder="1" applyAlignment="1" applyProtection="1">
      <alignment horizontal="left" vertical="top"/>
      <protection locked="0"/>
    </xf>
    <xf numFmtId="0" fontId="151" fillId="49" borderId="91" xfId="8726" applyFont="1" applyFill="1" applyBorder="1" applyAlignment="1" applyProtection="1">
      <alignment horizontal="left" vertical="top"/>
      <protection locked="0"/>
    </xf>
    <xf numFmtId="0" fontId="151" fillId="49" borderId="72" xfId="8726" applyFont="1" applyFill="1" applyBorder="1" applyAlignment="1" applyProtection="1">
      <alignment horizontal="left" vertical="top"/>
      <protection locked="0"/>
    </xf>
    <xf numFmtId="0" fontId="151" fillId="49" borderId="73" xfId="8726" applyFont="1" applyFill="1" applyBorder="1" applyAlignment="1" applyProtection="1">
      <alignment horizontal="left" vertical="top"/>
      <protection locked="0"/>
    </xf>
    <xf numFmtId="0" fontId="151" fillId="49" borderId="93" xfId="8726" applyFont="1" applyFill="1" applyBorder="1" applyAlignment="1" applyProtection="1">
      <alignment horizontal="left" vertical="top"/>
      <protection locked="0"/>
    </xf>
    <xf numFmtId="0" fontId="161" fillId="45" borderId="80" xfId="8726" applyFont="1" applyFill="1" applyBorder="1" applyAlignment="1">
      <alignment horizontal="center"/>
    </xf>
    <xf numFmtId="0" fontId="161" fillId="45" borderId="11" xfId="8726" applyFont="1" applyFill="1" applyBorder="1" applyAlignment="1">
      <alignment horizontal="center"/>
    </xf>
    <xf numFmtId="0" fontId="147" fillId="49" borderId="11" xfId="8726" applyFont="1" applyFill="1" applyBorder="1" applyAlignment="1" applyProtection="1">
      <alignment horizontal="left"/>
      <protection locked="0"/>
    </xf>
    <xf numFmtId="14" fontId="153" fillId="49" borderId="11" xfId="8726" applyNumberFormat="1" applyFont="1" applyFill="1" applyBorder="1" applyAlignment="1" applyProtection="1">
      <alignment horizontal="center"/>
      <protection locked="0"/>
    </xf>
    <xf numFmtId="168" fontId="153" fillId="49" borderId="11" xfId="8727" applyNumberFormat="1" applyFont="1" applyFill="1" applyBorder="1" applyAlignment="1" applyProtection="1">
      <alignment horizontal="center"/>
      <protection locked="0"/>
    </xf>
    <xf numFmtId="168" fontId="153" fillId="49" borderId="91" xfId="8727" applyNumberFormat="1" applyFont="1" applyFill="1" applyBorder="1" applyAlignment="1" applyProtection="1">
      <alignment horizontal="center"/>
      <protection locked="0"/>
    </xf>
    <xf numFmtId="0" fontId="138" fillId="45" borderId="11" xfId="8726" applyFont="1" applyFill="1" applyBorder="1" applyAlignment="1">
      <alignment horizontal="center" wrapText="1"/>
    </xf>
    <xf numFmtId="0" fontId="138" fillId="45" borderId="91" xfId="8726" applyFont="1" applyFill="1" applyBorder="1" applyAlignment="1">
      <alignment horizontal="center" wrapText="1"/>
    </xf>
    <xf numFmtId="0" fontId="149" fillId="45" borderId="80" xfId="8726" applyFont="1" applyFill="1" applyBorder="1" applyAlignment="1">
      <alignment horizontal="left"/>
    </xf>
    <xf numFmtId="0" fontId="149" fillId="45" borderId="11" xfId="8726" applyFont="1" applyFill="1" applyBorder="1" applyAlignment="1">
      <alignment horizontal="left"/>
    </xf>
    <xf numFmtId="0" fontId="149" fillId="45" borderId="72" xfId="8726" applyFont="1" applyFill="1" applyBorder="1" applyAlignment="1">
      <alignment horizontal="left"/>
    </xf>
    <xf numFmtId="0" fontId="149" fillId="45" borderId="73" xfId="8726" applyFont="1" applyFill="1" applyBorder="1" applyAlignment="1">
      <alignment horizontal="left"/>
    </xf>
    <xf numFmtId="0" fontId="134" fillId="45" borderId="70" xfId="8726" applyFont="1" applyFill="1" applyBorder="1" applyAlignment="1">
      <alignment horizontal="center"/>
    </xf>
    <xf numFmtId="0" fontId="142" fillId="45" borderId="80" xfId="8726" applyFont="1" applyFill="1" applyBorder="1" applyAlignment="1">
      <alignment horizontal="left"/>
    </xf>
    <xf numFmtId="0" fontId="142" fillId="45" borderId="11" xfId="8726" applyFont="1" applyFill="1" applyBorder="1" applyAlignment="1">
      <alignment horizontal="left"/>
    </xf>
    <xf numFmtId="0" fontId="152" fillId="49" borderId="11" xfId="8726" applyFont="1" applyFill="1" applyBorder="1" applyAlignment="1" applyProtection="1">
      <alignment horizontal="left"/>
      <protection locked="0"/>
    </xf>
    <xf numFmtId="0" fontId="152" fillId="49" borderId="91" xfId="8726" applyFont="1" applyFill="1" applyBorder="1" applyAlignment="1" applyProtection="1">
      <alignment horizontal="left"/>
      <protection locked="0"/>
    </xf>
    <xf numFmtId="0" fontId="153" fillId="49" borderId="80" xfId="8726" applyFont="1" applyFill="1" applyBorder="1" applyAlignment="1" applyProtection="1">
      <alignment horizontal="left" vertical="top"/>
      <protection locked="0"/>
    </xf>
    <xf numFmtId="0" fontId="153" fillId="49" borderId="11" xfId="8726" applyFont="1" applyFill="1" applyBorder="1" applyAlignment="1" applyProtection="1">
      <alignment horizontal="left" vertical="top"/>
      <protection locked="0"/>
    </xf>
    <xf numFmtId="0" fontId="153" fillId="49" borderId="91" xfId="8726" applyFont="1" applyFill="1" applyBorder="1" applyAlignment="1" applyProtection="1">
      <alignment horizontal="left" vertical="top"/>
      <protection locked="0"/>
    </xf>
    <xf numFmtId="0" fontId="153" fillId="49" borderId="72" xfId="8726" applyFont="1" applyFill="1" applyBorder="1" applyAlignment="1" applyProtection="1">
      <alignment horizontal="left" vertical="top"/>
      <protection locked="0"/>
    </xf>
    <xf numFmtId="0" fontId="153" fillId="49" borderId="73" xfId="8726" applyFont="1" applyFill="1" applyBorder="1" applyAlignment="1" applyProtection="1">
      <alignment horizontal="left" vertical="top"/>
      <protection locked="0"/>
    </xf>
    <xf numFmtId="0" fontId="153" fillId="49" borderId="93" xfId="8726" applyFont="1" applyFill="1" applyBorder="1" applyAlignment="1" applyProtection="1">
      <alignment horizontal="left" vertical="top"/>
      <protection locked="0"/>
    </xf>
    <xf numFmtId="0" fontId="134" fillId="45" borderId="75" xfId="8726" applyFont="1" applyFill="1" applyBorder="1" applyAlignment="1">
      <alignment horizontal="center"/>
    </xf>
    <xf numFmtId="0" fontId="134" fillId="45" borderId="76" xfId="8726" applyFont="1" applyFill="1" applyBorder="1" applyAlignment="1">
      <alignment horizontal="center"/>
    </xf>
    <xf numFmtId="0" fontId="134" fillId="45" borderId="77" xfId="8726" applyFont="1" applyFill="1" applyBorder="1" applyAlignment="1">
      <alignment horizontal="center"/>
    </xf>
    <xf numFmtId="0" fontId="90" fillId="45" borderId="74" xfId="8726" applyFont="1" applyFill="1" applyBorder="1" applyAlignment="1">
      <alignment horizontal="left" wrapText="1"/>
    </xf>
    <xf numFmtId="0" fontId="90" fillId="45" borderId="91" xfId="8726" applyFont="1" applyFill="1" applyBorder="1" applyAlignment="1">
      <alignment horizontal="left" wrapText="1"/>
    </xf>
    <xf numFmtId="0" fontId="90" fillId="45" borderId="65" xfId="8726" applyFont="1" applyFill="1" applyBorder="1" applyAlignment="1">
      <alignment horizontal="center"/>
    </xf>
    <xf numFmtId="0" fontId="90" fillId="45" borderId="29" xfId="8726" applyFont="1" applyFill="1" applyBorder="1" applyAlignment="1">
      <alignment horizontal="center"/>
    </xf>
    <xf numFmtId="0" fontId="90" fillId="45" borderId="31" xfId="8726" applyFont="1" applyFill="1" applyBorder="1" applyAlignment="1">
      <alignment horizontal="center"/>
    </xf>
    <xf numFmtId="0" fontId="148" fillId="45" borderId="11" xfId="8726" applyFont="1" applyFill="1" applyBorder="1" applyAlignment="1">
      <alignment horizontal="left"/>
    </xf>
    <xf numFmtId="0" fontId="14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34" fillId="45" borderId="94" xfId="8726" applyFont="1" applyFill="1" applyBorder="1" applyAlignment="1">
      <alignment horizontal="right"/>
    </xf>
    <xf numFmtId="0" fontId="134" fillId="45" borderId="43" xfId="8726" applyFont="1" applyFill="1" applyBorder="1" applyAlignment="1">
      <alignment horizontal="right"/>
    </xf>
    <xf numFmtId="0" fontId="151" fillId="49" borderId="71" xfId="8726" applyFont="1" applyFill="1" applyBorder="1" applyAlignment="1" applyProtection="1">
      <alignment horizontal="left"/>
      <protection locked="0"/>
    </xf>
    <xf numFmtId="0" fontId="151" fillId="49" borderId="74" xfId="8726" applyFont="1" applyFill="1" applyBorder="1" applyAlignment="1" applyProtection="1">
      <alignment horizontal="left"/>
      <protection locked="0"/>
    </xf>
    <xf numFmtId="0" fontId="134" fillId="45" borderId="72" xfId="8726" applyFont="1" applyFill="1" applyBorder="1" applyAlignment="1">
      <alignment horizontal="center"/>
    </xf>
    <xf numFmtId="0" fontId="134" fillId="45" borderId="73" xfId="8726" applyFont="1" applyFill="1" applyBorder="1" applyAlignment="1">
      <alignment horizontal="center"/>
    </xf>
    <xf numFmtId="0" fontId="151" fillId="49" borderId="73" xfId="8726" applyFont="1" applyFill="1" applyBorder="1" applyAlignment="1" applyProtection="1">
      <alignment horizontal="left"/>
      <protection locked="0"/>
    </xf>
    <xf numFmtId="0" fontId="151" fillId="49" borderId="93" xfId="8726" applyFont="1" applyFill="1" applyBorder="1" applyAlignment="1" applyProtection="1">
      <alignment horizontal="left"/>
      <protection locked="0"/>
    </xf>
    <xf numFmtId="0" fontId="151" fillId="44" borderId="80" xfId="8726" applyFont="1" applyFill="1" applyBorder="1" applyAlignment="1" applyProtection="1">
      <alignment horizontal="right"/>
      <protection locked="0"/>
    </xf>
    <xf numFmtId="0" fontId="151" fillId="44" borderId="11" xfId="8726" applyFont="1" applyFill="1" applyBorder="1" applyAlignment="1" applyProtection="1">
      <alignment horizontal="right"/>
      <protection locked="0"/>
    </xf>
    <xf numFmtId="0" fontId="151" fillId="44" borderId="91" xfId="8726" applyFont="1" applyFill="1" applyBorder="1" applyAlignment="1" applyProtection="1">
      <alignment horizontal="right"/>
      <protection locked="0"/>
    </xf>
    <xf numFmtId="0" fontId="151" fillId="49" borderId="5" xfId="8726" applyFont="1" applyFill="1" applyBorder="1" applyAlignment="1" applyProtection="1">
      <alignment horizontal="left"/>
      <protection locked="0"/>
    </xf>
    <xf numFmtId="0" fontId="151" fillId="44" borderId="72" xfId="8726" applyFont="1" applyFill="1" applyBorder="1" applyAlignment="1" applyProtection="1">
      <alignment horizontal="right"/>
      <protection locked="0"/>
    </xf>
    <xf numFmtId="0" fontId="151" fillId="44" borderId="73" xfId="8726" applyFont="1" applyFill="1" applyBorder="1" applyAlignment="1" applyProtection="1">
      <alignment horizontal="right"/>
      <protection locked="0"/>
    </xf>
    <xf numFmtId="0" fontId="151" fillId="44" borderId="93" xfId="8726" applyFont="1" applyFill="1" applyBorder="1" applyAlignment="1" applyProtection="1">
      <alignment horizontal="right"/>
      <protection locked="0"/>
    </xf>
    <xf numFmtId="168" fontId="151" fillId="49" borderId="11" xfId="8727" applyNumberFormat="1"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51" fillId="49" borderId="11" xfId="700" applyNumberFormat="1" applyFont="1" applyFill="1" applyBorder="1" applyAlignment="1" applyProtection="1">
      <alignment horizontal="left"/>
      <protection locked="0"/>
    </xf>
    <xf numFmtId="0" fontId="151" fillId="49" borderId="91" xfId="700" applyNumberFormat="1" applyFont="1" applyFill="1" applyBorder="1" applyAlignment="1" applyProtection="1">
      <alignment horizontal="left"/>
      <protection locked="0"/>
    </xf>
    <xf numFmtId="168" fontId="137" fillId="45" borderId="73" xfId="8727" applyNumberFormat="1" applyFont="1" applyFill="1" applyBorder="1" applyAlignment="1">
      <alignment horizontal="center"/>
    </xf>
    <xf numFmtId="1" fontId="137" fillId="45" borderId="73" xfId="8727" applyNumberFormat="1" applyFont="1" applyFill="1" applyBorder="1" applyAlignment="1">
      <alignment horizontal="center"/>
    </xf>
    <xf numFmtId="0" fontId="137" fillId="45" borderId="73" xfId="8727" applyNumberFormat="1" applyFont="1" applyFill="1" applyBorder="1" applyAlignment="1">
      <alignment horizontal="center"/>
    </xf>
    <xf numFmtId="0" fontId="137" fillId="45" borderId="93" xfId="8727" applyNumberFormat="1" applyFont="1" applyFill="1" applyBorder="1" applyAlignment="1">
      <alignment horizontal="center"/>
    </xf>
    <xf numFmtId="0" fontId="134" fillId="45" borderId="65" xfId="8726" applyFont="1" applyFill="1" applyBorder="1" applyAlignment="1">
      <alignment horizontal="center"/>
    </xf>
    <xf numFmtId="0" fontId="134" fillId="45" borderId="29" xfId="8726" applyFont="1" applyFill="1" applyBorder="1" applyAlignment="1">
      <alignment horizontal="center"/>
    </xf>
    <xf numFmtId="0" fontId="134" fillId="45" borderId="31" xfId="8726" applyFont="1" applyFill="1" applyBorder="1" applyAlignment="1">
      <alignment horizontal="center"/>
    </xf>
    <xf numFmtId="0" fontId="151" fillId="49" borderId="83" xfId="8726" applyFont="1" applyFill="1" applyBorder="1" applyAlignment="1" applyProtection="1">
      <alignment horizontal="left"/>
      <protection locked="0"/>
    </xf>
    <xf numFmtId="0" fontId="138" fillId="45" borderId="11" xfId="8726" applyFont="1" applyFill="1" applyBorder="1" applyAlignment="1">
      <alignment horizontal="center" vertical="center" wrapText="1"/>
    </xf>
    <xf numFmtId="0" fontId="138" fillId="45" borderId="91" xfId="8726" applyFont="1" applyFill="1" applyBorder="1" applyAlignment="1">
      <alignment horizontal="center" vertical="center" wrapText="1"/>
    </xf>
    <xf numFmtId="1" fontId="152" fillId="49" borderId="73" xfId="8726" applyNumberFormat="1" applyFont="1" applyFill="1" applyBorder="1" applyAlignment="1" applyProtection="1">
      <alignment horizontal="center"/>
      <protection locked="0"/>
    </xf>
    <xf numFmtId="1" fontId="152" fillId="49" borderId="84" xfId="8726" applyNumberFormat="1" applyFont="1" applyFill="1" applyBorder="1" applyAlignment="1" applyProtection="1">
      <alignment horizontal="center"/>
      <protection locked="0"/>
    </xf>
    <xf numFmtId="1" fontId="152" fillId="49" borderId="82" xfId="8726" applyNumberFormat="1" applyFont="1" applyFill="1" applyBorder="1" applyAlignment="1" applyProtection="1">
      <alignment horizontal="center"/>
      <protection locked="0"/>
    </xf>
    <xf numFmtId="1" fontId="152" fillId="49" borderId="83" xfId="8726" applyNumberFormat="1" applyFont="1" applyFill="1" applyBorder="1" applyAlignment="1" applyProtection="1">
      <alignment horizontal="center"/>
      <protection locked="0"/>
    </xf>
    <xf numFmtId="0" fontId="151" fillId="49" borderId="72" xfId="8726" applyFont="1" applyFill="1" applyBorder="1" applyAlignment="1" applyProtection="1">
      <alignment horizontal="right"/>
      <protection locked="0"/>
    </xf>
    <xf numFmtId="0" fontId="151" fillId="49" borderId="73" xfId="8726" applyFont="1" applyFill="1" applyBorder="1" applyAlignment="1" applyProtection="1">
      <alignment horizontal="right"/>
      <protection locked="0"/>
    </xf>
    <xf numFmtId="0" fontId="152" fillId="49" borderId="73"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9" fontId="138" fillId="44" borderId="84" xfId="8728" applyFont="1" applyFill="1" applyBorder="1" applyAlignment="1">
      <alignment horizontal="center"/>
    </xf>
    <xf numFmtId="9" fontId="138" fillId="44" borderId="82" xfId="8728" applyFont="1" applyFill="1" applyBorder="1" applyAlignment="1">
      <alignment horizontal="center"/>
    </xf>
    <xf numFmtId="9" fontId="138" fillId="44" borderId="85" xfId="8728" applyFont="1" applyFill="1" applyBorder="1" applyAlignment="1">
      <alignment horizontal="center"/>
    </xf>
    <xf numFmtId="9" fontId="138" fillId="44" borderId="3" xfId="8728" applyFont="1" applyFill="1" applyBorder="1" applyAlignment="1">
      <alignment horizontal="center"/>
    </xf>
    <xf numFmtId="9" fontId="138" fillId="44" borderId="4" xfId="8728" applyFont="1" applyFill="1" applyBorder="1" applyAlignment="1">
      <alignment horizontal="center"/>
    </xf>
    <xf numFmtId="9" fontId="138" fillId="44" borderId="79" xfId="8728" applyFont="1" applyFill="1" applyBorder="1" applyAlignment="1">
      <alignment horizontal="center"/>
    </xf>
    <xf numFmtId="0" fontId="137" fillId="44" borderId="88" xfId="8726" applyFont="1" applyFill="1" applyBorder="1" applyAlignment="1">
      <alignment horizontal="center"/>
    </xf>
    <xf numFmtId="0" fontId="137" fillId="44" borderId="42" xfId="8726" applyFont="1" applyFill="1" applyBorder="1" applyAlignment="1">
      <alignment horizontal="center"/>
    </xf>
    <xf numFmtId="0" fontId="137" fillId="44" borderId="87" xfId="8726" applyFont="1" applyFill="1" applyBorder="1" applyAlignment="1">
      <alignment horizontal="center"/>
    </xf>
    <xf numFmtId="9" fontId="137" fillId="49" borderId="13" xfId="8726" applyNumberFormat="1" applyFont="1" applyFill="1" applyBorder="1" applyAlignment="1" applyProtection="1">
      <alignment horizontal="center"/>
      <protection locked="0"/>
    </xf>
    <xf numFmtId="0" fontId="134" fillId="45" borderId="67" xfId="8726" applyFont="1" applyFill="1" applyBorder="1" applyAlignment="1">
      <alignment horizontal="center"/>
    </xf>
    <xf numFmtId="0" fontId="134" fillId="45" borderId="68" xfId="8726" applyFont="1" applyFill="1" applyBorder="1" applyAlignment="1">
      <alignment horizontal="center"/>
    </xf>
    <xf numFmtId="0" fontId="134" fillId="45" borderId="69" xfId="8726" applyFont="1" applyFill="1" applyBorder="1" applyAlignment="1">
      <alignment horizontal="center"/>
    </xf>
    <xf numFmtId="0" fontId="138" fillId="45" borderId="65" xfId="8726" applyFont="1" applyFill="1" applyBorder="1" applyAlignment="1">
      <alignment horizontal="center" vertical="center" wrapText="1"/>
    </xf>
    <xf numFmtId="0" fontId="138" fillId="45" borderId="29" xfId="8726" applyFont="1" applyFill="1" applyBorder="1" applyAlignment="1">
      <alignment horizontal="center" vertical="center" wrapText="1"/>
    </xf>
    <xf numFmtId="0" fontId="138" fillId="45" borderId="31" xfId="8726" applyFont="1" applyFill="1" applyBorder="1" applyAlignment="1">
      <alignment horizontal="center" vertical="center" wrapText="1"/>
    </xf>
    <xf numFmtId="0" fontId="138" fillId="45" borderId="86" xfId="8726" applyFont="1" applyFill="1" applyBorder="1" applyAlignment="1">
      <alignment horizontal="center" vertical="center" wrapText="1"/>
    </xf>
    <xf numFmtId="0" fontId="138" fillId="45" borderId="42" xfId="8726" applyFont="1" applyFill="1" applyBorder="1" applyAlignment="1">
      <alignment horizontal="center" vertical="center" wrapText="1"/>
    </xf>
    <xf numFmtId="0" fontId="138" fillId="45" borderId="44" xfId="8726" applyFont="1" applyFill="1" applyBorder="1" applyAlignment="1">
      <alignment horizontal="center" vertical="center" wrapText="1"/>
    </xf>
    <xf numFmtId="0" fontId="138" fillId="45" borderId="67" xfId="8726" applyFont="1" applyFill="1" applyBorder="1" applyAlignment="1">
      <alignment horizontal="center"/>
    </xf>
    <xf numFmtId="0" fontId="138" fillId="45" borderId="68" xfId="8726" applyFont="1" applyFill="1" applyBorder="1" applyAlignment="1">
      <alignment horizontal="center"/>
    </xf>
    <xf numFmtId="0" fontId="138" fillId="45" borderId="69" xfId="8726" applyFont="1" applyFill="1" applyBorder="1" applyAlignment="1">
      <alignment horizontal="center"/>
    </xf>
    <xf numFmtId="9" fontId="137" fillId="44" borderId="88" xfId="1022" applyFont="1" applyFill="1" applyBorder="1" applyAlignment="1">
      <alignment horizontal="center"/>
    </xf>
    <xf numFmtId="9" fontId="137" fillId="44" borderId="42" xfId="1022" applyFont="1" applyFill="1" applyBorder="1" applyAlignment="1">
      <alignment horizontal="center"/>
    </xf>
    <xf numFmtId="9" fontId="137" fillId="44" borderId="44" xfId="1022" applyFont="1" applyFill="1" applyBorder="1" applyAlignment="1">
      <alignment horizontal="center"/>
    </xf>
    <xf numFmtId="0" fontId="138" fillId="45" borderId="95" xfId="8726" applyFont="1" applyFill="1" applyBorder="1" applyAlignment="1">
      <alignment horizontal="center" vertical="center" wrapText="1"/>
    </xf>
    <xf numFmtId="0" fontId="138" fillId="45" borderId="13" xfId="8726" applyFont="1" applyFill="1" applyBorder="1" applyAlignment="1">
      <alignment horizontal="center" vertical="center"/>
    </xf>
    <xf numFmtId="0" fontId="138" fillId="45" borderId="80" xfId="8726" applyFont="1" applyFill="1" applyBorder="1" applyAlignment="1">
      <alignment horizontal="center" vertical="center"/>
    </xf>
    <xf numFmtId="0" fontId="138" fillId="45" borderId="11" xfId="8726" applyFont="1" applyFill="1" applyBorder="1" applyAlignment="1">
      <alignment horizontal="center" vertical="center"/>
    </xf>
    <xf numFmtId="0" fontId="137" fillId="44" borderId="86" xfId="8726" applyFont="1" applyFill="1" applyBorder="1" applyAlignment="1">
      <alignment horizontal="center"/>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9" fontId="138" fillId="49" borderId="9" xfId="8726" applyNumberFormat="1" applyFont="1" applyFill="1" applyBorder="1" applyAlignment="1" applyProtection="1">
      <alignment horizontal="center"/>
      <protection locked="0"/>
    </xf>
    <xf numFmtId="9" fontId="138" fillId="49" borderId="6" xfId="8726" applyNumberFormat="1" applyFont="1" applyFill="1" applyBorder="1" applyAlignment="1" applyProtection="1">
      <alignment horizontal="center"/>
      <protection locked="0"/>
    </xf>
    <xf numFmtId="9" fontId="138" fillId="49" borderId="10" xfId="8726" applyNumberFormat="1" applyFont="1" applyFill="1" applyBorder="1" applyAlignment="1" applyProtection="1">
      <alignment horizontal="center"/>
      <protection locked="0"/>
    </xf>
    <xf numFmtId="0" fontId="138" fillId="44" borderId="9" xfId="8726" applyFont="1" applyFill="1" applyBorder="1" applyAlignment="1">
      <alignment horizontal="center"/>
    </xf>
    <xf numFmtId="0" fontId="138" fillId="44" borderId="6" xfId="8726" applyFont="1" applyFill="1" applyBorder="1" applyAlignment="1">
      <alignment horizontal="center"/>
    </xf>
    <xf numFmtId="0" fontId="138" fillId="44" borderId="10" xfId="8726" applyFont="1" applyFill="1" applyBorder="1" applyAlignment="1">
      <alignment horizontal="center"/>
    </xf>
    <xf numFmtId="0" fontId="138" fillId="44" borderId="103" xfId="8726" applyFont="1" applyFill="1" applyBorder="1" applyAlignment="1">
      <alignment horizontal="center"/>
    </xf>
    <xf numFmtId="9" fontId="151" fillId="49" borderId="92" xfId="8726" applyNumberFormat="1" applyFont="1" applyFill="1" applyBorder="1" applyAlignment="1">
      <alignment horizontal="center"/>
    </xf>
    <xf numFmtId="9" fontId="151" fillId="49" borderId="4" xfId="8726" applyNumberFormat="1" applyFont="1" applyFill="1" applyBorder="1" applyAlignment="1">
      <alignment horizontal="center"/>
    </xf>
    <xf numFmtId="9" fontId="151" fillId="49" borderId="5" xfId="8726" applyNumberFormat="1" applyFont="1" applyFill="1" applyBorder="1" applyAlignment="1">
      <alignment horizontal="center"/>
    </xf>
    <xf numFmtId="0" fontId="151" fillId="44" borderId="3" xfId="8726" applyFont="1" applyFill="1" applyBorder="1" applyAlignment="1">
      <alignment horizontal="center"/>
    </xf>
    <xf numFmtId="0" fontId="151" fillId="44" borderId="4" xfId="8726" applyFont="1" applyFill="1" applyBorder="1" applyAlignment="1">
      <alignment horizontal="center"/>
    </xf>
    <xf numFmtId="0" fontId="151" fillId="44" borderId="5" xfId="8726" applyFont="1" applyFill="1" applyBorder="1" applyAlignment="1">
      <alignment horizontal="center"/>
    </xf>
    <xf numFmtId="9" fontId="137" fillId="44" borderId="3" xfId="8726" applyNumberFormat="1" applyFont="1" applyFill="1" applyBorder="1" applyAlignment="1">
      <alignment horizontal="center"/>
    </xf>
    <xf numFmtId="9" fontId="137" fillId="44" borderId="4" xfId="8726" applyNumberFormat="1" applyFont="1" applyFill="1" applyBorder="1" applyAlignment="1">
      <alignment horizontal="center"/>
    </xf>
    <xf numFmtId="9" fontId="137" fillId="44" borderId="79" xfId="8726" applyNumberFormat="1" applyFont="1" applyFill="1" applyBorder="1" applyAlignment="1">
      <alignment horizontal="center"/>
    </xf>
    <xf numFmtId="0" fontId="137" fillId="44" borderId="81" xfId="8726" applyFont="1" applyFill="1" applyBorder="1" applyAlignment="1">
      <alignment horizontal="center"/>
    </xf>
    <xf numFmtId="0" fontId="137" fillId="44" borderId="82" xfId="8726" applyFont="1" applyFill="1" applyBorder="1" applyAlignment="1">
      <alignment horizontal="center"/>
    </xf>
    <xf numFmtId="0" fontId="137" fillId="44" borderId="83" xfId="8726" applyFont="1" applyFill="1" applyBorder="1" applyAlignment="1">
      <alignment horizontal="center"/>
    </xf>
    <xf numFmtId="0" fontId="151" fillId="44" borderId="84" xfId="8726" applyFont="1" applyFill="1" applyBorder="1" applyAlignment="1">
      <alignment horizontal="center"/>
    </xf>
    <xf numFmtId="0" fontId="151" fillId="44" borderId="82" xfId="8726" applyFont="1" applyFill="1" applyBorder="1" applyAlignment="1">
      <alignment horizontal="center"/>
    </xf>
    <xf numFmtId="0" fontId="151" fillId="44" borderId="83" xfId="8726" applyFont="1" applyFill="1" applyBorder="1" applyAlignment="1">
      <alignment horizontal="center"/>
    </xf>
    <xf numFmtId="9" fontId="137" fillId="44" borderId="84" xfId="8726" applyNumberFormat="1" applyFont="1" applyFill="1" applyBorder="1" applyAlignment="1">
      <alignment horizontal="center"/>
    </xf>
    <xf numFmtId="9" fontId="137" fillId="44" borderId="82" xfId="8726" applyNumberFormat="1" applyFont="1" applyFill="1" applyBorder="1" applyAlignment="1">
      <alignment horizontal="center"/>
    </xf>
    <xf numFmtId="9" fontId="137" fillId="44" borderId="85" xfId="8726" applyNumberFormat="1" applyFont="1" applyFill="1" applyBorder="1" applyAlignment="1">
      <alignment horizontal="center"/>
    </xf>
    <xf numFmtId="0" fontId="137" fillId="45" borderId="13"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11" xfId="8726" applyFont="1" applyFill="1" applyBorder="1" applyAlignment="1">
      <alignment horizontal="center" vertical="center"/>
    </xf>
    <xf numFmtId="0" fontId="137" fillId="45" borderId="9" xfId="8726" applyFont="1" applyFill="1" applyBorder="1" applyAlignment="1">
      <alignment horizontal="center" vertical="center"/>
    </xf>
    <xf numFmtId="0" fontId="137" fillId="45" borderId="3" xfId="8726" applyFont="1" applyFill="1" applyBorder="1" applyAlignment="1">
      <alignment horizontal="center" vertical="center"/>
    </xf>
    <xf numFmtId="0" fontId="137" fillId="45" borderId="78" xfId="8726" applyFont="1" applyFill="1" applyBorder="1" applyAlignment="1">
      <alignment horizontal="center"/>
    </xf>
    <xf numFmtId="0" fontId="137" fillId="45" borderId="2" xfId="8726" applyFont="1" applyFill="1" applyBorder="1" applyAlignment="1">
      <alignment horizontal="center"/>
    </xf>
    <xf numFmtId="0" fontId="137" fillId="45" borderId="7" xfId="8726" applyFont="1" applyFill="1" applyBorder="1" applyAlignment="1">
      <alignment horizontal="center"/>
    </xf>
    <xf numFmtId="0" fontId="137" fillId="45" borderId="3" xfId="8726" applyFont="1" applyFill="1" applyBorder="1" applyAlignment="1">
      <alignment horizontal="center"/>
    </xf>
    <xf numFmtId="0" fontId="137" fillId="45" borderId="4" xfId="8726" applyFont="1" applyFill="1" applyBorder="1" applyAlignment="1">
      <alignment horizontal="center"/>
    </xf>
    <xf numFmtId="0" fontId="137" fillId="45" borderId="5" xfId="8726" applyFont="1" applyFill="1" applyBorder="1" applyAlignment="1">
      <alignment horizontal="center"/>
    </xf>
    <xf numFmtId="0" fontId="137" fillId="45" borderId="79" xfId="8726" applyFont="1" applyFill="1" applyBorder="1" applyAlignment="1">
      <alignment horizontal="center"/>
    </xf>
    <xf numFmtId="168" fontId="153" fillId="44" borderId="11" xfId="8727" applyNumberFormat="1" applyFont="1" applyFill="1" applyBorder="1" applyAlignment="1" applyProtection="1">
      <alignment horizontal="left"/>
    </xf>
    <xf numFmtId="0" fontId="13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35" fillId="45" borderId="11" xfId="8726" applyFont="1" applyFill="1" applyBorder="1" applyAlignment="1">
      <alignment horizontal="right" wrapText="1"/>
    </xf>
    <xf numFmtId="14" fontId="136" fillId="49" borderId="11" xfId="8726" applyNumberFormat="1" applyFont="1" applyFill="1" applyBorder="1" applyAlignment="1" applyProtection="1">
      <alignment horizontal="center" vertical="center"/>
      <protection locked="0"/>
    </xf>
    <xf numFmtId="0" fontId="136" fillId="49" borderId="11" xfId="8726" applyFont="1" applyFill="1" applyBorder="1" applyAlignment="1" applyProtection="1">
      <alignment horizontal="center" vertical="center"/>
      <protection locked="0"/>
    </xf>
    <xf numFmtId="0" fontId="90" fillId="45" borderId="67" xfId="8726" applyFont="1" applyFill="1" applyBorder="1" applyAlignment="1">
      <alignment horizontal="center"/>
    </xf>
    <xf numFmtId="0" fontId="90" fillId="45" borderId="68" xfId="8726" applyFont="1" applyFill="1" applyBorder="1" applyAlignment="1">
      <alignment horizontal="center"/>
    </xf>
    <xf numFmtId="0" fontId="90" fillId="45" borderId="69" xfId="8726" applyFont="1" applyFill="1" applyBorder="1" applyAlignment="1">
      <alignment horizontal="center"/>
    </xf>
    <xf numFmtId="0" fontId="136" fillId="49" borderId="67" xfId="8726" applyFont="1" applyFill="1" applyBorder="1" applyAlignment="1" applyProtection="1">
      <alignment horizontal="center"/>
      <protection locked="0"/>
    </xf>
    <xf numFmtId="0" fontId="136" fillId="49" borderId="68" xfId="8726" applyFont="1" applyFill="1" applyBorder="1" applyAlignment="1" applyProtection="1">
      <alignment horizontal="center"/>
      <protection locked="0"/>
    </xf>
    <xf numFmtId="0" fontId="136" fillId="49" borderId="69" xfId="8726" applyFont="1" applyFill="1" applyBorder="1" applyAlignment="1" applyProtection="1">
      <alignment horizontal="center"/>
      <protection locked="0"/>
    </xf>
    <xf numFmtId="0" fontId="90" fillId="45" borderId="67" xfId="8726" applyFont="1" applyFill="1" applyBorder="1" applyAlignment="1">
      <alignment horizontal="right"/>
    </xf>
    <xf numFmtId="0" fontId="90" fillId="45" borderId="68" xfId="8726" applyFont="1" applyFill="1" applyBorder="1" applyAlignment="1">
      <alignment horizontal="right"/>
    </xf>
    <xf numFmtId="0" fontId="9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36" fillId="49" borderId="11" xfId="8726" applyNumberFormat="1" applyFont="1" applyFill="1" applyBorder="1" applyAlignment="1" applyProtection="1">
      <alignment horizontal="center"/>
      <protection locked="0"/>
    </xf>
    <xf numFmtId="0" fontId="133" fillId="47" borderId="65" xfId="8726" applyFont="1" applyFill="1" applyBorder="1" applyAlignment="1">
      <alignment horizontal="center"/>
    </xf>
    <xf numFmtId="0" fontId="133" fillId="47" borderId="29" xfId="8726" applyFont="1" applyFill="1" applyBorder="1" applyAlignment="1">
      <alignment horizontal="center"/>
    </xf>
    <xf numFmtId="0" fontId="133" fillId="47" borderId="31" xfId="8726" applyFont="1" applyFill="1" applyBorder="1" applyAlignment="1">
      <alignment horizontal="center"/>
    </xf>
    <xf numFmtId="0" fontId="134" fillId="49" borderId="66" xfId="8726" applyFont="1" applyFill="1" applyBorder="1" applyAlignment="1">
      <alignment horizontal="center"/>
    </xf>
    <xf numFmtId="0" fontId="134" fillId="49" borderId="0" xfId="8726" applyFont="1" applyFill="1" applyAlignment="1">
      <alignment horizontal="center"/>
    </xf>
    <xf numFmtId="0" fontId="134" fillId="49" borderId="41" xfId="8726" applyFont="1" applyFill="1" applyBorder="1" applyAlignment="1">
      <alignment horizontal="center"/>
    </xf>
    <xf numFmtId="0" fontId="136" fillId="44" borderId="67" xfId="8726" applyFont="1" applyFill="1" applyBorder="1" applyAlignment="1">
      <alignment horizontal="left"/>
    </xf>
    <xf numFmtId="0" fontId="136" fillId="44" borderId="68" xfId="8726" applyFont="1" applyFill="1" applyBorder="1" applyAlignment="1">
      <alignment horizontal="left"/>
    </xf>
    <xf numFmtId="0" fontId="136" fillId="44" borderId="69" xfId="8726" applyFont="1" applyFill="1" applyBorder="1" applyAlignment="1">
      <alignment horizontal="left"/>
    </xf>
    <xf numFmtId="0" fontId="13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90" fillId="45" borderId="70" xfId="8726" applyFont="1" applyFill="1" applyBorder="1" applyAlignment="1">
      <alignment horizontal="center" wrapText="1"/>
    </xf>
    <xf numFmtId="0" fontId="90" fillId="45" borderId="71" xfId="8726" applyFont="1" applyFill="1" applyBorder="1" applyAlignment="1">
      <alignment horizontal="center" wrapText="1"/>
    </xf>
    <xf numFmtId="0" fontId="90" fillId="45" borderId="74" xfId="8726" applyFont="1" applyFill="1" applyBorder="1" applyAlignment="1">
      <alignment horizontal="center" wrapText="1"/>
    </xf>
    <xf numFmtId="0" fontId="90" fillId="45" borderId="104" xfId="8726" applyFont="1" applyFill="1" applyBorder="1" applyAlignment="1">
      <alignment horizontal="center"/>
    </xf>
    <xf numFmtId="0" fontId="90" fillId="45" borderId="97" xfId="8726" applyFont="1" applyFill="1" applyBorder="1" applyAlignment="1">
      <alignment horizontal="center"/>
    </xf>
    <xf numFmtId="0" fontId="90" fillId="45" borderId="98" xfId="8726" applyFont="1" applyFill="1" applyBorder="1" applyAlignment="1">
      <alignment horizontal="center"/>
    </xf>
    <xf numFmtId="43" fontId="134" fillId="56" borderId="13" xfId="698" applyFont="1" applyFill="1" applyBorder="1" applyAlignment="1" applyProtection="1">
      <alignment horizontal="center"/>
      <protection hidden="1"/>
    </xf>
    <xf numFmtId="43" fontId="136" fillId="53" borderId="11" xfId="698" applyFont="1" applyFill="1" applyBorder="1" applyAlignment="1" applyProtection="1">
      <alignment horizontal="left" wrapText="1"/>
      <protection hidden="1"/>
    </xf>
    <xf numFmtId="0" fontId="151" fillId="45" borderId="11" xfId="8726" applyFont="1" applyFill="1" applyBorder="1" applyAlignment="1">
      <alignment horizontal="left"/>
    </xf>
    <xf numFmtId="0" fontId="161" fillId="45" borderId="11" xfId="8726" applyFont="1" applyFill="1" applyBorder="1" applyAlignment="1">
      <alignment horizontal="left" wrapText="1"/>
    </xf>
    <xf numFmtId="0" fontId="138" fillId="45" borderId="13" xfId="0" applyFont="1" applyFill="1" applyBorder="1" applyAlignment="1" applyProtection="1">
      <alignment horizontal="left" wrapText="1"/>
      <protection hidden="1"/>
    </xf>
    <xf numFmtId="0" fontId="13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6" fillId="49" borderId="11" xfId="8727" applyNumberFormat="1" applyFont="1" applyFill="1" applyBorder="1" applyAlignment="1">
      <alignment horizontal="center"/>
    </xf>
    <xf numFmtId="0" fontId="134" fillId="44" borderId="11" xfId="8726" applyFont="1" applyFill="1" applyBorder="1" applyAlignment="1">
      <alignment horizontal="left"/>
    </xf>
    <xf numFmtId="0" fontId="151" fillId="48" borderId="3" xfId="8726" applyFont="1" applyFill="1" applyBorder="1" applyAlignment="1">
      <alignment horizontal="center"/>
    </xf>
    <xf numFmtId="0" fontId="151" fillId="48" borderId="4" xfId="8726" applyFont="1" applyFill="1" applyBorder="1" applyAlignment="1">
      <alignment horizontal="center"/>
    </xf>
    <xf numFmtId="0" fontId="151" fillId="48" borderId="5" xfId="8726" applyFont="1" applyFill="1" applyBorder="1" applyAlignment="1">
      <alignment horizontal="center"/>
    </xf>
    <xf numFmtId="0" fontId="136" fillId="49" borderId="3" xfId="0" applyFont="1" applyFill="1" applyBorder="1" applyAlignment="1" applyProtection="1">
      <alignment horizontal="center"/>
      <protection locked="0"/>
    </xf>
    <xf numFmtId="0" fontId="136" fillId="49" borderId="4" xfId="0" applyFont="1" applyFill="1" applyBorder="1" applyAlignment="1" applyProtection="1">
      <alignment horizontal="center"/>
      <protection locked="0"/>
    </xf>
    <xf numFmtId="0" fontId="136" fillId="49" borderId="5" xfId="0" applyFont="1" applyFill="1" applyBorder="1" applyAlignment="1" applyProtection="1">
      <alignment horizontal="center"/>
      <protection locked="0"/>
    </xf>
    <xf numFmtId="43" fontId="134" fillId="53" borderId="80" xfId="698" applyFont="1" applyFill="1" applyBorder="1" applyAlignment="1" applyProtection="1">
      <alignment horizontal="right"/>
      <protection hidden="1"/>
    </xf>
    <xf numFmtId="43" fontId="134" fillId="53" borderId="11" xfId="698" applyFont="1" applyFill="1" applyBorder="1" applyAlignment="1" applyProtection="1">
      <alignment horizontal="right"/>
      <protection hidden="1"/>
    </xf>
    <xf numFmtId="44" fontId="134" fillId="0" borderId="11" xfId="700" applyFont="1" applyBorder="1" applyAlignment="1" applyProtection="1">
      <alignment horizontal="center"/>
      <protection hidden="1"/>
    </xf>
    <xf numFmtId="164" fontId="134" fillId="0" borderId="11" xfId="700" applyNumberFormat="1" applyFont="1" applyBorder="1" applyAlignment="1" applyProtection="1">
      <alignment horizontal="center"/>
      <protection hidden="1"/>
    </xf>
    <xf numFmtId="9" fontId="13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44"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9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9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0" fontId="14" fillId="43" borderId="0" xfId="0" applyFont="1" applyFill="1" applyAlignment="1">
      <alignment horizontal="left"/>
    </xf>
  </cellXfs>
  <cellStyles count="34221">
    <cellStyle name="01 #" xfId="34205" xr:uid="{0C2DC332-AA7C-4219-943E-53ED25C2D167}"/>
    <cellStyle name="01 # 2" xfId="34072" xr:uid="{43F07B24-3838-47E3-AAE5-18F8EAAC6029}"/>
    <cellStyle name="01 #_Dropdowns" xfId="34087" xr:uid="{8F8840B0-517D-4332-AD27-2EDC54EF850A}"/>
    <cellStyle name="01 %" xfId="34114" xr:uid="{F18CEB71-7D7B-4709-8CFB-AEEDA4FA19DB}"/>
    <cellStyle name="01 $" xfId="34204" xr:uid="{E46CD125-443A-4676-B39F-9F73682D1867}"/>
    <cellStyle name="01 $ 2" xfId="34074" xr:uid="{A158FAC1-67B1-42A6-AA7C-2856355BBE7D}"/>
    <cellStyle name="01 DATE" xfId="34208" xr:uid="{5518560A-2057-4486-AD3B-26EF4B075822}"/>
    <cellStyle name="01 DATE 2" xfId="34209" xr:uid="{65CF15AC-360B-44E3-97F7-44FD2AFF0850}"/>
    <cellStyle name="01 TEXT" xfId="34128" xr:uid="{B8428471-3165-4E2F-B815-DDF05B346A20}"/>
    <cellStyle name="01 TEXT 2" xfId="34145" xr:uid="{E2A1D843-55D1-45F0-9AC2-AEE3DE37F660}"/>
    <cellStyle name="01 TEXT 2 2" xfId="34083" xr:uid="{FC4763CE-E167-4C50-BA49-F731C246CB76}"/>
    <cellStyle name="01 TEXT 2 2 2" xfId="34124" xr:uid="{DCA1AA30-409C-47C1-B955-41AEFC75C6F9}"/>
    <cellStyle name="01 TEXT 2 2_Dropdowns" xfId="34197" xr:uid="{0BB209AE-A5A3-4DF4-A355-6D360AC278C6}"/>
    <cellStyle name="01 TEXT 2_Dropdowns" xfId="34199" xr:uid="{06667371-A35C-42E5-9845-5F8D8888B3CC}"/>
    <cellStyle name="01 TEXT_Dropdowns" xfId="34215" xr:uid="{26585ACC-E9DE-4B2B-8EF9-1E8D252BFC45}"/>
    <cellStyle name="02 Prompt" xfId="34168" xr:uid="{117FDB32-7B36-4513-ACCB-321D43FFD75D}"/>
    <cellStyle name="02 Prompt 2" xfId="34090" xr:uid="{E95B9E33-02EB-4B9F-97CF-EC0D3EA6DD24}"/>
    <cellStyle name="02 Prompt 2 2" xfId="34093" xr:uid="{1DD29BC4-D9B0-4002-84A0-829B39C3768C}"/>
    <cellStyle name="02 Prompt 2 3" xfId="34101" xr:uid="{50E0A943-6469-41E9-B6AA-F2975A890B60}"/>
    <cellStyle name="02 Prompt 2 3 2" xfId="34155" xr:uid="{E547CE8A-EDB5-4284-9704-8339ECFCA619}"/>
    <cellStyle name="02 Prompt 2 3 2 2" xfId="34107" xr:uid="{3D83ADCB-B2C3-4A8E-A93F-CC0197E57439}"/>
    <cellStyle name="02 Prompt 2 3 2_Dropdowns" xfId="34132" xr:uid="{485A1796-4B89-4683-B89A-2D7C24E7E63A}"/>
    <cellStyle name="02 Prompt 2 3_Dropdowns" xfId="34125" xr:uid="{3C7C71B2-72A3-4088-8866-0A12696E8C09}"/>
    <cellStyle name="02 Prompt 2_Dropdowns" xfId="34121" xr:uid="{E71343A0-ECE5-40E3-A367-A455F774B3F6}"/>
    <cellStyle name="02 Prompt TITLE" xfId="34111" xr:uid="{1AA7A288-F9CE-4084-B7ED-2DE9F7690EB0}"/>
    <cellStyle name="02 Prompt TITLE 2" xfId="34182" xr:uid="{6054132C-D3E7-454C-A7C1-BB5ABE174004}"/>
    <cellStyle name="02 Prompt TITLE 2 2" xfId="34159" xr:uid="{0F3EE918-FE08-44BC-86DB-34DB389F7750}"/>
    <cellStyle name="02 Prompt TITLE 2 3" xfId="34165" xr:uid="{063D79B5-3712-40AF-AA39-CFE1E5552468}"/>
    <cellStyle name="02 Prompt TITLE 2_Dropdowns" xfId="34082" xr:uid="{E8D7936D-A173-48F1-ABC3-456BD3D9BF8E}"/>
    <cellStyle name="03 Notes" xfId="34201" xr:uid="{3E25091A-39CB-40FA-B0DC-D1182C813CF5}"/>
    <cellStyle name="03 Notes 2" xfId="28094" xr:uid="{9997EDD8-D1DE-41BF-8CE1-A781348521AA}"/>
    <cellStyle name="03 Notes 2 2" xfId="34162" xr:uid="{39CEB5E6-4A30-492D-9663-A1B2538E81FA}"/>
    <cellStyle name="03 Notes 2_Dropdowns" xfId="34169" xr:uid="{3135C6A8-92F7-4C5C-BA39-A8FE99242FEA}"/>
    <cellStyle name="05 Warning Text 2" xfId="34100" xr:uid="{316DE449-BC1B-40A4-8297-78586AE89A95}"/>
    <cellStyle name="20% - Accent1" xfId="1" builtinId="30" customBuiltin="1"/>
    <cellStyle name="20% - Accent1 10" xfId="4505" xr:uid="{00000000-0005-0000-0000-000001000000}"/>
    <cellStyle name="20% - Accent1 10 2" xfId="21388" xr:uid="{B636A450-4E23-4002-A2DA-73D6AA804C94}"/>
    <cellStyle name="20% - Accent1 10 3" xfId="29834" xr:uid="{5C035760-85D7-477E-B435-79AB83010952}"/>
    <cellStyle name="20% - Accent1 10 4" xfId="12947" xr:uid="{387D3BB5-440C-4DFE-9AB4-510584AD7985}"/>
    <cellStyle name="20% - Accent1 11" xfId="17170" xr:uid="{09DAF258-3F68-4F4A-A6CB-0D519F69DBFB}"/>
    <cellStyle name="20% - Accent1 12" xfId="25612" xr:uid="{3929F30B-0A17-4C84-BE25-628BA5FD0EB8}"/>
    <cellStyle name="20% - Accent1 13" xfId="8729" xr:uid="{35C37D1E-1E46-49CF-8DF6-84D2CDAC920C}"/>
    <cellStyle name="20% - Accent1 2" xfId="2" xr:uid="{00000000-0005-0000-0000-000002000000}"/>
    <cellStyle name="20% - Accent1 2 10" xfId="17171" xr:uid="{DB836210-083F-4C29-9F1B-7F1F08333862}"/>
    <cellStyle name="20% - Accent1 2 11" xfId="25613" xr:uid="{41A897D2-F232-46FE-8487-761CDFAC668C}"/>
    <cellStyle name="20% - Accent1 2 12" xfId="8730" xr:uid="{FB62E42D-7251-4DC9-BBAD-1077F942F5B4}"/>
    <cellStyle name="20% - Accent1 2 2" xfId="3" xr:uid="{00000000-0005-0000-0000-000003000000}"/>
    <cellStyle name="20% - Accent1 2 2 10" xfId="25614" xr:uid="{25F58E15-C6C6-4476-94D6-DB5CAB13F663}"/>
    <cellStyle name="20% - Accent1 2 2 11" xfId="8731" xr:uid="{08555FAB-EB5F-4392-AF8A-A801ED5024B2}"/>
    <cellStyle name="20% - Accent1 2 2 2" xfId="4" xr:uid="{00000000-0005-0000-0000-000004000000}"/>
    <cellStyle name="20% - Accent1 2 2 2 10" xfId="8732" xr:uid="{DF949624-2381-4F16-80E6-AA19DB77A581}"/>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23950" xr:uid="{E1C96AE3-E203-4DDB-8B23-87391997F499}"/>
    <cellStyle name="20% - Accent1 2 2 2 2 2 2 3" xfId="32396" xr:uid="{11E40D5F-15FA-4A6D-81A0-3AA6A19810F2}"/>
    <cellStyle name="20% - Accent1 2 2 2 2 2 2 4" xfId="15509" xr:uid="{AFE44826-71C9-451E-9623-182A4919BEDA}"/>
    <cellStyle name="20% - Accent1 2 2 2 2 2 3" xfId="19732" xr:uid="{4141154F-7AC3-4836-B0B4-67BFE5ABA4BD}"/>
    <cellStyle name="20% - Accent1 2 2 2 2 2 4" xfId="28179" xr:uid="{C69672B0-E21A-4967-B2B9-018E6F972636}"/>
    <cellStyle name="20% - Accent1 2 2 2 2 2 5" xfId="11291" xr:uid="{685D7346-FE0B-4981-BB6A-77AFA7F260A1}"/>
    <cellStyle name="20% - Accent1 2 2 2 2 3" xfId="4922" xr:uid="{00000000-0005-0000-0000-000008000000}"/>
    <cellStyle name="20% - Accent1 2 2 2 2 3 2" xfId="21805" xr:uid="{470F8761-D733-45B9-9B12-C4A829C5AB0A}"/>
    <cellStyle name="20% - Accent1 2 2 2 2 3 3" xfId="30251" xr:uid="{53FBCE75-7B10-4BAD-9813-206AC4978CCC}"/>
    <cellStyle name="20% - Accent1 2 2 2 2 3 4" xfId="13364" xr:uid="{4C6E6742-5799-415B-BE78-4678683EE3CA}"/>
    <cellStyle name="20% - Accent1 2 2 2 2 4" xfId="17587" xr:uid="{E2463E82-4152-45B5-91C7-35F3186509AE}"/>
    <cellStyle name="20% - Accent1 2 2 2 2 5" xfId="26032" xr:uid="{87AAC06F-B667-4E6F-AEA7-408B32939149}"/>
    <cellStyle name="20% - Accent1 2 2 2 2 6" xfId="9146" xr:uid="{44198749-6304-4C45-A918-AE32CB571A77}"/>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24363" xr:uid="{0CFBD2D9-8E33-45BC-A43D-954F8F893DF7}"/>
    <cellStyle name="20% - Accent1 2 2 2 3 2 2 3" xfId="32809" xr:uid="{AD02DF77-B47B-42E6-9A5F-ABC382A72A77}"/>
    <cellStyle name="20% - Accent1 2 2 2 3 2 2 4" xfId="15922" xr:uid="{6E8AF3E7-BF93-4259-A303-4F258130CB15}"/>
    <cellStyle name="20% - Accent1 2 2 2 3 2 3" xfId="20145" xr:uid="{476F9162-4826-4EFF-BF7E-47BA3855CF77}"/>
    <cellStyle name="20% - Accent1 2 2 2 3 2 4" xfId="28592" xr:uid="{30956FA6-5C5A-4EB7-920A-ADC22B08E197}"/>
    <cellStyle name="20% - Accent1 2 2 2 3 2 5" xfId="11704" xr:uid="{1E1E161A-DDF8-4911-8EB3-86AE4CB5AD88}"/>
    <cellStyle name="20% - Accent1 2 2 2 3 3" xfId="5335" xr:uid="{00000000-0005-0000-0000-00000C000000}"/>
    <cellStyle name="20% - Accent1 2 2 2 3 3 2" xfId="22218" xr:uid="{752A21B1-EB90-482F-B0A7-0B6A4C36829A}"/>
    <cellStyle name="20% - Accent1 2 2 2 3 3 3" xfId="30664" xr:uid="{A9FB725F-81DC-45A2-9A3E-3728BF849960}"/>
    <cellStyle name="20% - Accent1 2 2 2 3 3 4" xfId="13777" xr:uid="{00E549BA-9EB9-4617-9F0A-85AF4D2BE8E2}"/>
    <cellStyle name="20% - Accent1 2 2 2 3 4" xfId="18000" xr:uid="{9094864D-9AF1-45E9-AD76-03A7B109A4C7}"/>
    <cellStyle name="20% - Accent1 2 2 2 3 5" xfId="26445" xr:uid="{0CB11156-9A18-477F-ADEE-777EEE1BFA81}"/>
    <cellStyle name="20% - Accent1 2 2 2 3 6" xfId="9559" xr:uid="{1FB8DAF4-7012-49E0-A52B-D2F43CC8858D}"/>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24776" xr:uid="{92C653A7-418F-41BF-9059-62B69303C607}"/>
    <cellStyle name="20% - Accent1 2 2 2 4 2 2 3" xfId="33222" xr:uid="{99B78B69-8A54-4DC2-8730-6C5D34F287E6}"/>
    <cellStyle name="20% - Accent1 2 2 2 4 2 2 4" xfId="16335" xr:uid="{8B2928F1-81F5-4D35-8700-2B149AE8824D}"/>
    <cellStyle name="20% - Accent1 2 2 2 4 2 3" xfId="20558" xr:uid="{4A7DFDD4-697A-4039-AC60-5829EEA74896}"/>
    <cellStyle name="20% - Accent1 2 2 2 4 2 4" xfId="29005" xr:uid="{DDB05410-31D2-483E-AF6D-A66A9C719832}"/>
    <cellStyle name="20% - Accent1 2 2 2 4 2 5" xfId="12117" xr:uid="{620A2BC0-71B8-426B-9F22-5FEDA644A341}"/>
    <cellStyle name="20% - Accent1 2 2 2 4 3" xfId="5748" xr:uid="{00000000-0005-0000-0000-000010000000}"/>
    <cellStyle name="20% - Accent1 2 2 2 4 3 2" xfId="22631" xr:uid="{877CDDB6-AD65-4BC5-A9B1-4649E036413D}"/>
    <cellStyle name="20% - Accent1 2 2 2 4 3 3" xfId="31077" xr:uid="{B97DBCE8-662D-4026-A1F8-FEA21580742F}"/>
    <cellStyle name="20% - Accent1 2 2 2 4 3 4" xfId="14190" xr:uid="{67CD1288-2B64-4489-81AD-12C9798091BF}"/>
    <cellStyle name="20% - Accent1 2 2 2 4 4" xfId="18413" xr:uid="{04B37C3A-DA60-4095-BF18-09B004D5D849}"/>
    <cellStyle name="20% - Accent1 2 2 2 4 5" xfId="26858" xr:uid="{490B14AF-40D4-4BD9-9E0F-9E9470B1E87E}"/>
    <cellStyle name="20% - Accent1 2 2 2 4 6" xfId="9972" xr:uid="{09A3973B-D0EA-413F-A7B4-D888E5D3F4F9}"/>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25189" xr:uid="{3AA5055C-2C63-401E-9AA5-B2A57875FC59}"/>
    <cellStyle name="20% - Accent1 2 2 2 5 2 2 3" xfId="33635" xr:uid="{AB96BA18-E213-4B62-B0BE-6954F447519A}"/>
    <cellStyle name="20% - Accent1 2 2 2 5 2 2 4" xfId="16748" xr:uid="{D6029B89-C4FA-4EE3-8975-D9225D301A57}"/>
    <cellStyle name="20% - Accent1 2 2 2 5 2 3" xfId="20971" xr:uid="{37970CC9-1F31-42D3-901E-7EA3918B586D}"/>
    <cellStyle name="20% - Accent1 2 2 2 5 2 4" xfId="29418" xr:uid="{B775F8DB-96B8-4554-9135-BE59FFBFAF21}"/>
    <cellStyle name="20% - Accent1 2 2 2 5 2 5" xfId="12530" xr:uid="{8EAE6EC8-446E-41D6-8EC9-7BD9D090F7C8}"/>
    <cellStyle name="20% - Accent1 2 2 2 5 3" xfId="6161" xr:uid="{00000000-0005-0000-0000-000014000000}"/>
    <cellStyle name="20% - Accent1 2 2 2 5 3 2" xfId="23044" xr:uid="{224EE37E-02D4-4E0E-A1C8-6321C4B397DC}"/>
    <cellStyle name="20% - Accent1 2 2 2 5 3 3" xfId="31490" xr:uid="{7DF1FC36-0A9F-42D6-AECA-67726EA68D5E}"/>
    <cellStyle name="20% - Accent1 2 2 2 5 3 4" xfId="14603" xr:uid="{86E9C558-2B03-483E-9711-7BB4EADBD9F8}"/>
    <cellStyle name="20% - Accent1 2 2 2 5 4" xfId="18826" xr:uid="{A75391B1-07CA-4C8C-A2FB-3CAE54FAD6A8}"/>
    <cellStyle name="20% - Accent1 2 2 2 5 5" xfId="27271" xr:uid="{003FAA61-4930-4720-B4EA-88F891D0F11E}"/>
    <cellStyle name="20% - Accent1 2 2 2 5 6" xfId="10385" xr:uid="{FF8912F6-CEB6-467C-ADEB-4ACFB43B0C3D}"/>
    <cellStyle name="20% - Accent1 2 2 2 6" xfId="2267" xr:uid="{00000000-0005-0000-0000-000015000000}"/>
    <cellStyle name="20% - Accent1 2 2 2 6 2" xfId="6574" xr:uid="{00000000-0005-0000-0000-000016000000}"/>
    <cellStyle name="20% - Accent1 2 2 2 6 2 2" xfId="23457" xr:uid="{93342989-5E5C-450F-8D08-06BDBBB3A9FF}"/>
    <cellStyle name="20% - Accent1 2 2 2 6 2 3" xfId="31903" xr:uid="{5DA2E1F3-5503-4E61-99C7-D299FC50E435}"/>
    <cellStyle name="20% - Accent1 2 2 2 6 2 4" xfId="15016" xr:uid="{7DBC6B87-0CBF-4430-8A91-2D658AD54219}"/>
    <cellStyle name="20% - Accent1 2 2 2 6 3" xfId="19239" xr:uid="{91C54D38-4C2B-4E29-8A43-2218ECB631A0}"/>
    <cellStyle name="20% - Accent1 2 2 2 6 4" xfId="27684" xr:uid="{DF07675A-088C-4F32-870A-CA864539DDD4}"/>
    <cellStyle name="20% - Accent1 2 2 2 6 5" xfId="10798" xr:uid="{C13B6202-0863-4E57-B4A3-D3311E9CA29F}"/>
    <cellStyle name="20% - Accent1 2 2 2 7" xfId="4508" xr:uid="{00000000-0005-0000-0000-000017000000}"/>
    <cellStyle name="20% - Accent1 2 2 2 7 2" xfId="21391" xr:uid="{3DFCD468-D78E-4D32-BADD-38893DF8906F}"/>
    <cellStyle name="20% - Accent1 2 2 2 7 3" xfId="29837" xr:uid="{44121C27-AB37-4E77-8261-D38079E06235}"/>
    <cellStyle name="20% - Accent1 2 2 2 7 4" xfId="12950" xr:uid="{D792B8BF-A414-4DEC-BF8A-662B7F3BEB72}"/>
    <cellStyle name="20% - Accent1 2 2 2 8" xfId="17173" xr:uid="{DCC0A266-6654-4AB6-B130-BA4EC63F39C4}"/>
    <cellStyle name="20% - Accent1 2 2 2 9" xfId="25615" xr:uid="{B3BE75B8-C62A-4E8F-A1E5-61548815D6EA}"/>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23949" xr:uid="{B232F1E2-24A4-47B0-B71E-5B2155F60C1B}"/>
    <cellStyle name="20% - Accent1 2 2 3 2 2 3" xfId="32395" xr:uid="{A379570C-F4F8-4864-938B-FB9BEDD473BD}"/>
    <cellStyle name="20% - Accent1 2 2 3 2 2 4" xfId="15508" xr:uid="{13721335-116F-4F57-B947-41BE64C62D53}"/>
    <cellStyle name="20% - Accent1 2 2 3 2 3" xfId="19731" xr:uid="{DC690CD8-CA92-4A52-B19D-521EC7F342E7}"/>
    <cellStyle name="20% - Accent1 2 2 3 2 4" xfId="28178" xr:uid="{E9D4A311-B1AD-4D65-AE13-78061FCA188B}"/>
    <cellStyle name="20% - Accent1 2 2 3 2 5" xfId="11290" xr:uid="{A9E41EFD-5A5B-455C-AA71-DEF162524F58}"/>
    <cellStyle name="20% - Accent1 2 2 3 3" xfId="4921" xr:uid="{00000000-0005-0000-0000-00001B000000}"/>
    <cellStyle name="20% - Accent1 2 2 3 3 2" xfId="21804" xr:uid="{5070D509-6F4C-44C3-AAB2-9413B6E97284}"/>
    <cellStyle name="20% - Accent1 2 2 3 3 3" xfId="30250" xr:uid="{637A499F-6792-45A5-8494-1D3733F39294}"/>
    <cellStyle name="20% - Accent1 2 2 3 3 4" xfId="13363" xr:uid="{FEC443D3-6BEC-43FD-B645-A8AF4EE1DFAA}"/>
    <cellStyle name="20% - Accent1 2 2 3 4" xfId="17586" xr:uid="{45681047-F68F-446F-97F3-B777761A210C}"/>
    <cellStyle name="20% - Accent1 2 2 3 5" xfId="26031" xr:uid="{B6BFDDB8-652D-4A7A-B6B8-B21B6472011E}"/>
    <cellStyle name="20% - Accent1 2 2 3 6" xfId="9145" xr:uid="{C146C92F-2807-48B1-8455-C764BAE3EDD8}"/>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24362" xr:uid="{5C553CBB-12B8-4789-8ECD-F1850845140F}"/>
    <cellStyle name="20% - Accent1 2 2 4 2 2 3" xfId="32808" xr:uid="{38C980B2-C368-4176-92F2-1C17877F8D86}"/>
    <cellStyle name="20% - Accent1 2 2 4 2 2 4" xfId="15921" xr:uid="{ED6A08C2-C3E4-4A78-9B65-F1825B0BA7C4}"/>
    <cellStyle name="20% - Accent1 2 2 4 2 3" xfId="20144" xr:uid="{F85B6028-8690-4511-A7BB-93F4A243896B}"/>
    <cellStyle name="20% - Accent1 2 2 4 2 4" xfId="28591" xr:uid="{7CB716C8-622B-47F6-858B-7BBBB144C71A}"/>
    <cellStyle name="20% - Accent1 2 2 4 2 5" xfId="11703" xr:uid="{848F9A46-64E2-4695-A6D1-9C510BBE3C8A}"/>
    <cellStyle name="20% - Accent1 2 2 4 3" xfId="5334" xr:uid="{00000000-0005-0000-0000-00001F000000}"/>
    <cellStyle name="20% - Accent1 2 2 4 3 2" xfId="22217" xr:uid="{10968AD7-354C-4B95-B4C6-7661A6051AFD}"/>
    <cellStyle name="20% - Accent1 2 2 4 3 3" xfId="30663" xr:uid="{CFD97AC5-6F2B-4FA9-900F-6E5A3023DDF7}"/>
    <cellStyle name="20% - Accent1 2 2 4 3 4" xfId="13776" xr:uid="{E7F13512-5FC7-4C00-9668-A60BB6C62703}"/>
    <cellStyle name="20% - Accent1 2 2 4 4" xfId="17999" xr:uid="{9312FE71-F1B1-4FF3-ACE8-56567374BBF4}"/>
    <cellStyle name="20% - Accent1 2 2 4 5" xfId="26444" xr:uid="{E13B9C73-FAF5-4641-896B-863E34B52E78}"/>
    <cellStyle name="20% - Accent1 2 2 4 6" xfId="9558" xr:uid="{FA0490B6-BD7A-4D0D-BEE5-3FB9F3D08E79}"/>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24775" xr:uid="{4C1165A5-4CF6-4640-9BE1-FFE4A6E890E4}"/>
    <cellStyle name="20% - Accent1 2 2 5 2 2 3" xfId="33221" xr:uid="{DF271DAE-9A93-4E84-AACE-CF179679A606}"/>
    <cellStyle name="20% - Accent1 2 2 5 2 2 4" xfId="16334" xr:uid="{4B3C1272-1B90-426F-B839-3A311BA6A4D6}"/>
    <cellStyle name="20% - Accent1 2 2 5 2 3" xfId="20557" xr:uid="{D7DACE8B-0DC7-4736-8BCD-C87EE46309F2}"/>
    <cellStyle name="20% - Accent1 2 2 5 2 4" xfId="29004" xr:uid="{36C55838-D838-4EF9-B881-E4F3DC2067D5}"/>
    <cellStyle name="20% - Accent1 2 2 5 2 5" xfId="12116" xr:uid="{E8132382-AFD0-4C37-84C3-DB5E49691419}"/>
    <cellStyle name="20% - Accent1 2 2 5 3" xfId="5747" xr:uid="{00000000-0005-0000-0000-000023000000}"/>
    <cellStyle name="20% - Accent1 2 2 5 3 2" xfId="22630" xr:uid="{8C309455-81AA-447F-971E-F6B2604247F2}"/>
    <cellStyle name="20% - Accent1 2 2 5 3 3" xfId="31076" xr:uid="{6EB52DC2-A2C7-4D27-826B-3ADFE6DE6052}"/>
    <cellStyle name="20% - Accent1 2 2 5 3 4" xfId="14189" xr:uid="{9DB5FE62-FAEA-4BAD-A873-589C419B3C1A}"/>
    <cellStyle name="20% - Accent1 2 2 5 4" xfId="18412" xr:uid="{2A120425-DF73-4340-ACE2-CE346D8420E1}"/>
    <cellStyle name="20% - Accent1 2 2 5 5" xfId="26857" xr:uid="{017A1F3D-1E44-4A68-A29F-B91BF7AD3131}"/>
    <cellStyle name="20% - Accent1 2 2 5 6" xfId="9971" xr:uid="{5F966884-114A-4106-BFC2-8137D2A4C070}"/>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25188" xr:uid="{163C252B-DA00-4BC1-B27D-8E0249C0E9F5}"/>
    <cellStyle name="20% - Accent1 2 2 6 2 2 3" xfId="33634" xr:uid="{A7D7767C-3A59-4782-8D43-B465AB99BB75}"/>
    <cellStyle name="20% - Accent1 2 2 6 2 2 4" xfId="16747" xr:uid="{C115B2A2-3350-42E3-8BB7-5E31C39B19AD}"/>
    <cellStyle name="20% - Accent1 2 2 6 2 3" xfId="20970" xr:uid="{96FC93D3-7985-455E-B71A-13632DABD224}"/>
    <cellStyle name="20% - Accent1 2 2 6 2 4" xfId="29417" xr:uid="{6FE96421-9C58-40D0-A3C0-09EAA5CE7469}"/>
    <cellStyle name="20% - Accent1 2 2 6 2 5" xfId="12529" xr:uid="{84C0C6E6-8CB9-4F12-8FC0-C6A96F5C014A}"/>
    <cellStyle name="20% - Accent1 2 2 6 3" xfId="6160" xr:uid="{00000000-0005-0000-0000-000027000000}"/>
    <cellStyle name="20% - Accent1 2 2 6 3 2" xfId="23043" xr:uid="{EC9549C2-BA9D-4323-A5B3-5A2BDA080822}"/>
    <cellStyle name="20% - Accent1 2 2 6 3 3" xfId="31489" xr:uid="{B357EAFB-A947-4122-9F37-C549132B070C}"/>
    <cellStyle name="20% - Accent1 2 2 6 3 4" xfId="14602" xr:uid="{700E5612-FC9C-4495-AE09-FEF0AC95D8B0}"/>
    <cellStyle name="20% - Accent1 2 2 6 4" xfId="18825" xr:uid="{69717C26-B249-44AE-B66E-BBD5D51A4EBC}"/>
    <cellStyle name="20% - Accent1 2 2 6 5" xfId="27270" xr:uid="{CE3EC094-3417-4274-9D42-7407E67A60DA}"/>
    <cellStyle name="20% - Accent1 2 2 6 6" xfId="10384" xr:uid="{E690EEA1-C19E-4F85-8320-21C61C559BB5}"/>
    <cellStyle name="20% - Accent1 2 2 7" xfId="2266" xr:uid="{00000000-0005-0000-0000-000028000000}"/>
    <cellStyle name="20% - Accent1 2 2 7 2" xfId="6573" xr:uid="{00000000-0005-0000-0000-000029000000}"/>
    <cellStyle name="20% - Accent1 2 2 7 2 2" xfId="23456" xr:uid="{FE3547A1-B84F-4DBB-813A-B2D605238031}"/>
    <cellStyle name="20% - Accent1 2 2 7 2 3" xfId="31902" xr:uid="{19BBE23D-23A4-476C-9701-0FAF0EA7D057}"/>
    <cellStyle name="20% - Accent1 2 2 7 2 4" xfId="15015" xr:uid="{93AE16D8-3A7C-452D-A079-C4398BA11FB0}"/>
    <cellStyle name="20% - Accent1 2 2 7 3" xfId="19238" xr:uid="{8B960894-BA2D-4012-973B-F1B7BF033BB4}"/>
    <cellStyle name="20% - Accent1 2 2 7 4" xfId="27683" xr:uid="{6D23BA8D-FDBD-4D0C-9D37-8F652F722740}"/>
    <cellStyle name="20% - Accent1 2 2 7 5" xfId="10797" xr:uid="{19F3766A-E69E-40C8-8BB3-50F723C7F1BC}"/>
    <cellStyle name="20% - Accent1 2 2 8" xfId="4507" xr:uid="{00000000-0005-0000-0000-00002A000000}"/>
    <cellStyle name="20% - Accent1 2 2 8 2" xfId="21390" xr:uid="{8CF9D0FD-6D81-4185-9DAA-C61AEF9E3147}"/>
    <cellStyle name="20% - Accent1 2 2 8 3" xfId="29836" xr:uid="{EFE3C065-E23F-45F6-80D7-F1BDBC3C1EA0}"/>
    <cellStyle name="20% - Accent1 2 2 8 4" xfId="12949" xr:uid="{B5320C36-BDF2-4DB3-847A-E05A0331F3C5}"/>
    <cellStyle name="20% - Accent1 2 2 9" xfId="17172" xr:uid="{99E4D3E4-06CF-46B8-B451-BE2D45B05D47}"/>
    <cellStyle name="20% - Accent1 2 3" xfId="5" xr:uid="{00000000-0005-0000-0000-00002B000000}"/>
    <cellStyle name="20% - Accent1 2 3 10" xfId="8733" xr:uid="{76EA56FD-F183-4FE6-8423-2B249E4143E4}"/>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23951" xr:uid="{B7E8A772-0A61-400F-96CB-08B36C85913A}"/>
    <cellStyle name="20% - Accent1 2 3 2 2 2 3" xfId="32397" xr:uid="{575AF423-D7FC-4C77-85CD-3B29E930630E}"/>
    <cellStyle name="20% - Accent1 2 3 2 2 2 4" xfId="15510" xr:uid="{50738EB5-303C-4467-92D8-F3BE67F015B7}"/>
    <cellStyle name="20% - Accent1 2 3 2 2 3" xfId="19733" xr:uid="{1F72D565-A008-4212-A552-93419124011A}"/>
    <cellStyle name="20% - Accent1 2 3 2 2 4" xfId="28180" xr:uid="{C1C3AEE9-875F-48B4-8314-ED01A8935A58}"/>
    <cellStyle name="20% - Accent1 2 3 2 2 5" xfId="11292" xr:uid="{118FA191-3B87-48F2-9AA0-A3093A2CAD95}"/>
    <cellStyle name="20% - Accent1 2 3 2 3" xfId="4923" xr:uid="{00000000-0005-0000-0000-00002F000000}"/>
    <cellStyle name="20% - Accent1 2 3 2 3 2" xfId="21806" xr:uid="{CD18B2E8-55E9-4388-BD1A-12C0473FB935}"/>
    <cellStyle name="20% - Accent1 2 3 2 3 3" xfId="30252" xr:uid="{F4486116-3D3B-4A52-8F51-DD51129CFF41}"/>
    <cellStyle name="20% - Accent1 2 3 2 3 4" xfId="13365" xr:uid="{E5AE1D15-3D40-4042-ABFC-B0A088E62E54}"/>
    <cellStyle name="20% - Accent1 2 3 2 4" xfId="17588" xr:uid="{392A88A3-7C77-4C14-A3A8-CFC1D1F1B546}"/>
    <cellStyle name="20% - Accent1 2 3 2 5" xfId="26033" xr:uid="{0127DDAB-61CC-4F83-9E68-40EC44050382}"/>
    <cellStyle name="20% - Accent1 2 3 2 6" xfId="9147" xr:uid="{67ABF833-FC15-42BC-A1A4-838CF6B184CD}"/>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24364" xr:uid="{8EE8478A-8765-4BAC-935E-779DFE4C44D2}"/>
    <cellStyle name="20% - Accent1 2 3 3 2 2 3" xfId="32810" xr:uid="{CEAFCDC9-2DE6-4A3A-AD3E-64FC796BE021}"/>
    <cellStyle name="20% - Accent1 2 3 3 2 2 4" xfId="15923" xr:uid="{A4219542-B65D-4BE0-947F-97E20CFAADCA}"/>
    <cellStyle name="20% - Accent1 2 3 3 2 3" xfId="20146" xr:uid="{5BBA69CE-E657-426C-95C5-D201725E282B}"/>
    <cellStyle name="20% - Accent1 2 3 3 2 4" xfId="28593" xr:uid="{1B2A002F-0A96-4CD9-8F23-C2F1947C7411}"/>
    <cellStyle name="20% - Accent1 2 3 3 2 5" xfId="11705" xr:uid="{EE49B098-4D76-467E-8D41-06A871F8B793}"/>
    <cellStyle name="20% - Accent1 2 3 3 3" xfId="5336" xr:uid="{00000000-0005-0000-0000-000033000000}"/>
    <cellStyle name="20% - Accent1 2 3 3 3 2" xfId="22219" xr:uid="{430173B6-70B5-47C9-820A-A383E2E230C9}"/>
    <cellStyle name="20% - Accent1 2 3 3 3 3" xfId="30665" xr:uid="{AC303E2D-C751-439F-BF23-506AF373E431}"/>
    <cellStyle name="20% - Accent1 2 3 3 3 4" xfId="13778" xr:uid="{3BAB5E33-7D5D-4D7C-9350-9EA7DF9B1F6D}"/>
    <cellStyle name="20% - Accent1 2 3 3 4" xfId="18001" xr:uid="{8C9BA5FE-1A73-4383-8632-9634B1BE0938}"/>
    <cellStyle name="20% - Accent1 2 3 3 5" xfId="26446" xr:uid="{56C50710-5607-41F1-B26D-D6B9CAE2EC37}"/>
    <cellStyle name="20% - Accent1 2 3 3 6" xfId="9560" xr:uid="{781D74F1-2682-4A23-A3A3-BFA9BE5EC9AC}"/>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24777" xr:uid="{9B613580-5AF5-4AFC-ACE3-62B637891C04}"/>
    <cellStyle name="20% - Accent1 2 3 4 2 2 3" xfId="33223" xr:uid="{FE432B62-726C-4528-AAAD-0737124C629D}"/>
    <cellStyle name="20% - Accent1 2 3 4 2 2 4" xfId="16336" xr:uid="{F1BCB233-C446-4A72-93CE-9817CAE7CCAC}"/>
    <cellStyle name="20% - Accent1 2 3 4 2 3" xfId="20559" xr:uid="{5623F791-7F88-48F6-B003-75858F39F8BD}"/>
    <cellStyle name="20% - Accent1 2 3 4 2 4" xfId="29006" xr:uid="{65AE0052-8D9A-44CC-B434-4F586FA43CDF}"/>
    <cellStyle name="20% - Accent1 2 3 4 2 5" xfId="12118" xr:uid="{974226D5-0FEE-471D-9FE0-A52837D4F8E3}"/>
    <cellStyle name="20% - Accent1 2 3 4 3" xfId="5749" xr:uid="{00000000-0005-0000-0000-000037000000}"/>
    <cellStyle name="20% - Accent1 2 3 4 3 2" xfId="22632" xr:uid="{19E7576B-F2DA-4395-8F32-EAAC28D78770}"/>
    <cellStyle name="20% - Accent1 2 3 4 3 3" xfId="31078" xr:uid="{9E4CE08D-4EBA-4307-996F-83684BEB6FEC}"/>
    <cellStyle name="20% - Accent1 2 3 4 3 4" xfId="14191" xr:uid="{1BC064B7-816C-492D-B0D1-7AF93BF4FBC5}"/>
    <cellStyle name="20% - Accent1 2 3 4 4" xfId="18414" xr:uid="{9222DB83-3682-4FA2-8278-D51609D0E590}"/>
    <cellStyle name="20% - Accent1 2 3 4 5" xfId="26859" xr:uid="{A7298606-8636-4FD7-B1B2-DDE66ED01A82}"/>
    <cellStyle name="20% - Accent1 2 3 4 6" xfId="9973" xr:uid="{0AB4A611-32F8-46D9-BDDC-3D1546D2D07C}"/>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25190" xr:uid="{6A9CE417-9B74-4468-AA4B-AA959C17CBAF}"/>
    <cellStyle name="20% - Accent1 2 3 5 2 2 3" xfId="33636" xr:uid="{CA57A688-7C30-46F7-B919-C919939E24F9}"/>
    <cellStyle name="20% - Accent1 2 3 5 2 2 4" xfId="16749" xr:uid="{B009118D-25A1-4575-8138-4D3476226D8A}"/>
    <cellStyle name="20% - Accent1 2 3 5 2 3" xfId="20972" xr:uid="{676DE3D1-0B94-4A7E-A94C-87482F02EF18}"/>
    <cellStyle name="20% - Accent1 2 3 5 2 4" xfId="29419" xr:uid="{87CF10AF-7268-4BE5-ABF7-C85D9F65CA10}"/>
    <cellStyle name="20% - Accent1 2 3 5 2 5" xfId="12531" xr:uid="{2BD8278F-9741-4530-88F0-C700AA3D454D}"/>
    <cellStyle name="20% - Accent1 2 3 5 3" xfId="6162" xr:uid="{00000000-0005-0000-0000-00003B000000}"/>
    <cellStyle name="20% - Accent1 2 3 5 3 2" xfId="23045" xr:uid="{7A2D6AD8-7A25-456C-BE93-3770AC92D3A3}"/>
    <cellStyle name="20% - Accent1 2 3 5 3 3" xfId="31491" xr:uid="{86CC5759-43EC-4EE6-AAE0-5533F8E65275}"/>
    <cellStyle name="20% - Accent1 2 3 5 3 4" xfId="14604" xr:uid="{DF638494-D4CC-4A47-A121-5E8FF2A1DB46}"/>
    <cellStyle name="20% - Accent1 2 3 5 4" xfId="18827" xr:uid="{784B59E2-C304-43C7-A74C-BA72FDB2FDE1}"/>
    <cellStyle name="20% - Accent1 2 3 5 5" xfId="27272" xr:uid="{88816B01-34B8-4087-B418-38F53B03CBA0}"/>
    <cellStyle name="20% - Accent1 2 3 5 6" xfId="10386" xr:uid="{27DDB73D-5109-495C-B5BE-FFE1573A14AC}"/>
    <cellStyle name="20% - Accent1 2 3 6" xfId="2268" xr:uid="{00000000-0005-0000-0000-00003C000000}"/>
    <cellStyle name="20% - Accent1 2 3 6 2" xfId="6575" xr:uid="{00000000-0005-0000-0000-00003D000000}"/>
    <cellStyle name="20% - Accent1 2 3 6 2 2" xfId="23458" xr:uid="{5686364C-DD81-4ADB-88AF-EFC34361F731}"/>
    <cellStyle name="20% - Accent1 2 3 6 2 3" xfId="31904" xr:uid="{64A6FBB5-5EA1-411E-8ABF-5D73CEECAD2A}"/>
    <cellStyle name="20% - Accent1 2 3 6 2 4" xfId="15017" xr:uid="{43D4098F-AED0-4C93-9780-E41E6C36999E}"/>
    <cellStyle name="20% - Accent1 2 3 6 3" xfId="19240" xr:uid="{D0665D15-F580-424C-9A0F-553868907973}"/>
    <cellStyle name="20% - Accent1 2 3 6 4" xfId="27685" xr:uid="{F9715364-815A-4A41-BC2D-AE1E01960B86}"/>
    <cellStyle name="20% - Accent1 2 3 6 5" xfId="10799" xr:uid="{67DD34DF-501A-4CB4-9909-9E117E3F5929}"/>
    <cellStyle name="20% - Accent1 2 3 7" xfId="4509" xr:uid="{00000000-0005-0000-0000-00003E000000}"/>
    <cellStyle name="20% - Accent1 2 3 7 2" xfId="21392" xr:uid="{264165C2-F960-47A2-B32D-662853E932CC}"/>
    <cellStyle name="20% - Accent1 2 3 7 3" xfId="29838" xr:uid="{DAFC7CBE-6433-4DA4-8740-E583D1483A73}"/>
    <cellStyle name="20% - Accent1 2 3 7 4" xfId="12951" xr:uid="{6FCB15EB-1B0D-40FE-860A-E0C8CA8D45C1}"/>
    <cellStyle name="20% - Accent1 2 3 8" xfId="17174" xr:uid="{50B0384E-4FB3-4176-9D66-760266650300}"/>
    <cellStyle name="20% - Accent1 2 3 9" xfId="25616" xr:uid="{9ADA0E35-FD89-4B8A-9F10-A1CD1C689C4B}"/>
    <cellStyle name="20% - Accent1 2 4" xfId="571" xr:uid="{00000000-0005-0000-0000-00003F000000}"/>
    <cellStyle name="20% - Accent1 2 4 2" xfId="2842" xr:uid="{00000000-0005-0000-0000-000040000000}"/>
    <cellStyle name="20% - Accent1 2 4 2 2" xfId="7065" xr:uid="{00000000-0005-0000-0000-000041000000}"/>
    <cellStyle name="20% - Accent1 2 4 2 2 2" xfId="23948" xr:uid="{10D7F910-5257-4D42-A5B0-717B4258D4CF}"/>
    <cellStyle name="20% - Accent1 2 4 2 2 3" xfId="32394" xr:uid="{9CC26834-E3A1-4DE8-9CDD-EA00ED8E12BB}"/>
    <cellStyle name="20% - Accent1 2 4 2 2 4" xfId="15507" xr:uid="{2784ED36-6EEC-4847-B3ED-1210684A868E}"/>
    <cellStyle name="20% - Accent1 2 4 2 3" xfId="19730" xr:uid="{C043ABF9-DDDE-4EE7-A32B-E8337C8872DE}"/>
    <cellStyle name="20% - Accent1 2 4 2 4" xfId="28177" xr:uid="{8F0A0644-59B8-4DB6-8846-FD74D6F49DED}"/>
    <cellStyle name="20% - Accent1 2 4 2 5" xfId="11289" xr:uid="{8BEEF81C-3654-4FD8-BF2E-DE8E9B0613C9}"/>
    <cellStyle name="20% - Accent1 2 4 3" xfId="4920" xr:uid="{00000000-0005-0000-0000-000042000000}"/>
    <cellStyle name="20% - Accent1 2 4 3 2" xfId="21803" xr:uid="{57A7D933-28F2-4CB8-8727-7CF4CB91EFCF}"/>
    <cellStyle name="20% - Accent1 2 4 3 3" xfId="30249" xr:uid="{18925BB8-C706-4BB1-9B1D-1B03865354F8}"/>
    <cellStyle name="20% - Accent1 2 4 3 4" xfId="13362" xr:uid="{ACEC7886-4B6D-478F-8F29-5F8D3D8FA5E7}"/>
    <cellStyle name="20% - Accent1 2 4 4" xfId="17585" xr:uid="{975B8202-4411-4FDC-844B-B00A39F93600}"/>
    <cellStyle name="20% - Accent1 2 4 5" xfId="26030" xr:uid="{C5406B73-56EA-452B-A237-30E62FB43965}"/>
    <cellStyle name="20% - Accent1 2 4 6" xfId="9144" xr:uid="{CB07CD27-7E57-4F49-8447-6F55666BDC07}"/>
    <cellStyle name="20% - Accent1 2 5" xfId="1024" xr:uid="{00000000-0005-0000-0000-000043000000}"/>
    <cellStyle name="20% - Accent1 2 5 2" xfId="3255" xr:uid="{00000000-0005-0000-0000-000044000000}"/>
    <cellStyle name="20% - Accent1 2 5 2 2" xfId="7478" xr:uid="{00000000-0005-0000-0000-000045000000}"/>
    <cellStyle name="20% - Accent1 2 5 2 2 2" xfId="24361" xr:uid="{A3D3CA69-E146-4479-AC34-BA5344D7731F}"/>
    <cellStyle name="20% - Accent1 2 5 2 2 3" xfId="32807" xr:uid="{4B1179A7-A824-447D-A828-24A6EFB7C156}"/>
    <cellStyle name="20% - Accent1 2 5 2 2 4" xfId="15920" xr:uid="{C6849393-DDD7-4FEF-8813-DD405EF28289}"/>
    <cellStyle name="20% - Accent1 2 5 2 3" xfId="20143" xr:uid="{870B3825-7A2A-4119-818E-E4C7F54032ED}"/>
    <cellStyle name="20% - Accent1 2 5 2 4" xfId="28590" xr:uid="{474EE667-3FBF-4086-8671-6D363D7B05C0}"/>
    <cellStyle name="20% - Accent1 2 5 2 5" xfId="11702" xr:uid="{2D35E0A0-D7DF-4B48-A00A-338A839CB545}"/>
    <cellStyle name="20% - Accent1 2 5 3" xfId="5333" xr:uid="{00000000-0005-0000-0000-000046000000}"/>
    <cellStyle name="20% - Accent1 2 5 3 2" xfId="22216" xr:uid="{2D596A15-E0A6-4EC8-BEE1-0246CA15F231}"/>
    <cellStyle name="20% - Accent1 2 5 3 3" xfId="30662" xr:uid="{0164B7F5-302D-4D0F-8D3E-AA33A3AF0B3C}"/>
    <cellStyle name="20% - Accent1 2 5 3 4" xfId="13775" xr:uid="{95D65A83-564D-40F5-9AAE-DB1174DA0B2F}"/>
    <cellStyle name="20% - Accent1 2 5 4" xfId="17998" xr:uid="{E0C6EDD3-98FE-488A-BD28-5121378F04AE}"/>
    <cellStyle name="20% - Accent1 2 5 5" xfId="26443" xr:uid="{BED25D20-6552-4660-B99D-CAC061651D32}"/>
    <cellStyle name="20% - Accent1 2 5 6" xfId="9557" xr:uid="{510B6D94-8E4E-4891-BF9D-28149F0EA135}"/>
    <cellStyle name="20% - Accent1 2 6" xfId="1438" xr:uid="{00000000-0005-0000-0000-000047000000}"/>
    <cellStyle name="20% - Accent1 2 6 2" xfId="3668" xr:uid="{00000000-0005-0000-0000-000048000000}"/>
    <cellStyle name="20% - Accent1 2 6 2 2" xfId="7891" xr:uid="{00000000-0005-0000-0000-000049000000}"/>
    <cellStyle name="20% - Accent1 2 6 2 2 2" xfId="24774" xr:uid="{C906DAC7-A68F-4B30-9966-46F4143028E6}"/>
    <cellStyle name="20% - Accent1 2 6 2 2 3" xfId="33220" xr:uid="{C3551275-AA50-45BB-9137-6403069CE4FB}"/>
    <cellStyle name="20% - Accent1 2 6 2 2 4" xfId="16333" xr:uid="{BE0A3C7E-BC29-4E63-9065-04AAAE250BEB}"/>
    <cellStyle name="20% - Accent1 2 6 2 3" xfId="20556" xr:uid="{FD500359-C6CF-4C66-8D4F-7149863F4291}"/>
    <cellStyle name="20% - Accent1 2 6 2 4" xfId="29003" xr:uid="{D3622F33-E086-439B-B17D-A18E4C35E639}"/>
    <cellStyle name="20% - Accent1 2 6 2 5" xfId="12115" xr:uid="{2BD4C240-63F5-4884-A217-12FA14C6F01A}"/>
    <cellStyle name="20% - Accent1 2 6 3" xfId="5746" xr:uid="{00000000-0005-0000-0000-00004A000000}"/>
    <cellStyle name="20% - Accent1 2 6 3 2" xfId="22629" xr:uid="{A0A2AACE-5E4E-478D-93D2-CDFC71F92E01}"/>
    <cellStyle name="20% - Accent1 2 6 3 3" xfId="31075" xr:uid="{04E94A9A-D368-4380-8363-17C73749AFB5}"/>
    <cellStyle name="20% - Accent1 2 6 3 4" xfId="14188" xr:uid="{89F9810B-0834-48D3-806D-0B085A26083D}"/>
    <cellStyle name="20% - Accent1 2 6 4" xfId="18411" xr:uid="{CE21AD37-EA46-4911-B3E3-00AD82FB27B1}"/>
    <cellStyle name="20% - Accent1 2 6 5" xfId="26856" xr:uid="{27868217-A398-4F49-A43E-9A101F559717}"/>
    <cellStyle name="20% - Accent1 2 6 6" xfId="9970" xr:uid="{D11174B3-8FA4-474F-8233-EE6C64F8B625}"/>
    <cellStyle name="20% - Accent1 2 7" xfId="1852" xr:uid="{00000000-0005-0000-0000-00004B000000}"/>
    <cellStyle name="20% - Accent1 2 7 2" xfId="4081" xr:uid="{00000000-0005-0000-0000-00004C000000}"/>
    <cellStyle name="20% - Accent1 2 7 2 2" xfId="8304" xr:uid="{00000000-0005-0000-0000-00004D000000}"/>
    <cellStyle name="20% - Accent1 2 7 2 2 2" xfId="25187" xr:uid="{46D98DD3-1290-4A0A-B2AA-F6D9084D24F1}"/>
    <cellStyle name="20% - Accent1 2 7 2 2 3" xfId="33633" xr:uid="{35A98501-6B14-4AAF-A42C-E433B5FEF937}"/>
    <cellStyle name="20% - Accent1 2 7 2 2 4" xfId="16746" xr:uid="{EDB32F84-8EBF-4A66-94EB-779299BCF848}"/>
    <cellStyle name="20% - Accent1 2 7 2 3" xfId="20969" xr:uid="{B59840F7-80DA-4AB6-9E74-2B85BECC9106}"/>
    <cellStyle name="20% - Accent1 2 7 2 4" xfId="29416" xr:uid="{44198AC9-678A-4CC7-898E-74409BD69B61}"/>
    <cellStyle name="20% - Accent1 2 7 2 5" xfId="12528" xr:uid="{D7814138-6650-4063-80D8-AD6A0A4F4149}"/>
    <cellStyle name="20% - Accent1 2 7 3" xfId="6159" xr:uid="{00000000-0005-0000-0000-00004E000000}"/>
    <cellStyle name="20% - Accent1 2 7 3 2" xfId="23042" xr:uid="{50CEDDB3-D793-4A67-ADB1-5EE9B22349EB}"/>
    <cellStyle name="20% - Accent1 2 7 3 3" xfId="31488" xr:uid="{8B2323C3-9D58-4D33-BAA0-34B39DD4B3AB}"/>
    <cellStyle name="20% - Accent1 2 7 3 4" xfId="14601" xr:uid="{3A24DF3B-7A78-4672-AF22-37E79D389DCA}"/>
    <cellStyle name="20% - Accent1 2 7 4" xfId="18824" xr:uid="{EF8B85BA-6456-43DD-A68F-E85BAF1031BA}"/>
    <cellStyle name="20% - Accent1 2 7 5" xfId="27269" xr:uid="{52CDE987-EF59-4BA6-8B50-5FA2FABA8853}"/>
    <cellStyle name="20% - Accent1 2 7 6" xfId="10383" xr:uid="{4278E95B-C16D-4437-9A3F-BFB0BC62A987}"/>
    <cellStyle name="20% - Accent1 2 8" xfId="2265" xr:uid="{00000000-0005-0000-0000-00004F000000}"/>
    <cellStyle name="20% - Accent1 2 8 2" xfId="6572" xr:uid="{00000000-0005-0000-0000-000050000000}"/>
    <cellStyle name="20% - Accent1 2 8 2 2" xfId="23455" xr:uid="{230154B0-4C34-477F-A4C6-48BDCF6AC889}"/>
    <cellStyle name="20% - Accent1 2 8 2 3" xfId="31901" xr:uid="{358CCCD8-0582-4ADC-86A1-63E593398B04}"/>
    <cellStyle name="20% - Accent1 2 8 2 4" xfId="15014" xr:uid="{8EF931FB-260F-4EB7-94D1-6DFCF1223B2A}"/>
    <cellStyle name="20% - Accent1 2 8 3" xfId="19237" xr:uid="{6DAF0EC8-62A3-4A2F-983B-2F1513D4325C}"/>
    <cellStyle name="20% - Accent1 2 8 4" xfId="27682" xr:uid="{CF171B4F-B6E7-4199-BF02-2320F70A9ADD}"/>
    <cellStyle name="20% - Accent1 2 8 5" xfId="10796" xr:uid="{A0DE9E1B-0D9C-4DD9-A91F-2DA8AC1E0035}"/>
    <cellStyle name="20% - Accent1 2 9" xfId="4506" xr:uid="{00000000-0005-0000-0000-000051000000}"/>
    <cellStyle name="20% - Accent1 2 9 2" xfId="21389" xr:uid="{D0FB8D9F-939B-40E4-A3FF-C23D6CEF666E}"/>
    <cellStyle name="20% - Accent1 2 9 3" xfId="29835" xr:uid="{2DEB7021-688D-47E8-9DCC-CE6AD33D9A1D}"/>
    <cellStyle name="20% - Accent1 2 9 4" xfId="12948" xr:uid="{E16ECD38-893E-4412-A796-B86E9A200973}"/>
    <cellStyle name="20% - Accent1 3" xfId="6" xr:uid="{00000000-0005-0000-0000-000052000000}"/>
    <cellStyle name="20% - Accent1 3 10" xfId="25617" xr:uid="{C9D4AF38-8A63-46AF-B578-A17AF872303C}"/>
    <cellStyle name="20% - Accent1 3 11" xfId="8734" xr:uid="{F8B6044F-9EBD-44DC-B6EB-9638C6779299}"/>
    <cellStyle name="20% - Accent1 3 2" xfId="7" xr:uid="{00000000-0005-0000-0000-000053000000}"/>
    <cellStyle name="20% - Accent1 3 2 10" xfId="8735" xr:uid="{40BCAC51-4514-4ADC-B365-84C1EBFAF73D}"/>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23953" xr:uid="{AC9EAF30-CB0B-4B3A-AC2B-E7B467CDD99D}"/>
    <cellStyle name="20% - Accent1 3 2 2 2 2 3" xfId="32399" xr:uid="{7484BA0B-411C-4EE3-A1E9-711F0F78FF13}"/>
    <cellStyle name="20% - Accent1 3 2 2 2 2 4" xfId="15512" xr:uid="{95E4DC82-077F-4C25-B75C-CD49F71D0D03}"/>
    <cellStyle name="20% - Accent1 3 2 2 2 3" xfId="19735" xr:uid="{0603B4BA-F387-43C2-80F6-647144895F15}"/>
    <cellStyle name="20% - Accent1 3 2 2 2 4" xfId="28182" xr:uid="{76EC3D5A-D9FF-4C35-B099-AB7870E09344}"/>
    <cellStyle name="20% - Accent1 3 2 2 2 5" xfId="11294" xr:uid="{902AFE77-14AC-4D55-B064-C71DF7C40251}"/>
    <cellStyle name="20% - Accent1 3 2 2 3" xfId="4925" xr:uid="{00000000-0005-0000-0000-000057000000}"/>
    <cellStyle name="20% - Accent1 3 2 2 3 2" xfId="21808" xr:uid="{B5C3497E-A779-49E8-9ED5-BF078648ED32}"/>
    <cellStyle name="20% - Accent1 3 2 2 3 3" xfId="30254" xr:uid="{F65FECCB-06C2-4F6F-B782-E4B9FED79FD4}"/>
    <cellStyle name="20% - Accent1 3 2 2 3 4" xfId="13367" xr:uid="{8703BBAA-5536-484C-A580-096C7320A179}"/>
    <cellStyle name="20% - Accent1 3 2 2 4" xfId="17590" xr:uid="{57009293-28F3-4ACA-9E27-52C5BA6AC99B}"/>
    <cellStyle name="20% - Accent1 3 2 2 5" xfId="26035" xr:uid="{7DB54F2E-CC4A-42A9-A86A-D611DB00ECD2}"/>
    <cellStyle name="20% - Accent1 3 2 2 6" xfId="9149" xr:uid="{D51763D2-319A-4FDA-AE0F-CEB239164E49}"/>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24366" xr:uid="{505F0E57-40A1-4EE3-936A-C911BE230B81}"/>
    <cellStyle name="20% - Accent1 3 2 3 2 2 3" xfId="32812" xr:uid="{9E00EE4B-B0D8-404C-9FBF-D9436BE754D1}"/>
    <cellStyle name="20% - Accent1 3 2 3 2 2 4" xfId="15925" xr:uid="{2E0E6CFF-B0FF-4EC6-B67E-CDC374690352}"/>
    <cellStyle name="20% - Accent1 3 2 3 2 3" xfId="20148" xr:uid="{9BCDBDDE-2643-476D-9B94-984451761599}"/>
    <cellStyle name="20% - Accent1 3 2 3 2 4" xfId="28595" xr:uid="{A1DCEE19-965E-4F9E-8B25-D1919B5F4D86}"/>
    <cellStyle name="20% - Accent1 3 2 3 2 5" xfId="11707" xr:uid="{2253FE62-BA36-4342-94AD-2CEBC8E534FF}"/>
    <cellStyle name="20% - Accent1 3 2 3 3" xfId="5338" xr:uid="{00000000-0005-0000-0000-00005B000000}"/>
    <cellStyle name="20% - Accent1 3 2 3 3 2" xfId="22221" xr:uid="{54DFBCFF-A7A1-45AF-A179-37CFF1B357B0}"/>
    <cellStyle name="20% - Accent1 3 2 3 3 3" xfId="30667" xr:uid="{E2C4C122-BCA5-4395-920A-A22A7C73AFBE}"/>
    <cellStyle name="20% - Accent1 3 2 3 3 4" xfId="13780" xr:uid="{BB587935-4EBA-422D-800A-987A40737AD9}"/>
    <cellStyle name="20% - Accent1 3 2 3 4" xfId="18003" xr:uid="{21095E69-770C-45BE-B66E-9B0F4AA64606}"/>
    <cellStyle name="20% - Accent1 3 2 3 5" xfId="26448" xr:uid="{E015188C-38B2-442E-BDA6-32304C2E319C}"/>
    <cellStyle name="20% - Accent1 3 2 3 6" xfId="9562" xr:uid="{0B2E95A8-B6D4-438B-8E8F-BBD37206778F}"/>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24779" xr:uid="{085E5216-3F13-46F6-93D7-A72B24CFABE0}"/>
    <cellStyle name="20% - Accent1 3 2 4 2 2 3" xfId="33225" xr:uid="{093AB1C2-10FD-4F35-8E0F-EBC2AE8B876A}"/>
    <cellStyle name="20% - Accent1 3 2 4 2 2 4" xfId="16338" xr:uid="{1EF10CF1-03F4-4AEA-87AA-38C7D6C0E816}"/>
    <cellStyle name="20% - Accent1 3 2 4 2 3" xfId="20561" xr:uid="{09BD4D94-1233-46CD-88AA-BA25ADE92A07}"/>
    <cellStyle name="20% - Accent1 3 2 4 2 4" xfId="29008" xr:uid="{0BDB2F53-65EB-4D75-9848-5C7B59EB0818}"/>
    <cellStyle name="20% - Accent1 3 2 4 2 5" xfId="12120" xr:uid="{DC351BCB-BBB1-40D6-9F80-F480155A2D2B}"/>
    <cellStyle name="20% - Accent1 3 2 4 3" xfId="5751" xr:uid="{00000000-0005-0000-0000-00005F000000}"/>
    <cellStyle name="20% - Accent1 3 2 4 3 2" xfId="22634" xr:uid="{56CC3886-C32D-43D9-B1F8-238550F8229D}"/>
    <cellStyle name="20% - Accent1 3 2 4 3 3" xfId="31080" xr:uid="{C9154B1A-D3C1-4C2A-9A5C-B7F07F61ABDC}"/>
    <cellStyle name="20% - Accent1 3 2 4 3 4" xfId="14193" xr:uid="{89F6DAD3-15A9-4B4F-BB4D-2260E07A39AC}"/>
    <cellStyle name="20% - Accent1 3 2 4 4" xfId="18416" xr:uid="{3E097581-7B1B-4A2F-A4AC-780C3AAC3246}"/>
    <cellStyle name="20% - Accent1 3 2 4 5" xfId="26861" xr:uid="{ADC25F1C-1FC3-4F63-BCCD-3E7E5C94C8D3}"/>
    <cellStyle name="20% - Accent1 3 2 4 6" xfId="9975" xr:uid="{F8914A95-34A6-4730-AD9B-A3D29BF9EFEC}"/>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25192" xr:uid="{7F78905F-3A58-4AD7-ADFA-24A0BB34FC3C}"/>
    <cellStyle name="20% - Accent1 3 2 5 2 2 3" xfId="33638" xr:uid="{723E44E5-5BB4-4501-8D76-E04C0415A890}"/>
    <cellStyle name="20% - Accent1 3 2 5 2 2 4" xfId="16751" xr:uid="{78A3E2CC-FB21-4943-B6AB-744E3CE167C2}"/>
    <cellStyle name="20% - Accent1 3 2 5 2 3" xfId="20974" xr:uid="{4571AC0C-E27F-408E-AD2A-75819ECB9A97}"/>
    <cellStyle name="20% - Accent1 3 2 5 2 4" xfId="29421" xr:uid="{C6E47030-B5D5-4F82-98F1-6C186111FF00}"/>
    <cellStyle name="20% - Accent1 3 2 5 2 5" xfId="12533" xr:uid="{2B8D256F-0B04-455B-8458-D0B0E0AFDA8A}"/>
    <cellStyle name="20% - Accent1 3 2 5 3" xfId="6164" xr:uid="{00000000-0005-0000-0000-000063000000}"/>
    <cellStyle name="20% - Accent1 3 2 5 3 2" xfId="23047" xr:uid="{21B4F197-0288-4FD8-A254-6E08D0C64398}"/>
    <cellStyle name="20% - Accent1 3 2 5 3 3" xfId="31493" xr:uid="{7B4E484A-6F48-497C-9F18-CCE93FF07DB1}"/>
    <cellStyle name="20% - Accent1 3 2 5 3 4" xfId="14606" xr:uid="{83B7258D-503A-4458-993E-DD43E73EAA93}"/>
    <cellStyle name="20% - Accent1 3 2 5 4" xfId="18829" xr:uid="{0C683D12-6F37-4791-8A90-97DD7FFD27F6}"/>
    <cellStyle name="20% - Accent1 3 2 5 5" xfId="27274" xr:uid="{0819990B-EB54-438E-A809-968C982C65DE}"/>
    <cellStyle name="20% - Accent1 3 2 5 6" xfId="10388" xr:uid="{242BBA76-00F1-42C9-8209-626444521E9F}"/>
    <cellStyle name="20% - Accent1 3 2 6" xfId="2270" xr:uid="{00000000-0005-0000-0000-000064000000}"/>
    <cellStyle name="20% - Accent1 3 2 6 2" xfId="6577" xr:uid="{00000000-0005-0000-0000-000065000000}"/>
    <cellStyle name="20% - Accent1 3 2 6 2 2" xfId="23460" xr:uid="{39993DC3-A0FE-4BDC-8A8A-3A2C63BE406E}"/>
    <cellStyle name="20% - Accent1 3 2 6 2 3" xfId="31906" xr:uid="{64AF8EB0-D5A3-4CDB-ACD4-7F680F97497F}"/>
    <cellStyle name="20% - Accent1 3 2 6 2 4" xfId="15019" xr:uid="{219A9FA6-92E1-4D5C-B577-D0A168CED92F}"/>
    <cellStyle name="20% - Accent1 3 2 6 3" xfId="19242" xr:uid="{EA39157D-03C3-4276-9271-C4C76F82D9DC}"/>
    <cellStyle name="20% - Accent1 3 2 6 4" xfId="27687" xr:uid="{E1320F1D-47F6-4719-AD42-16A32E031ACF}"/>
    <cellStyle name="20% - Accent1 3 2 6 5" xfId="10801" xr:uid="{46C0BA29-8307-4C86-A129-561ECD21E856}"/>
    <cellStyle name="20% - Accent1 3 2 7" xfId="4511" xr:uid="{00000000-0005-0000-0000-000066000000}"/>
    <cellStyle name="20% - Accent1 3 2 7 2" xfId="21394" xr:uid="{63A60A60-542E-46A3-B470-BEF12DA5C357}"/>
    <cellStyle name="20% - Accent1 3 2 7 3" xfId="29840" xr:uid="{FA8A67B2-2022-49BD-B71E-ACACC9BCB47C}"/>
    <cellStyle name="20% - Accent1 3 2 7 4" xfId="12953" xr:uid="{AEA1B130-1DF0-4A84-BC3B-52248CAACE58}"/>
    <cellStyle name="20% - Accent1 3 2 8" xfId="17176" xr:uid="{0AD0A06A-FD6E-4BC1-A6C8-7EB33198D478}"/>
    <cellStyle name="20% - Accent1 3 2 9" xfId="25618" xr:uid="{D0693ADE-3DDF-4AF2-B1E3-520A58D9AF87}"/>
    <cellStyle name="20% - Accent1 3 3" xfId="575" xr:uid="{00000000-0005-0000-0000-000067000000}"/>
    <cellStyle name="20% - Accent1 3 3 2" xfId="2846" xr:uid="{00000000-0005-0000-0000-000068000000}"/>
    <cellStyle name="20% - Accent1 3 3 2 2" xfId="7069" xr:uid="{00000000-0005-0000-0000-000069000000}"/>
    <cellStyle name="20% - Accent1 3 3 2 2 2" xfId="23952" xr:uid="{85728782-D1B3-4587-A06B-E3CEAB650035}"/>
    <cellStyle name="20% - Accent1 3 3 2 2 3" xfId="32398" xr:uid="{8A9D1501-5D56-4B0E-B672-FEA4BC2C9DC7}"/>
    <cellStyle name="20% - Accent1 3 3 2 2 4" xfId="15511" xr:uid="{5E7CB663-34F4-42BE-B697-C98D9897280F}"/>
    <cellStyle name="20% - Accent1 3 3 2 3" xfId="19734" xr:uid="{F0CEB199-0147-49E4-9853-F0CA93AF86AB}"/>
    <cellStyle name="20% - Accent1 3 3 2 4" xfId="28181" xr:uid="{8B37110F-5D07-4487-950D-59E19F00B0A1}"/>
    <cellStyle name="20% - Accent1 3 3 2 5" xfId="11293" xr:uid="{ED76C168-1BD4-496F-B96B-F89D93A8D931}"/>
    <cellStyle name="20% - Accent1 3 3 3" xfId="4924" xr:uid="{00000000-0005-0000-0000-00006A000000}"/>
    <cellStyle name="20% - Accent1 3 3 3 2" xfId="21807" xr:uid="{08066A0E-291E-44A2-A30B-5FBCC55EA759}"/>
    <cellStyle name="20% - Accent1 3 3 3 3" xfId="30253" xr:uid="{287FBC57-9E07-47B6-8A5D-5B70171E92B4}"/>
    <cellStyle name="20% - Accent1 3 3 3 4" xfId="13366" xr:uid="{60A8463E-B0AE-443F-903B-DEC1648C2213}"/>
    <cellStyle name="20% - Accent1 3 3 4" xfId="17589" xr:uid="{C82C03BC-8069-42A5-B54D-775BE8086FE4}"/>
    <cellStyle name="20% - Accent1 3 3 5" xfId="26034" xr:uid="{CD1D4FA6-15BF-4A9D-A8FD-16811AB4EC47}"/>
    <cellStyle name="20% - Accent1 3 3 6" xfId="9148" xr:uid="{E59E0C4A-5996-4F22-A27D-20B89CA407BE}"/>
    <cellStyle name="20% - Accent1 3 4" xfId="1028" xr:uid="{00000000-0005-0000-0000-00006B000000}"/>
    <cellStyle name="20% - Accent1 3 4 2" xfId="3259" xr:uid="{00000000-0005-0000-0000-00006C000000}"/>
    <cellStyle name="20% - Accent1 3 4 2 2" xfId="7482" xr:uid="{00000000-0005-0000-0000-00006D000000}"/>
    <cellStyle name="20% - Accent1 3 4 2 2 2" xfId="24365" xr:uid="{BE322AC7-427E-4180-90DC-DE9958F9801B}"/>
    <cellStyle name="20% - Accent1 3 4 2 2 3" xfId="32811" xr:uid="{8B46215C-D8BF-4A91-8A12-F2CBF8B7B346}"/>
    <cellStyle name="20% - Accent1 3 4 2 2 4" xfId="15924" xr:uid="{6F697F88-0E24-45B0-A6FC-D57A8A084D4B}"/>
    <cellStyle name="20% - Accent1 3 4 2 3" xfId="20147" xr:uid="{6E93AE4F-BD9E-4D22-BD8C-257596506AE3}"/>
    <cellStyle name="20% - Accent1 3 4 2 4" xfId="28594" xr:uid="{0DA5BAC6-12AB-4C29-A5C1-B816B5EABFBC}"/>
    <cellStyle name="20% - Accent1 3 4 2 5" xfId="11706" xr:uid="{EB288102-9620-4EEB-9FFB-F5E224A3D561}"/>
    <cellStyle name="20% - Accent1 3 4 3" xfId="5337" xr:uid="{00000000-0005-0000-0000-00006E000000}"/>
    <cellStyle name="20% - Accent1 3 4 3 2" xfId="22220" xr:uid="{F9FED2BD-FEAB-4C88-AA32-18A770B58743}"/>
    <cellStyle name="20% - Accent1 3 4 3 3" xfId="30666" xr:uid="{9B9D054D-00F1-407F-860F-CACB0C253E3C}"/>
    <cellStyle name="20% - Accent1 3 4 3 4" xfId="13779" xr:uid="{6C9906FB-263B-47FD-8FC4-84C35224FA9A}"/>
    <cellStyle name="20% - Accent1 3 4 4" xfId="18002" xr:uid="{E3D24B37-B046-421B-9FD5-5E03512F123E}"/>
    <cellStyle name="20% - Accent1 3 4 5" xfId="26447" xr:uid="{3E99D416-18EA-46CD-BA97-D24E7A35FF44}"/>
    <cellStyle name="20% - Accent1 3 4 6" xfId="9561" xr:uid="{BC300B3B-06A3-4B7B-AE7D-1A90655FCFBD}"/>
    <cellStyle name="20% - Accent1 3 5" xfId="1442" xr:uid="{00000000-0005-0000-0000-00006F000000}"/>
    <cellStyle name="20% - Accent1 3 5 2" xfId="3672" xr:uid="{00000000-0005-0000-0000-000070000000}"/>
    <cellStyle name="20% - Accent1 3 5 2 2" xfId="7895" xr:uid="{00000000-0005-0000-0000-000071000000}"/>
    <cellStyle name="20% - Accent1 3 5 2 2 2" xfId="24778" xr:uid="{DDF077ED-CD3E-46E2-A010-02040193A922}"/>
    <cellStyle name="20% - Accent1 3 5 2 2 3" xfId="33224" xr:uid="{87E2458B-B2E6-4AA7-8DEC-898DE4F63643}"/>
    <cellStyle name="20% - Accent1 3 5 2 2 4" xfId="16337" xr:uid="{982ABF18-3C66-453C-87C3-828E921C6DB8}"/>
    <cellStyle name="20% - Accent1 3 5 2 3" xfId="20560" xr:uid="{E3837760-1755-4681-B8C8-A13869AFE887}"/>
    <cellStyle name="20% - Accent1 3 5 2 4" xfId="29007" xr:uid="{83384008-1EA0-41A1-B1D9-B3DBCA341B92}"/>
    <cellStyle name="20% - Accent1 3 5 2 5" xfId="12119" xr:uid="{6D26B026-5763-40E4-B5E4-49FB8BEFFEFB}"/>
    <cellStyle name="20% - Accent1 3 5 3" xfId="5750" xr:uid="{00000000-0005-0000-0000-000072000000}"/>
    <cellStyle name="20% - Accent1 3 5 3 2" xfId="22633" xr:uid="{620F7B7C-5FE0-49A2-8554-DF65EF10914E}"/>
    <cellStyle name="20% - Accent1 3 5 3 3" xfId="31079" xr:uid="{E9862FF0-097F-44DD-A8D6-6549D190701D}"/>
    <cellStyle name="20% - Accent1 3 5 3 4" xfId="14192" xr:uid="{04C4DC12-E5D9-467C-BDE3-7113FA74681C}"/>
    <cellStyle name="20% - Accent1 3 5 4" xfId="18415" xr:uid="{E0092AEC-7FB0-4064-AF4F-6EA34C84AD58}"/>
    <cellStyle name="20% - Accent1 3 5 5" xfId="26860" xr:uid="{7F3D2328-44F3-48C7-B4FD-D83FE3EDFCCD}"/>
    <cellStyle name="20% - Accent1 3 5 6" xfId="9974" xr:uid="{857D43DF-F5B2-41EB-81A7-F483B5F7A6EE}"/>
    <cellStyle name="20% - Accent1 3 6" xfId="1856" xr:uid="{00000000-0005-0000-0000-000073000000}"/>
    <cellStyle name="20% - Accent1 3 6 2" xfId="4085" xr:uid="{00000000-0005-0000-0000-000074000000}"/>
    <cellStyle name="20% - Accent1 3 6 2 2" xfId="8308" xr:uid="{00000000-0005-0000-0000-000075000000}"/>
    <cellStyle name="20% - Accent1 3 6 2 2 2" xfId="25191" xr:uid="{1E8A4A16-5ABC-4518-BB96-93E9C5CE2FBF}"/>
    <cellStyle name="20% - Accent1 3 6 2 2 3" xfId="33637" xr:uid="{DB0456D7-C3B9-4452-95AA-EFF449199554}"/>
    <cellStyle name="20% - Accent1 3 6 2 2 4" xfId="16750" xr:uid="{A1FE3581-2271-45DE-AD25-C7512D83C45F}"/>
    <cellStyle name="20% - Accent1 3 6 2 3" xfId="20973" xr:uid="{BFFEEF96-09D5-4F44-BDD1-DFE733805731}"/>
    <cellStyle name="20% - Accent1 3 6 2 4" xfId="29420" xr:uid="{C68CEB29-ACBB-4DBD-9493-7CA5C651C247}"/>
    <cellStyle name="20% - Accent1 3 6 2 5" xfId="12532" xr:uid="{48FD663F-507A-410A-9C37-9DB52B8BF9CA}"/>
    <cellStyle name="20% - Accent1 3 6 3" xfId="6163" xr:uid="{00000000-0005-0000-0000-000076000000}"/>
    <cellStyle name="20% - Accent1 3 6 3 2" xfId="23046" xr:uid="{4B288D06-5BFD-42EE-9064-3C5D671A33FD}"/>
    <cellStyle name="20% - Accent1 3 6 3 3" xfId="31492" xr:uid="{AA25693F-0680-4123-B431-23824EB3B9B0}"/>
    <cellStyle name="20% - Accent1 3 6 3 4" xfId="14605" xr:uid="{0A8CEB67-4A89-4AAD-A3F7-D89780A617B7}"/>
    <cellStyle name="20% - Accent1 3 6 4" xfId="18828" xr:uid="{13385DAD-7A63-42ED-9E8F-AA9D9E0EC535}"/>
    <cellStyle name="20% - Accent1 3 6 5" xfId="27273" xr:uid="{A00E3BD8-9498-4A17-A290-7B16594A1E4C}"/>
    <cellStyle name="20% - Accent1 3 6 6" xfId="10387" xr:uid="{4BF8807C-440A-4BC6-990A-090D2D1AE32C}"/>
    <cellStyle name="20% - Accent1 3 7" xfId="2269" xr:uid="{00000000-0005-0000-0000-000077000000}"/>
    <cellStyle name="20% - Accent1 3 7 2" xfId="6576" xr:uid="{00000000-0005-0000-0000-000078000000}"/>
    <cellStyle name="20% - Accent1 3 7 2 2" xfId="23459" xr:uid="{28B40D8B-319A-44D2-92FB-4E13AE67B2BF}"/>
    <cellStyle name="20% - Accent1 3 7 2 3" xfId="31905" xr:uid="{4F962580-39C7-47E1-BF3F-82110570A7E3}"/>
    <cellStyle name="20% - Accent1 3 7 2 4" xfId="15018" xr:uid="{5168BB25-131F-4958-874A-8B33E476A5BE}"/>
    <cellStyle name="20% - Accent1 3 7 3" xfId="19241" xr:uid="{FA69D9E6-3A7A-4B8B-8E15-506F3AB1B1E2}"/>
    <cellStyle name="20% - Accent1 3 7 4" xfId="27686" xr:uid="{6F849EDB-BE11-4633-9087-B463D4088C1B}"/>
    <cellStyle name="20% - Accent1 3 7 5" xfId="10800" xr:uid="{0A195326-E99A-4502-8BCB-9DF70679E71D}"/>
    <cellStyle name="20% - Accent1 3 8" xfId="4510" xr:uid="{00000000-0005-0000-0000-000079000000}"/>
    <cellStyle name="20% - Accent1 3 8 2" xfId="21393" xr:uid="{223BD2CE-78A3-4CCB-AC29-681C15438D67}"/>
    <cellStyle name="20% - Accent1 3 8 3" xfId="29839" xr:uid="{8A1F047D-7006-41B4-BBDF-42A34CB24971}"/>
    <cellStyle name="20% - Accent1 3 8 4" xfId="12952" xr:uid="{D86DE941-FDD3-4121-9304-F2683E54CB15}"/>
    <cellStyle name="20% - Accent1 3 9" xfId="17175" xr:uid="{0A76BA1D-8B6C-43DC-A0A3-7EDCF1FA34C3}"/>
    <cellStyle name="20% - Accent1 4" xfId="8" xr:uid="{00000000-0005-0000-0000-00007A000000}"/>
    <cellStyle name="20% - Accent1 4 10" xfId="8736" xr:uid="{67A98431-F366-44BC-90A4-7D88D525D72D}"/>
    <cellStyle name="20% - Accent1 4 2" xfId="577" xr:uid="{00000000-0005-0000-0000-00007B000000}"/>
    <cellStyle name="20% - Accent1 4 2 2" xfId="2848" xr:uid="{00000000-0005-0000-0000-00007C000000}"/>
    <cellStyle name="20% - Accent1 4 2 2 2" xfId="7071" xr:uid="{00000000-0005-0000-0000-00007D000000}"/>
    <cellStyle name="20% - Accent1 4 2 2 2 2" xfId="23954" xr:uid="{A449F01F-789A-4DA4-AB93-944F11839C2A}"/>
    <cellStyle name="20% - Accent1 4 2 2 2 3" xfId="32400" xr:uid="{401D8F7D-47DD-4F29-91BC-347969B27951}"/>
    <cellStyle name="20% - Accent1 4 2 2 2 4" xfId="15513" xr:uid="{75A25513-79B9-4776-8BA6-1CD824AA40EC}"/>
    <cellStyle name="20% - Accent1 4 2 2 3" xfId="19736" xr:uid="{C7255834-F599-427C-B562-8C46E9E25C0A}"/>
    <cellStyle name="20% - Accent1 4 2 2 4" xfId="28183" xr:uid="{D38CE7C1-E776-4531-927C-A0ABFB8B4351}"/>
    <cellStyle name="20% - Accent1 4 2 2 5" xfId="11295" xr:uid="{63C1E792-4286-47CC-9DF6-C150831DE080}"/>
    <cellStyle name="20% - Accent1 4 2 3" xfId="4926" xr:uid="{00000000-0005-0000-0000-00007E000000}"/>
    <cellStyle name="20% - Accent1 4 2 3 2" xfId="21809" xr:uid="{3592F926-CCCB-4064-8AF9-2D626734261B}"/>
    <cellStyle name="20% - Accent1 4 2 3 3" xfId="30255" xr:uid="{2ADD3FF1-DBEB-4223-BD4C-E162A4774FD0}"/>
    <cellStyle name="20% - Accent1 4 2 3 4" xfId="13368" xr:uid="{29E738DE-2B00-4C00-9084-8C301C65C81F}"/>
    <cellStyle name="20% - Accent1 4 2 4" xfId="17591" xr:uid="{37304685-F4C3-4F56-B235-DD336257FE0E}"/>
    <cellStyle name="20% - Accent1 4 2 5" xfId="26036" xr:uid="{3F83A4CB-7B62-43DC-8119-A66AC3351568}"/>
    <cellStyle name="20% - Accent1 4 2 6" xfId="9150" xr:uid="{362A678F-373B-4772-B324-4224B8AEBA42}"/>
    <cellStyle name="20% - Accent1 4 3" xfId="1030" xr:uid="{00000000-0005-0000-0000-00007F000000}"/>
    <cellStyle name="20% - Accent1 4 3 2" xfId="3261" xr:uid="{00000000-0005-0000-0000-000080000000}"/>
    <cellStyle name="20% - Accent1 4 3 2 2" xfId="7484" xr:uid="{00000000-0005-0000-0000-000081000000}"/>
    <cellStyle name="20% - Accent1 4 3 2 2 2" xfId="24367" xr:uid="{C66DEE3B-D7E3-43EC-8481-3C651C3E9BD6}"/>
    <cellStyle name="20% - Accent1 4 3 2 2 3" xfId="32813" xr:uid="{4C71AB75-9CB8-43B6-8979-17E3A739CD05}"/>
    <cellStyle name="20% - Accent1 4 3 2 2 4" xfId="15926" xr:uid="{EA5D36B4-401C-4951-90B1-2245A1FB4B5C}"/>
    <cellStyle name="20% - Accent1 4 3 2 3" xfId="20149" xr:uid="{12C67BDF-BE15-4497-A14C-D763A2B20B79}"/>
    <cellStyle name="20% - Accent1 4 3 2 4" xfId="28596" xr:uid="{EFE4EAAB-89EC-4914-B9DB-59A95DFC3701}"/>
    <cellStyle name="20% - Accent1 4 3 2 5" xfId="11708" xr:uid="{B198D024-6B6F-4967-BAE3-2BC94D932069}"/>
    <cellStyle name="20% - Accent1 4 3 3" xfId="5339" xr:uid="{00000000-0005-0000-0000-000082000000}"/>
    <cellStyle name="20% - Accent1 4 3 3 2" xfId="22222" xr:uid="{D8AE3B61-6944-4B16-8499-D5BD2495147A}"/>
    <cellStyle name="20% - Accent1 4 3 3 3" xfId="30668" xr:uid="{2810DD80-3582-425F-8C43-3185FD5DC4DA}"/>
    <cellStyle name="20% - Accent1 4 3 3 4" xfId="13781" xr:uid="{3296854E-8D8A-40C5-AD6B-56B864BB4D29}"/>
    <cellStyle name="20% - Accent1 4 3 4" xfId="18004" xr:uid="{BACCAEA0-84A8-49DF-8C0D-9C48727B0FB4}"/>
    <cellStyle name="20% - Accent1 4 3 5" xfId="26449" xr:uid="{25D13538-596C-4D9A-8712-10546202510B}"/>
    <cellStyle name="20% - Accent1 4 3 6" xfId="9563" xr:uid="{70860B0F-2D16-41C5-8832-7600A35619E4}"/>
    <cellStyle name="20% - Accent1 4 4" xfId="1444" xr:uid="{00000000-0005-0000-0000-000083000000}"/>
    <cellStyle name="20% - Accent1 4 4 2" xfId="3674" xr:uid="{00000000-0005-0000-0000-000084000000}"/>
    <cellStyle name="20% - Accent1 4 4 2 2" xfId="7897" xr:uid="{00000000-0005-0000-0000-000085000000}"/>
    <cellStyle name="20% - Accent1 4 4 2 2 2" xfId="24780" xr:uid="{E6CB3D55-5AD2-4876-BA22-00A9EEE3411D}"/>
    <cellStyle name="20% - Accent1 4 4 2 2 3" xfId="33226" xr:uid="{AF5ADAD7-03E8-4570-9177-6A69887ACE21}"/>
    <cellStyle name="20% - Accent1 4 4 2 2 4" xfId="16339" xr:uid="{82513589-E8A3-469B-AE5F-1C4512C3BEB2}"/>
    <cellStyle name="20% - Accent1 4 4 2 3" xfId="20562" xr:uid="{45EDE01A-5023-4BB2-BC2D-39AB7F4D915D}"/>
    <cellStyle name="20% - Accent1 4 4 2 4" xfId="29009" xr:uid="{8215BD08-00F1-48F0-A9E4-6993F0319C5F}"/>
    <cellStyle name="20% - Accent1 4 4 2 5" xfId="12121" xr:uid="{35C53E85-0BEB-428A-A514-452758A0B44A}"/>
    <cellStyle name="20% - Accent1 4 4 3" xfId="5752" xr:uid="{00000000-0005-0000-0000-000086000000}"/>
    <cellStyle name="20% - Accent1 4 4 3 2" xfId="22635" xr:uid="{D5944C32-ACE9-411E-9F3D-743B6E81C242}"/>
    <cellStyle name="20% - Accent1 4 4 3 3" xfId="31081" xr:uid="{0EDCE984-5FA4-4D61-B3FA-6761C6C1CBA0}"/>
    <cellStyle name="20% - Accent1 4 4 3 4" xfId="14194" xr:uid="{4CDC1DE3-09D9-40F1-AC3B-B1D9278DD569}"/>
    <cellStyle name="20% - Accent1 4 4 4" xfId="18417" xr:uid="{7864C61A-A453-46B3-849C-4B59DFCB5127}"/>
    <cellStyle name="20% - Accent1 4 4 5" xfId="26862" xr:uid="{F56BB289-ABBB-4BE4-99C1-7FF95DEBF766}"/>
    <cellStyle name="20% - Accent1 4 4 6" xfId="9976" xr:uid="{C8D1530E-B15F-440E-AAD2-68D8FBD626C5}"/>
    <cellStyle name="20% - Accent1 4 5" xfId="1858" xr:uid="{00000000-0005-0000-0000-000087000000}"/>
    <cellStyle name="20% - Accent1 4 5 2" xfId="4087" xr:uid="{00000000-0005-0000-0000-000088000000}"/>
    <cellStyle name="20% - Accent1 4 5 2 2" xfId="8310" xr:uid="{00000000-0005-0000-0000-000089000000}"/>
    <cellStyle name="20% - Accent1 4 5 2 2 2" xfId="25193" xr:uid="{9EA10830-285B-49C3-B4D1-F0F7AEFE497A}"/>
    <cellStyle name="20% - Accent1 4 5 2 2 3" xfId="33639" xr:uid="{C8B96681-1EA6-43D8-A06B-5591E3AEE428}"/>
    <cellStyle name="20% - Accent1 4 5 2 2 4" xfId="16752" xr:uid="{2597CDD2-D892-4B97-B5A6-8A25ACBD53FA}"/>
    <cellStyle name="20% - Accent1 4 5 2 3" xfId="20975" xr:uid="{0BD5149E-51C8-4430-9726-C9B5A2C3D237}"/>
    <cellStyle name="20% - Accent1 4 5 2 4" xfId="29422" xr:uid="{0490C4D4-B617-4511-9CCD-94A632A55507}"/>
    <cellStyle name="20% - Accent1 4 5 2 5" xfId="12534" xr:uid="{CDD40323-0106-4CA1-85D0-B474458028FF}"/>
    <cellStyle name="20% - Accent1 4 5 3" xfId="6165" xr:uid="{00000000-0005-0000-0000-00008A000000}"/>
    <cellStyle name="20% - Accent1 4 5 3 2" xfId="23048" xr:uid="{152AC541-1689-4FDF-8EB8-6BA1D09A7406}"/>
    <cellStyle name="20% - Accent1 4 5 3 3" xfId="31494" xr:uid="{ECBDDAF9-58BE-4977-9B63-E2BD62524934}"/>
    <cellStyle name="20% - Accent1 4 5 3 4" xfId="14607" xr:uid="{A6428FF2-0FE6-4C62-AE4D-7F82AAC2B5B2}"/>
    <cellStyle name="20% - Accent1 4 5 4" xfId="18830" xr:uid="{6EF16BEF-C052-4713-9307-68C3D9B33FF2}"/>
    <cellStyle name="20% - Accent1 4 5 5" xfId="27275" xr:uid="{01B9426A-C4FD-4D93-B300-FD39CA39EFEA}"/>
    <cellStyle name="20% - Accent1 4 5 6" xfId="10389" xr:uid="{E7581205-EDA4-407F-8AAF-050D3FCC1556}"/>
    <cellStyle name="20% - Accent1 4 6" xfId="2271" xr:uid="{00000000-0005-0000-0000-00008B000000}"/>
    <cellStyle name="20% - Accent1 4 6 2" xfId="6578" xr:uid="{00000000-0005-0000-0000-00008C000000}"/>
    <cellStyle name="20% - Accent1 4 6 2 2" xfId="23461" xr:uid="{0D907D08-4C6C-4A57-87D8-3C896D79C333}"/>
    <cellStyle name="20% - Accent1 4 6 2 3" xfId="31907" xr:uid="{BB9E4AFA-37CA-4F89-AABA-EFFEA10BEE85}"/>
    <cellStyle name="20% - Accent1 4 6 2 4" xfId="15020" xr:uid="{0F7C3B64-B0FB-4CD4-896C-D24F20BD8BEB}"/>
    <cellStyle name="20% - Accent1 4 6 3" xfId="19243" xr:uid="{48070CE5-5912-4D7E-952B-C5789CD68FA2}"/>
    <cellStyle name="20% - Accent1 4 6 4" xfId="27688" xr:uid="{C7B5D906-0993-404E-9FCB-8A84DC997DE4}"/>
    <cellStyle name="20% - Accent1 4 6 5" xfId="10802" xr:uid="{88FAF7CD-8EA4-4B83-8AEA-4535D2396FAC}"/>
    <cellStyle name="20% - Accent1 4 7" xfId="4512" xr:uid="{00000000-0005-0000-0000-00008D000000}"/>
    <cellStyle name="20% - Accent1 4 7 2" xfId="21395" xr:uid="{61B21CEA-5F84-45AA-A425-D06CBFAABFD4}"/>
    <cellStyle name="20% - Accent1 4 7 3" xfId="29841" xr:uid="{8E2C6C0F-332F-4C16-BA70-10DA7AC7C5C9}"/>
    <cellStyle name="20% - Accent1 4 7 4" xfId="12954" xr:uid="{8ACFC4F8-771D-4A80-A427-4EEBA861F289}"/>
    <cellStyle name="20% - Accent1 4 8" xfId="17177" xr:uid="{58C22E00-9DDC-4F77-9DE2-701E21E0F987}"/>
    <cellStyle name="20% - Accent1 4 9" xfId="25619" xr:uid="{FEE81387-1039-4332-8AAB-8DE5786C9DD8}"/>
    <cellStyle name="20% - Accent1 5" xfId="570" xr:uid="{00000000-0005-0000-0000-00008E000000}"/>
    <cellStyle name="20% - Accent1 5 2" xfId="2841" xr:uid="{00000000-0005-0000-0000-00008F000000}"/>
    <cellStyle name="20% - Accent1 5 2 2" xfId="7064" xr:uid="{00000000-0005-0000-0000-000090000000}"/>
    <cellStyle name="20% - Accent1 5 2 2 2" xfId="23947" xr:uid="{FF3D43C1-92C5-43C5-90BC-0CC161EE379E}"/>
    <cellStyle name="20% - Accent1 5 2 2 3" xfId="32393" xr:uid="{7B9F24AC-BF34-4ED3-B90C-B17FFBA866FF}"/>
    <cellStyle name="20% - Accent1 5 2 2 4" xfId="15506" xr:uid="{1B171F03-7889-4D10-9F44-390F610AC29A}"/>
    <cellStyle name="20% - Accent1 5 2 3" xfId="19729" xr:uid="{5DD7128C-3679-4141-B268-D7409DC87B5F}"/>
    <cellStyle name="20% - Accent1 5 2 4" xfId="28176" xr:uid="{9505D0B2-F112-4216-A62B-D4F7EA819E1A}"/>
    <cellStyle name="20% - Accent1 5 2 5" xfId="11288" xr:uid="{F5E9D45D-7555-4A41-A3F5-2B3002CC7293}"/>
    <cellStyle name="20% - Accent1 5 3" xfId="4919" xr:uid="{00000000-0005-0000-0000-000091000000}"/>
    <cellStyle name="20% - Accent1 5 3 2" xfId="21802" xr:uid="{F99CC6FD-543F-448C-AC0D-5675FB588E9A}"/>
    <cellStyle name="20% - Accent1 5 3 3" xfId="30248" xr:uid="{1617E99E-4FDE-4B47-8561-4331C87D943E}"/>
    <cellStyle name="20% - Accent1 5 3 4" xfId="13361" xr:uid="{68AB92F5-A7EC-458C-BAFB-A48F66EB3E09}"/>
    <cellStyle name="20% - Accent1 5 4" xfId="17584" xr:uid="{F3BD01F1-D937-490D-A5D0-1FCC82DA3332}"/>
    <cellStyle name="20% - Accent1 5 5" xfId="26029" xr:uid="{3DC3E5DE-5B7B-4A1B-A065-9E1A6185DCF2}"/>
    <cellStyle name="20% - Accent1 5 6" xfId="9143" xr:uid="{4616B23A-BFBE-4B9B-AC06-81AF1304545A}"/>
    <cellStyle name="20% - Accent1 6" xfId="1023" xr:uid="{00000000-0005-0000-0000-000092000000}"/>
    <cellStyle name="20% - Accent1 6 2" xfId="3254" xr:uid="{00000000-0005-0000-0000-000093000000}"/>
    <cellStyle name="20% - Accent1 6 2 2" xfId="7477" xr:uid="{00000000-0005-0000-0000-000094000000}"/>
    <cellStyle name="20% - Accent1 6 2 2 2" xfId="24360" xr:uid="{A5AE4D5F-EF82-40A5-B70A-D18A4E3C1CC7}"/>
    <cellStyle name="20% - Accent1 6 2 2 3" xfId="32806" xr:uid="{8446CF55-BF89-4800-B503-CA237F71028C}"/>
    <cellStyle name="20% - Accent1 6 2 2 4" xfId="15919" xr:uid="{E418E49E-E5F2-415A-BF78-30D7334C50DF}"/>
    <cellStyle name="20% - Accent1 6 2 3" xfId="20142" xr:uid="{5904E488-327E-4726-B9CE-A3C99102AD4A}"/>
    <cellStyle name="20% - Accent1 6 2 4" xfId="28589" xr:uid="{186C0023-832F-4BA9-85F4-D54A8C7BAE18}"/>
    <cellStyle name="20% - Accent1 6 2 5" xfId="11701" xr:uid="{BB30014C-9DC7-488A-B785-156D0EB03A98}"/>
    <cellStyle name="20% - Accent1 6 3" xfId="5332" xr:uid="{00000000-0005-0000-0000-000095000000}"/>
    <cellStyle name="20% - Accent1 6 3 2" xfId="22215" xr:uid="{4699BCD8-FAEF-4CE2-A793-6425764F2BAA}"/>
    <cellStyle name="20% - Accent1 6 3 3" xfId="30661" xr:uid="{7D0A8D91-CF05-4DD0-972F-153EA5831301}"/>
    <cellStyle name="20% - Accent1 6 3 4" xfId="13774" xr:uid="{83DAF082-0628-4CF5-8DA3-C62BF031BFD2}"/>
    <cellStyle name="20% - Accent1 6 4" xfId="17997" xr:uid="{5905E692-A656-4654-A67D-88E8147BEB1D}"/>
    <cellStyle name="20% - Accent1 6 5" xfId="26442" xr:uid="{5E487A70-AA01-4ED5-A8BC-E32A1DC4D32B}"/>
    <cellStyle name="20% - Accent1 6 6" xfId="9556" xr:uid="{7DE523A1-7C3B-49D8-853A-62C8F9B863D0}"/>
    <cellStyle name="20% - Accent1 7" xfId="1437" xr:uid="{00000000-0005-0000-0000-000096000000}"/>
    <cellStyle name="20% - Accent1 7 2" xfId="3667" xr:uid="{00000000-0005-0000-0000-000097000000}"/>
    <cellStyle name="20% - Accent1 7 2 2" xfId="7890" xr:uid="{00000000-0005-0000-0000-000098000000}"/>
    <cellStyle name="20% - Accent1 7 2 2 2" xfId="24773" xr:uid="{6BC7DA8A-C9D7-440F-AD82-1652891A6802}"/>
    <cellStyle name="20% - Accent1 7 2 2 3" xfId="33219" xr:uid="{855C9BA8-0CF7-4A1D-9B83-3C8FCB1DE346}"/>
    <cellStyle name="20% - Accent1 7 2 2 4" xfId="16332" xr:uid="{819CCC79-C69F-4DA8-93DA-8D2A31B0A1C4}"/>
    <cellStyle name="20% - Accent1 7 2 3" xfId="20555" xr:uid="{CF1287F5-ABE5-45C7-9EC0-8973B6A8E4B6}"/>
    <cellStyle name="20% - Accent1 7 2 4" xfId="29002" xr:uid="{2EDEB0A3-835D-443C-81CF-8B9BDB39A5E1}"/>
    <cellStyle name="20% - Accent1 7 2 5" xfId="12114" xr:uid="{846344C1-76CF-4144-9608-EAB264BD5EE7}"/>
    <cellStyle name="20% - Accent1 7 3" xfId="5745" xr:uid="{00000000-0005-0000-0000-000099000000}"/>
    <cellStyle name="20% - Accent1 7 3 2" xfId="22628" xr:uid="{A549F9A8-376F-49D5-A42C-7EF2875F12D3}"/>
    <cellStyle name="20% - Accent1 7 3 3" xfId="31074" xr:uid="{EDBEB900-1380-425A-A7C0-8DD4933B99A9}"/>
    <cellStyle name="20% - Accent1 7 3 4" xfId="14187" xr:uid="{DA28FBA6-3791-4F30-9841-FECDB00B6F56}"/>
    <cellStyle name="20% - Accent1 7 4" xfId="18410" xr:uid="{1775C1FE-877B-42DF-9BEE-9669BB3BD8A8}"/>
    <cellStyle name="20% - Accent1 7 5" xfId="26855" xr:uid="{CBD9E25F-5E6E-43C7-8C8C-4CD40EEB07C5}"/>
    <cellStyle name="20% - Accent1 7 6" xfId="9969" xr:uid="{BF084A8D-0BE0-4486-81A0-457162DE0D9E}"/>
    <cellStyle name="20% - Accent1 8" xfId="1851" xr:uid="{00000000-0005-0000-0000-00009A000000}"/>
    <cellStyle name="20% - Accent1 8 2" xfId="4080" xr:uid="{00000000-0005-0000-0000-00009B000000}"/>
    <cellStyle name="20% - Accent1 8 2 2" xfId="8303" xr:uid="{00000000-0005-0000-0000-00009C000000}"/>
    <cellStyle name="20% - Accent1 8 2 2 2" xfId="25186" xr:uid="{7201DB33-20DF-4877-9BD2-A2AF3CA4BE05}"/>
    <cellStyle name="20% - Accent1 8 2 2 3" xfId="33632" xr:uid="{290EF942-655B-4D4C-994E-FD40CB95E49F}"/>
    <cellStyle name="20% - Accent1 8 2 2 4" xfId="16745" xr:uid="{2B1EB869-77EE-4AE3-8F3E-72571434DF2A}"/>
    <cellStyle name="20% - Accent1 8 2 3" xfId="20968" xr:uid="{E1913C72-5E3C-4968-9044-EB9EB5B983EB}"/>
    <cellStyle name="20% - Accent1 8 2 4" xfId="29415" xr:uid="{A3483167-D9C3-4495-9B87-9CB293E725FD}"/>
    <cellStyle name="20% - Accent1 8 2 5" xfId="12527" xr:uid="{89224249-4FB0-40F3-9537-FDA8A66019A0}"/>
    <cellStyle name="20% - Accent1 8 3" xfId="6158" xr:uid="{00000000-0005-0000-0000-00009D000000}"/>
    <cellStyle name="20% - Accent1 8 3 2" xfId="23041" xr:uid="{1D8E8AD1-A84E-410A-ADA9-A034F66B012C}"/>
    <cellStyle name="20% - Accent1 8 3 3" xfId="31487" xr:uid="{ECCDB617-8110-4350-96B7-E15270F763E7}"/>
    <cellStyle name="20% - Accent1 8 3 4" xfId="14600" xr:uid="{EC705999-B04C-4794-A4F4-1B0EDA65E451}"/>
    <cellStyle name="20% - Accent1 8 4" xfId="18823" xr:uid="{9CC8A5E5-296B-4CFE-ABA3-CD6DD0B9520C}"/>
    <cellStyle name="20% - Accent1 8 5" xfId="27268" xr:uid="{14C117A4-D004-43FA-8666-7CBE424273BC}"/>
    <cellStyle name="20% - Accent1 8 6" xfId="10382" xr:uid="{D078A552-316B-4334-9D19-5D254BFD612F}"/>
    <cellStyle name="20% - Accent1 9" xfId="2264" xr:uid="{00000000-0005-0000-0000-00009E000000}"/>
    <cellStyle name="20% - Accent1 9 2" xfId="6571" xr:uid="{00000000-0005-0000-0000-00009F000000}"/>
    <cellStyle name="20% - Accent1 9 2 2" xfId="23454" xr:uid="{938B044D-D3F6-4223-B1CF-B89F28A4A657}"/>
    <cellStyle name="20% - Accent1 9 2 3" xfId="31900" xr:uid="{85C9A8EC-B963-465A-8ED0-E903FFFBC9EB}"/>
    <cellStyle name="20% - Accent1 9 2 4" xfId="15013" xr:uid="{ED037CB4-3D8C-42F5-98C0-95B5F2D80290}"/>
    <cellStyle name="20% - Accent1 9 3" xfId="19236" xr:uid="{86BFDCEC-E82A-447D-BA46-A7FEBCF739E3}"/>
    <cellStyle name="20% - Accent1 9 4" xfId="27681" xr:uid="{E1697A6B-5E29-4146-8EAF-FF1F5B0C343A}"/>
    <cellStyle name="20% - Accent1 9 5" xfId="10795" xr:uid="{EEC76347-AFF0-4562-AC82-F0CB6C100DE8}"/>
    <cellStyle name="20% - Accent2" xfId="9" builtinId="34" customBuiltin="1"/>
    <cellStyle name="20% - Accent2 10" xfId="4513" xr:uid="{00000000-0005-0000-0000-0000A1000000}"/>
    <cellStyle name="20% - Accent2 10 2" xfId="21396" xr:uid="{4191D5A9-67D1-4BF4-8FB5-7D755854F374}"/>
    <cellStyle name="20% - Accent2 10 3" xfId="29842" xr:uid="{EB92B78F-1178-4880-AAF0-BC8FD8ACEF2F}"/>
    <cellStyle name="20% - Accent2 10 4" xfId="12955" xr:uid="{DFB7A79B-60B6-4E19-B30E-66816EFEFC26}"/>
    <cellStyle name="20% - Accent2 11" xfId="17178" xr:uid="{500E3CDA-55D0-4CF8-B772-29E9F237513E}"/>
    <cellStyle name="20% - Accent2 12" xfId="25620" xr:uid="{4C8EF5D4-2275-4341-AFBD-26059C297D61}"/>
    <cellStyle name="20% - Accent2 13" xfId="8737" xr:uid="{20090E8E-BD60-46CC-8703-33E57BF025AF}"/>
    <cellStyle name="20% - Accent2 2" xfId="10" xr:uid="{00000000-0005-0000-0000-0000A2000000}"/>
    <cellStyle name="20% - Accent2 2 10" xfId="17179" xr:uid="{27900DE2-2153-429A-9B9C-E7565BA23E83}"/>
    <cellStyle name="20% - Accent2 2 11" xfId="25621" xr:uid="{B7A5A860-94BD-42EE-8D36-6FBDD619ED99}"/>
    <cellStyle name="20% - Accent2 2 12" xfId="8738" xr:uid="{B77D44E4-A37E-408E-816F-41DC99C16CFF}"/>
    <cellStyle name="20% - Accent2 2 2" xfId="11" xr:uid="{00000000-0005-0000-0000-0000A3000000}"/>
    <cellStyle name="20% - Accent2 2 2 10" xfId="25622" xr:uid="{12E70CD3-8E3A-46E1-B435-1642FA34A0F6}"/>
    <cellStyle name="20% - Accent2 2 2 11" xfId="8739" xr:uid="{2FF1E48A-E456-4F62-8DBB-F486691B6247}"/>
    <cellStyle name="20% - Accent2 2 2 2" xfId="12" xr:uid="{00000000-0005-0000-0000-0000A4000000}"/>
    <cellStyle name="20% - Accent2 2 2 2 10" xfId="8740" xr:uid="{F2039777-1DD1-482F-B6D4-605E4145CACC}"/>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23958" xr:uid="{9C7771E0-C32D-4046-8E85-F10A888E32E1}"/>
    <cellStyle name="20% - Accent2 2 2 2 2 2 2 3" xfId="32404" xr:uid="{421486E4-17BC-4564-8C87-FDEAA807E224}"/>
    <cellStyle name="20% - Accent2 2 2 2 2 2 2 4" xfId="15517" xr:uid="{363ADCB0-02BC-4160-97BE-9D14A270674F}"/>
    <cellStyle name="20% - Accent2 2 2 2 2 2 3" xfId="19740" xr:uid="{3AB674DD-4B76-4AA3-88EA-F3C7CE072798}"/>
    <cellStyle name="20% - Accent2 2 2 2 2 2 4" xfId="28187" xr:uid="{6E3B5E33-CB87-49AF-B7F5-24FB813668AC}"/>
    <cellStyle name="20% - Accent2 2 2 2 2 2 5" xfId="11299" xr:uid="{66116E5C-9207-4B89-8471-42ADBD8AF3D0}"/>
    <cellStyle name="20% - Accent2 2 2 2 2 3" xfId="4930" xr:uid="{00000000-0005-0000-0000-0000A8000000}"/>
    <cellStyle name="20% - Accent2 2 2 2 2 3 2" xfId="21813" xr:uid="{5DFC0731-7B4C-47B2-8A0D-0F6B3387C32E}"/>
    <cellStyle name="20% - Accent2 2 2 2 2 3 3" xfId="30259" xr:uid="{45E37E13-E0C2-42CA-96BF-A6CB0885BA2F}"/>
    <cellStyle name="20% - Accent2 2 2 2 2 3 4" xfId="13372" xr:uid="{D4E9ECA8-2D97-4D42-8697-2F8AC5419066}"/>
    <cellStyle name="20% - Accent2 2 2 2 2 4" xfId="17595" xr:uid="{6B1D9720-1B1E-49E3-A5A2-FDF5A9E43F84}"/>
    <cellStyle name="20% - Accent2 2 2 2 2 5" xfId="26040" xr:uid="{EE60BF48-24DB-4FFF-BB70-DA4A109EF6EA}"/>
    <cellStyle name="20% - Accent2 2 2 2 2 6" xfId="9154" xr:uid="{A53980BA-7999-4303-9337-7D63D21CC777}"/>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24371" xr:uid="{8505D1A2-C918-4B28-B89E-FD9EB5EF49CF}"/>
    <cellStyle name="20% - Accent2 2 2 2 3 2 2 3" xfId="32817" xr:uid="{45FFD66C-3C9A-4ADF-8920-271C20D8CBA8}"/>
    <cellStyle name="20% - Accent2 2 2 2 3 2 2 4" xfId="15930" xr:uid="{E070743A-2CFE-4AD4-8EEA-AAE40EA2F204}"/>
    <cellStyle name="20% - Accent2 2 2 2 3 2 3" xfId="20153" xr:uid="{AC93033F-9C27-47E9-BD66-F3A9C9E5AB83}"/>
    <cellStyle name="20% - Accent2 2 2 2 3 2 4" xfId="28600" xr:uid="{8DD3DF9C-8976-42CD-8CD0-79BCAF503467}"/>
    <cellStyle name="20% - Accent2 2 2 2 3 2 5" xfId="11712" xr:uid="{5E3DAF85-1946-4832-AA71-47903426858F}"/>
    <cellStyle name="20% - Accent2 2 2 2 3 3" xfId="5343" xr:uid="{00000000-0005-0000-0000-0000AC000000}"/>
    <cellStyle name="20% - Accent2 2 2 2 3 3 2" xfId="22226" xr:uid="{AFC9DE28-93E4-4729-8EDE-1C1B504341AC}"/>
    <cellStyle name="20% - Accent2 2 2 2 3 3 3" xfId="30672" xr:uid="{B00AB241-02A6-4ADB-BEEB-86748DE60FA5}"/>
    <cellStyle name="20% - Accent2 2 2 2 3 3 4" xfId="13785" xr:uid="{D4C4CC45-25B8-4196-9058-E13280745940}"/>
    <cellStyle name="20% - Accent2 2 2 2 3 4" xfId="18008" xr:uid="{F79CB632-F04F-4FC1-9FD3-8CE23CF60CC1}"/>
    <cellStyle name="20% - Accent2 2 2 2 3 5" xfId="26453" xr:uid="{A22FE2F1-595A-4D99-9A11-621E159C4A88}"/>
    <cellStyle name="20% - Accent2 2 2 2 3 6" xfId="9567" xr:uid="{23F2A9CF-B7BD-40C6-99C7-7C9C9F191F32}"/>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24784" xr:uid="{2EAEB6AC-2F37-4DA1-B4BD-3A08B7DE8555}"/>
    <cellStyle name="20% - Accent2 2 2 2 4 2 2 3" xfId="33230" xr:uid="{74ABDA4F-2FDF-4188-8D8B-4790C041CD49}"/>
    <cellStyle name="20% - Accent2 2 2 2 4 2 2 4" xfId="16343" xr:uid="{4497A38F-44DE-4BE9-8400-28F1E6B03959}"/>
    <cellStyle name="20% - Accent2 2 2 2 4 2 3" xfId="20566" xr:uid="{803C020C-65FD-47C2-BC32-B2BFDCD876BF}"/>
    <cellStyle name="20% - Accent2 2 2 2 4 2 4" xfId="29013" xr:uid="{E7062424-8DB5-41E5-B2E3-415FC714C46D}"/>
    <cellStyle name="20% - Accent2 2 2 2 4 2 5" xfId="12125" xr:uid="{C7E9ED0C-02A8-4966-BD4D-6DEDC452E79E}"/>
    <cellStyle name="20% - Accent2 2 2 2 4 3" xfId="5756" xr:uid="{00000000-0005-0000-0000-0000B0000000}"/>
    <cellStyle name="20% - Accent2 2 2 2 4 3 2" xfId="22639" xr:uid="{96A44EE6-941A-41D6-AACB-25B5C98AA9E2}"/>
    <cellStyle name="20% - Accent2 2 2 2 4 3 3" xfId="31085" xr:uid="{59D67201-0EC5-4870-8F67-1CC466A161A9}"/>
    <cellStyle name="20% - Accent2 2 2 2 4 3 4" xfId="14198" xr:uid="{795CCE04-0528-4A5C-99D5-CCEEA84D819B}"/>
    <cellStyle name="20% - Accent2 2 2 2 4 4" xfId="18421" xr:uid="{4A0B5F44-044B-4917-9255-B70E2FEDC540}"/>
    <cellStyle name="20% - Accent2 2 2 2 4 5" xfId="26866" xr:uid="{FA6C199D-7083-4632-922D-4E4B3814D25C}"/>
    <cellStyle name="20% - Accent2 2 2 2 4 6" xfId="9980" xr:uid="{C9E717E1-A5AA-40E0-83CC-79971245A45A}"/>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25197" xr:uid="{D0596B23-5CF3-455A-888D-CEB87BC9E621}"/>
    <cellStyle name="20% - Accent2 2 2 2 5 2 2 3" xfId="33643" xr:uid="{3CC6DFC7-FF2B-4D06-AC0B-9340FED5B4C5}"/>
    <cellStyle name="20% - Accent2 2 2 2 5 2 2 4" xfId="16756" xr:uid="{650C6A2E-E469-4FE0-B9A4-9E1F4CD4ADD7}"/>
    <cellStyle name="20% - Accent2 2 2 2 5 2 3" xfId="20979" xr:uid="{3A2B12A1-7D03-4C4E-950E-825404B8534C}"/>
    <cellStyle name="20% - Accent2 2 2 2 5 2 4" xfId="29426" xr:uid="{F58A052E-9A28-4492-8520-FE3EE182CA88}"/>
    <cellStyle name="20% - Accent2 2 2 2 5 2 5" xfId="12538" xr:uid="{C466D54E-9847-468A-B0BB-2439A7AB67E8}"/>
    <cellStyle name="20% - Accent2 2 2 2 5 3" xfId="6169" xr:uid="{00000000-0005-0000-0000-0000B4000000}"/>
    <cellStyle name="20% - Accent2 2 2 2 5 3 2" xfId="23052" xr:uid="{CFF380A1-5B79-417D-99B6-295F80AB8FA3}"/>
    <cellStyle name="20% - Accent2 2 2 2 5 3 3" xfId="31498" xr:uid="{AB49A7D7-B0E2-4619-97C6-64FED621FDCD}"/>
    <cellStyle name="20% - Accent2 2 2 2 5 3 4" xfId="14611" xr:uid="{F5B6311A-5F9E-422D-9A61-D0208B5BECD0}"/>
    <cellStyle name="20% - Accent2 2 2 2 5 4" xfId="18834" xr:uid="{0D3C361C-A06D-442A-97C8-56BDDEE4B265}"/>
    <cellStyle name="20% - Accent2 2 2 2 5 5" xfId="27279" xr:uid="{A9CEBCDE-3DC2-41AC-AA3E-611AEB6EB96E}"/>
    <cellStyle name="20% - Accent2 2 2 2 5 6" xfId="10393" xr:uid="{639AE31B-0156-4B7B-BAB2-F25A285CDEDF}"/>
    <cellStyle name="20% - Accent2 2 2 2 6" xfId="2275" xr:uid="{00000000-0005-0000-0000-0000B5000000}"/>
    <cellStyle name="20% - Accent2 2 2 2 6 2" xfId="6582" xr:uid="{00000000-0005-0000-0000-0000B6000000}"/>
    <cellStyle name="20% - Accent2 2 2 2 6 2 2" xfId="23465" xr:uid="{8FA4F3F6-09EE-4C69-BD77-22D80FAC1DA7}"/>
    <cellStyle name="20% - Accent2 2 2 2 6 2 3" xfId="31911" xr:uid="{A798D27E-4934-4596-8B57-B8D7B6CC65B7}"/>
    <cellStyle name="20% - Accent2 2 2 2 6 2 4" xfId="15024" xr:uid="{34337BCF-CF80-463E-8450-DA2C1145269D}"/>
    <cellStyle name="20% - Accent2 2 2 2 6 3" xfId="19247" xr:uid="{73FAA428-B4D1-4F8C-8788-F85D7DEDA120}"/>
    <cellStyle name="20% - Accent2 2 2 2 6 4" xfId="27692" xr:uid="{ADC10383-E758-4099-870D-22B66713397B}"/>
    <cellStyle name="20% - Accent2 2 2 2 6 5" xfId="10806" xr:uid="{34F35F04-0B93-4E1E-A458-698A04C36AD2}"/>
    <cellStyle name="20% - Accent2 2 2 2 7" xfId="4516" xr:uid="{00000000-0005-0000-0000-0000B7000000}"/>
    <cellStyle name="20% - Accent2 2 2 2 7 2" xfId="21399" xr:uid="{512A4536-E65F-49D1-A644-7D84CBC18DF1}"/>
    <cellStyle name="20% - Accent2 2 2 2 7 3" xfId="29845" xr:uid="{A98F6284-BC66-4B47-8ECD-BDC4F5429BE5}"/>
    <cellStyle name="20% - Accent2 2 2 2 7 4" xfId="12958" xr:uid="{28B0A434-14F7-498C-BBD0-6AFE8327CAA9}"/>
    <cellStyle name="20% - Accent2 2 2 2 8" xfId="17181" xr:uid="{17463EE7-6C11-42F3-8365-E72C4F8DB87C}"/>
    <cellStyle name="20% - Accent2 2 2 2 9" xfId="25623" xr:uid="{A8A5B6E8-1249-4576-911F-DF79FCFBE67B}"/>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23957" xr:uid="{47EB1B7C-A387-4718-AE58-12FCFF709C9F}"/>
    <cellStyle name="20% - Accent2 2 2 3 2 2 3" xfId="32403" xr:uid="{55498D02-54B9-4F55-A0A2-34090E737B6D}"/>
    <cellStyle name="20% - Accent2 2 2 3 2 2 4" xfId="15516" xr:uid="{3EA6D676-0AA2-4787-9A99-1D4AFC6F276C}"/>
    <cellStyle name="20% - Accent2 2 2 3 2 3" xfId="19739" xr:uid="{A8B19BC8-9A05-41ED-BA6E-F00B12F088C0}"/>
    <cellStyle name="20% - Accent2 2 2 3 2 4" xfId="28186" xr:uid="{B39E5DC6-8383-442A-8F2A-3D3A3881AA36}"/>
    <cellStyle name="20% - Accent2 2 2 3 2 5" xfId="11298" xr:uid="{A1D029A0-04F8-45A8-B0FB-FBB8693A64F9}"/>
    <cellStyle name="20% - Accent2 2 2 3 3" xfId="4929" xr:uid="{00000000-0005-0000-0000-0000BB000000}"/>
    <cellStyle name="20% - Accent2 2 2 3 3 2" xfId="21812" xr:uid="{6DF766D3-3FD8-4F33-9E31-C6DE959305E7}"/>
    <cellStyle name="20% - Accent2 2 2 3 3 3" xfId="30258" xr:uid="{76A7C70E-9BDA-41C9-91B4-D5AF19BF5AF3}"/>
    <cellStyle name="20% - Accent2 2 2 3 3 4" xfId="13371" xr:uid="{CF93F10F-CFBC-4B20-BE8F-A921E58BE529}"/>
    <cellStyle name="20% - Accent2 2 2 3 4" xfId="17594" xr:uid="{EBE90EA9-9697-48EB-8A35-0D8E4FA8891F}"/>
    <cellStyle name="20% - Accent2 2 2 3 5" xfId="26039" xr:uid="{1183DA87-1F59-4E99-A2EA-E039B260ED77}"/>
    <cellStyle name="20% - Accent2 2 2 3 6" xfId="9153" xr:uid="{7FD1046D-ACBC-4591-B9A2-C6AEB48D4A25}"/>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24370" xr:uid="{83C1DF28-4AE7-4E70-B098-FD997CDA5544}"/>
    <cellStyle name="20% - Accent2 2 2 4 2 2 3" xfId="32816" xr:uid="{51EAF239-CB3A-40D4-8CA4-462C3EA06D1A}"/>
    <cellStyle name="20% - Accent2 2 2 4 2 2 4" xfId="15929" xr:uid="{A397EDB6-A6D5-40C0-B96E-7013742BBE0C}"/>
    <cellStyle name="20% - Accent2 2 2 4 2 3" xfId="20152" xr:uid="{99A69133-4AB4-44A4-9E5B-B273326A1D48}"/>
    <cellStyle name="20% - Accent2 2 2 4 2 4" xfId="28599" xr:uid="{A00FBBB6-49EF-4F31-8D4C-EBA306275D72}"/>
    <cellStyle name="20% - Accent2 2 2 4 2 5" xfId="11711" xr:uid="{057F1343-BC58-4A2B-9634-C7BDFFFF036C}"/>
    <cellStyle name="20% - Accent2 2 2 4 3" xfId="5342" xr:uid="{00000000-0005-0000-0000-0000BF000000}"/>
    <cellStyle name="20% - Accent2 2 2 4 3 2" xfId="22225" xr:uid="{3802FFD1-3175-4071-90AB-7A476B0F3C59}"/>
    <cellStyle name="20% - Accent2 2 2 4 3 3" xfId="30671" xr:uid="{CCB96957-8FC0-48C1-9C1F-330804E68FD6}"/>
    <cellStyle name="20% - Accent2 2 2 4 3 4" xfId="13784" xr:uid="{B9372A64-4293-4073-A6DF-BA9CD878A903}"/>
    <cellStyle name="20% - Accent2 2 2 4 4" xfId="18007" xr:uid="{E79F7E30-BBDD-40EE-B250-9896D3BF57BC}"/>
    <cellStyle name="20% - Accent2 2 2 4 5" xfId="26452" xr:uid="{1B646BCF-13D1-4DF2-A095-2E170D4DD8B8}"/>
    <cellStyle name="20% - Accent2 2 2 4 6" xfId="9566" xr:uid="{0D99EDC9-0A07-45CB-858A-AC4902B7B34E}"/>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24783" xr:uid="{4128C758-3800-41DA-8407-7CAC231B1462}"/>
    <cellStyle name="20% - Accent2 2 2 5 2 2 3" xfId="33229" xr:uid="{4F6260F9-5848-47A7-BCA9-578C21A3FB64}"/>
    <cellStyle name="20% - Accent2 2 2 5 2 2 4" xfId="16342" xr:uid="{D5803AA3-DCA0-458B-9A99-231D0F4F4657}"/>
    <cellStyle name="20% - Accent2 2 2 5 2 3" xfId="20565" xr:uid="{EF56E824-853D-40BE-A453-BB71C4B67470}"/>
    <cellStyle name="20% - Accent2 2 2 5 2 4" xfId="29012" xr:uid="{68022E8C-EC61-4538-A550-3624A2CD7A84}"/>
    <cellStyle name="20% - Accent2 2 2 5 2 5" xfId="12124" xr:uid="{D359964A-111B-46ED-AB3E-83000C23BD20}"/>
    <cellStyle name="20% - Accent2 2 2 5 3" xfId="5755" xr:uid="{00000000-0005-0000-0000-0000C3000000}"/>
    <cellStyle name="20% - Accent2 2 2 5 3 2" xfId="22638" xr:uid="{1BD856CA-F73C-4373-9A44-5F6A96DB139A}"/>
    <cellStyle name="20% - Accent2 2 2 5 3 3" xfId="31084" xr:uid="{8903B0C7-5E1B-4DFA-AF6B-4BFD1947090B}"/>
    <cellStyle name="20% - Accent2 2 2 5 3 4" xfId="14197" xr:uid="{D12DCD46-DFC2-4ED7-805A-C986B8CC7CC6}"/>
    <cellStyle name="20% - Accent2 2 2 5 4" xfId="18420" xr:uid="{D0B74802-02F1-43F1-99BB-C701A401F4DC}"/>
    <cellStyle name="20% - Accent2 2 2 5 5" xfId="26865" xr:uid="{D68479E2-CC70-410E-B478-0434F0C2F995}"/>
    <cellStyle name="20% - Accent2 2 2 5 6" xfId="9979" xr:uid="{08F757B1-DD06-4D0B-B038-4523EE5588F9}"/>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25196" xr:uid="{E5756AE4-615E-485E-9B7E-AA749D23F4AD}"/>
    <cellStyle name="20% - Accent2 2 2 6 2 2 3" xfId="33642" xr:uid="{FB154B3A-1FC0-47DE-A3F0-779C4BD49DE5}"/>
    <cellStyle name="20% - Accent2 2 2 6 2 2 4" xfId="16755" xr:uid="{A9D68F71-D953-4BEC-B4AF-C8DFDB8E6C3B}"/>
    <cellStyle name="20% - Accent2 2 2 6 2 3" xfId="20978" xr:uid="{71A8746A-AAA0-478A-9D09-E5C2C14FF3CD}"/>
    <cellStyle name="20% - Accent2 2 2 6 2 4" xfId="29425" xr:uid="{BBEA0BAB-92C4-4C3E-9CFE-0E95A9DB6BDD}"/>
    <cellStyle name="20% - Accent2 2 2 6 2 5" xfId="12537" xr:uid="{A4775502-5DFE-450B-B3BC-4B3DE5E7C18E}"/>
    <cellStyle name="20% - Accent2 2 2 6 3" xfId="6168" xr:uid="{00000000-0005-0000-0000-0000C7000000}"/>
    <cellStyle name="20% - Accent2 2 2 6 3 2" xfId="23051" xr:uid="{3A45DA7A-50B4-497C-A499-7DB68F344AE7}"/>
    <cellStyle name="20% - Accent2 2 2 6 3 3" xfId="31497" xr:uid="{594A6D9A-3F5C-4DDF-B3C0-12DC4D39CE35}"/>
    <cellStyle name="20% - Accent2 2 2 6 3 4" xfId="14610" xr:uid="{C613FF7C-8F62-4C20-99D4-7F07FFAA8891}"/>
    <cellStyle name="20% - Accent2 2 2 6 4" xfId="18833" xr:uid="{2FD6A53B-188C-4E39-862B-A4D638226BEF}"/>
    <cellStyle name="20% - Accent2 2 2 6 5" xfId="27278" xr:uid="{6B6C77B1-93B9-46FD-81C9-1ADF014C97A9}"/>
    <cellStyle name="20% - Accent2 2 2 6 6" xfId="10392" xr:uid="{AE7AC80F-49B1-4AE7-BE65-D108F7BE90A1}"/>
    <cellStyle name="20% - Accent2 2 2 7" xfId="2274" xr:uid="{00000000-0005-0000-0000-0000C8000000}"/>
    <cellStyle name="20% - Accent2 2 2 7 2" xfId="6581" xr:uid="{00000000-0005-0000-0000-0000C9000000}"/>
    <cellStyle name="20% - Accent2 2 2 7 2 2" xfId="23464" xr:uid="{4BCADE86-528A-4730-92B8-E85092F128E5}"/>
    <cellStyle name="20% - Accent2 2 2 7 2 3" xfId="31910" xr:uid="{EB4343BB-9A55-443B-8F1A-64AF7AD2508F}"/>
    <cellStyle name="20% - Accent2 2 2 7 2 4" xfId="15023" xr:uid="{EC139B83-D029-458A-873C-3E93ACADA761}"/>
    <cellStyle name="20% - Accent2 2 2 7 3" xfId="19246" xr:uid="{08AD2033-F622-4040-8DB3-6BE35477B31F}"/>
    <cellStyle name="20% - Accent2 2 2 7 4" xfId="27691" xr:uid="{201B2389-02B6-4E86-A227-8618D83E52B2}"/>
    <cellStyle name="20% - Accent2 2 2 7 5" xfId="10805" xr:uid="{A7BB4FA7-2532-4918-B8CA-954BDFE351E6}"/>
    <cellStyle name="20% - Accent2 2 2 8" xfId="4515" xr:uid="{00000000-0005-0000-0000-0000CA000000}"/>
    <cellStyle name="20% - Accent2 2 2 8 2" xfId="21398" xr:uid="{4716D67E-A0F9-4450-B2B1-5701C3CEAE0A}"/>
    <cellStyle name="20% - Accent2 2 2 8 3" xfId="29844" xr:uid="{11FBDE41-E10E-4125-9CFB-35652A630BF6}"/>
    <cellStyle name="20% - Accent2 2 2 8 4" xfId="12957" xr:uid="{9C979EED-A96A-488C-AC39-37F9D1DC8BAE}"/>
    <cellStyle name="20% - Accent2 2 2 9" xfId="17180" xr:uid="{D9AED849-DDCE-4990-AC66-D82DC6226B52}"/>
    <cellStyle name="20% - Accent2 2 3" xfId="13" xr:uid="{00000000-0005-0000-0000-0000CB000000}"/>
    <cellStyle name="20% - Accent2 2 3 10" xfId="8741" xr:uid="{2803984F-1635-469A-86CC-9DD14B7DBBA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23959" xr:uid="{624776DA-6D93-45F8-9187-96E20381F61D}"/>
    <cellStyle name="20% - Accent2 2 3 2 2 2 3" xfId="32405" xr:uid="{ABDB01E7-96EC-492E-90F2-14D52991D906}"/>
    <cellStyle name="20% - Accent2 2 3 2 2 2 4" xfId="15518" xr:uid="{9FB1AD18-F744-4C4C-AAE1-4C744E065ED3}"/>
    <cellStyle name="20% - Accent2 2 3 2 2 3" xfId="19741" xr:uid="{822D32D5-FFCF-41E8-8C50-7622E0F9D84E}"/>
    <cellStyle name="20% - Accent2 2 3 2 2 4" xfId="28188" xr:uid="{78501CD9-C243-41A8-85BF-08EAE7A0F8FA}"/>
    <cellStyle name="20% - Accent2 2 3 2 2 5" xfId="11300" xr:uid="{6D393F8B-8EF6-4F4E-AE29-D4BB2F750A47}"/>
    <cellStyle name="20% - Accent2 2 3 2 3" xfId="4931" xr:uid="{00000000-0005-0000-0000-0000CF000000}"/>
    <cellStyle name="20% - Accent2 2 3 2 3 2" xfId="21814" xr:uid="{FDF1C835-3166-407B-9C6B-2C2F83541D4F}"/>
    <cellStyle name="20% - Accent2 2 3 2 3 3" xfId="30260" xr:uid="{62AF45F3-D5B3-42B7-A1A0-A919C147EAE9}"/>
    <cellStyle name="20% - Accent2 2 3 2 3 4" xfId="13373" xr:uid="{24CE511C-1F70-44F7-945D-AB4D7CDAFF1C}"/>
    <cellStyle name="20% - Accent2 2 3 2 4" xfId="17596" xr:uid="{50EDCC83-606E-4C41-B657-DBC239C059FC}"/>
    <cellStyle name="20% - Accent2 2 3 2 5" xfId="26041" xr:uid="{835ABDE1-B3D5-40FA-89C5-24F54A286909}"/>
    <cellStyle name="20% - Accent2 2 3 2 6" xfId="9155" xr:uid="{1AE97E86-BA3A-407A-A3A9-7A704DA94B5D}"/>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24372" xr:uid="{9FBB4A9D-200B-4C25-905E-3FAF6204F736}"/>
    <cellStyle name="20% - Accent2 2 3 3 2 2 3" xfId="32818" xr:uid="{12C8F353-7945-4BE0-B3F2-A8E6AFE4C6F4}"/>
    <cellStyle name="20% - Accent2 2 3 3 2 2 4" xfId="15931" xr:uid="{8458BCC6-5609-4D3D-BEC6-1D59B5843AE9}"/>
    <cellStyle name="20% - Accent2 2 3 3 2 3" xfId="20154" xr:uid="{51A06302-8E2C-4945-8CCE-A911C523BFD4}"/>
    <cellStyle name="20% - Accent2 2 3 3 2 4" xfId="28601" xr:uid="{045F54DB-9CDD-41F0-BF19-7787E53EF301}"/>
    <cellStyle name="20% - Accent2 2 3 3 2 5" xfId="11713" xr:uid="{153544E9-5FEC-4038-9540-CB8BE87B4146}"/>
    <cellStyle name="20% - Accent2 2 3 3 3" xfId="5344" xr:uid="{00000000-0005-0000-0000-0000D3000000}"/>
    <cellStyle name="20% - Accent2 2 3 3 3 2" xfId="22227" xr:uid="{F3B74529-392E-496C-B9B0-A3A0382AAAF0}"/>
    <cellStyle name="20% - Accent2 2 3 3 3 3" xfId="30673" xr:uid="{8C3F5545-67F6-499A-93EB-2DBCC820161E}"/>
    <cellStyle name="20% - Accent2 2 3 3 3 4" xfId="13786" xr:uid="{1BDC191D-8EFD-439B-B2FE-4D7F80B1E0F7}"/>
    <cellStyle name="20% - Accent2 2 3 3 4" xfId="18009" xr:uid="{DA887CAA-2727-4388-A58B-3096EE669A72}"/>
    <cellStyle name="20% - Accent2 2 3 3 5" xfId="26454" xr:uid="{CF8FA2CD-30A0-4023-9388-6A20EB641AED}"/>
    <cellStyle name="20% - Accent2 2 3 3 6" xfId="9568" xr:uid="{4DC7F8A2-978A-4799-AD47-2B6D22851F6C}"/>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24785" xr:uid="{D355459A-0F9B-49A3-9F87-BEC2271E74A2}"/>
    <cellStyle name="20% - Accent2 2 3 4 2 2 3" xfId="33231" xr:uid="{2A1DEBFF-7BE8-4338-8486-D4A73C9372BF}"/>
    <cellStyle name="20% - Accent2 2 3 4 2 2 4" xfId="16344" xr:uid="{553F4E77-8978-407F-AF74-8A02D76F08AB}"/>
    <cellStyle name="20% - Accent2 2 3 4 2 3" xfId="20567" xr:uid="{A8BDAF87-3FE6-4690-AF3C-0467D7E0D06E}"/>
    <cellStyle name="20% - Accent2 2 3 4 2 4" xfId="29014" xr:uid="{70C1E3E1-42C7-4144-9020-55C47F986067}"/>
    <cellStyle name="20% - Accent2 2 3 4 2 5" xfId="12126" xr:uid="{4754FC0A-6532-4AF5-9C26-77EB2BD2632F}"/>
    <cellStyle name="20% - Accent2 2 3 4 3" xfId="5757" xr:uid="{00000000-0005-0000-0000-0000D7000000}"/>
    <cellStyle name="20% - Accent2 2 3 4 3 2" xfId="22640" xr:uid="{8BAF7729-DE2F-4060-BB1D-EE2A5463B978}"/>
    <cellStyle name="20% - Accent2 2 3 4 3 3" xfId="31086" xr:uid="{9D1D047A-B095-4DFB-B1E1-401759F51BEC}"/>
    <cellStyle name="20% - Accent2 2 3 4 3 4" xfId="14199" xr:uid="{723DFBF4-9968-42D7-B9F2-04E6DD67933C}"/>
    <cellStyle name="20% - Accent2 2 3 4 4" xfId="18422" xr:uid="{C3CA252A-AD0B-42E2-AEE1-331C03E99079}"/>
    <cellStyle name="20% - Accent2 2 3 4 5" xfId="26867" xr:uid="{698BFEB3-B2D1-4CA2-8C9E-F7DB142CC47C}"/>
    <cellStyle name="20% - Accent2 2 3 4 6" xfId="9981" xr:uid="{09B4D0CF-162D-4E89-A6B0-7F85485AA505}"/>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25198" xr:uid="{EB31C574-6BA2-48EB-8021-23E9C57CF157}"/>
    <cellStyle name="20% - Accent2 2 3 5 2 2 3" xfId="33644" xr:uid="{5830CAB5-909B-42AD-88D0-434A1E344F82}"/>
    <cellStyle name="20% - Accent2 2 3 5 2 2 4" xfId="16757" xr:uid="{B49B8BE6-2026-4CFA-9DE0-F91F3EDFE860}"/>
    <cellStyle name="20% - Accent2 2 3 5 2 3" xfId="20980" xr:uid="{03370F2D-E3CE-4400-BA2C-329E78277CB5}"/>
    <cellStyle name="20% - Accent2 2 3 5 2 4" xfId="29427" xr:uid="{F06CF4D2-C6DE-4532-870D-B797F7CCD78E}"/>
    <cellStyle name="20% - Accent2 2 3 5 2 5" xfId="12539" xr:uid="{640E5867-D5AC-458E-9729-18EC26E5D760}"/>
    <cellStyle name="20% - Accent2 2 3 5 3" xfId="6170" xr:uid="{00000000-0005-0000-0000-0000DB000000}"/>
    <cellStyle name="20% - Accent2 2 3 5 3 2" xfId="23053" xr:uid="{FABAC028-0C0F-48CE-9B0C-73701F0A3EFC}"/>
    <cellStyle name="20% - Accent2 2 3 5 3 3" xfId="31499" xr:uid="{692559F2-3CE9-42E9-B5A6-B03E793D8C13}"/>
    <cellStyle name="20% - Accent2 2 3 5 3 4" xfId="14612" xr:uid="{959EB47B-D039-4373-9CA5-2C05924B9992}"/>
    <cellStyle name="20% - Accent2 2 3 5 4" xfId="18835" xr:uid="{6CFEA5C5-2C12-4419-BDA4-F5762720FEE0}"/>
    <cellStyle name="20% - Accent2 2 3 5 5" xfId="27280" xr:uid="{445C5CFF-5735-43CF-B497-BD1E14F926EA}"/>
    <cellStyle name="20% - Accent2 2 3 5 6" xfId="10394" xr:uid="{09C922B2-F961-4C68-A836-10F7ABDEF855}"/>
    <cellStyle name="20% - Accent2 2 3 6" xfId="2276" xr:uid="{00000000-0005-0000-0000-0000DC000000}"/>
    <cellStyle name="20% - Accent2 2 3 6 2" xfId="6583" xr:uid="{00000000-0005-0000-0000-0000DD000000}"/>
    <cellStyle name="20% - Accent2 2 3 6 2 2" xfId="23466" xr:uid="{E391B8DB-A546-4378-88C8-27F4E62D50EE}"/>
    <cellStyle name="20% - Accent2 2 3 6 2 3" xfId="31912" xr:uid="{92561966-2D5F-48B3-9CE4-29AC969895DF}"/>
    <cellStyle name="20% - Accent2 2 3 6 2 4" xfId="15025" xr:uid="{2B9F1BC3-A24B-459B-ABFA-3EB283F3C671}"/>
    <cellStyle name="20% - Accent2 2 3 6 3" xfId="19248" xr:uid="{4FEE3716-ED60-4EB5-AA6C-9364CDA108AD}"/>
    <cellStyle name="20% - Accent2 2 3 6 4" xfId="27693" xr:uid="{21FF0D20-386B-412C-8632-E19FD100B86F}"/>
    <cellStyle name="20% - Accent2 2 3 6 5" xfId="10807" xr:uid="{BC99BA67-4971-4530-88C6-D69535A0E107}"/>
    <cellStyle name="20% - Accent2 2 3 7" xfId="4517" xr:uid="{00000000-0005-0000-0000-0000DE000000}"/>
    <cellStyle name="20% - Accent2 2 3 7 2" xfId="21400" xr:uid="{C2ADE2CC-86B9-4A0B-AA25-621E13771502}"/>
    <cellStyle name="20% - Accent2 2 3 7 3" xfId="29846" xr:uid="{2E5EC206-745A-4889-A9D1-B35E83F9F849}"/>
    <cellStyle name="20% - Accent2 2 3 7 4" xfId="12959" xr:uid="{790DD23D-A448-4822-8DE9-5EEECB58B4DA}"/>
    <cellStyle name="20% - Accent2 2 3 8" xfId="17182" xr:uid="{F14A1B2B-BF3B-47D8-B5C5-1A2C3D86B550}"/>
    <cellStyle name="20% - Accent2 2 3 9" xfId="25624" xr:uid="{99DCE899-71C7-4FA8-B78B-F0DDDDDCB9C0}"/>
    <cellStyle name="20% - Accent2 2 4" xfId="579" xr:uid="{00000000-0005-0000-0000-0000DF000000}"/>
    <cellStyle name="20% - Accent2 2 4 2" xfId="2850" xr:uid="{00000000-0005-0000-0000-0000E0000000}"/>
    <cellStyle name="20% - Accent2 2 4 2 2" xfId="7073" xr:uid="{00000000-0005-0000-0000-0000E1000000}"/>
    <cellStyle name="20% - Accent2 2 4 2 2 2" xfId="23956" xr:uid="{6913868F-0985-4E5B-9C7C-822AB3093FBC}"/>
    <cellStyle name="20% - Accent2 2 4 2 2 3" xfId="32402" xr:uid="{963C3D5C-B59D-41F0-8CC9-E1F3B0AD59D8}"/>
    <cellStyle name="20% - Accent2 2 4 2 2 4" xfId="15515" xr:uid="{7C181639-32E5-40FC-9C38-823FA227DF76}"/>
    <cellStyle name="20% - Accent2 2 4 2 3" xfId="19738" xr:uid="{9EAF7158-1AB8-4551-96BA-3F4E7243C770}"/>
    <cellStyle name="20% - Accent2 2 4 2 4" xfId="28185" xr:uid="{55A51925-3901-4FCC-97A3-B507EF5D389F}"/>
    <cellStyle name="20% - Accent2 2 4 2 5" xfId="11297" xr:uid="{6C4559E7-AD90-468B-8CF7-C480A997E6D3}"/>
    <cellStyle name="20% - Accent2 2 4 3" xfId="4928" xr:uid="{00000000-0005-0000-0000-0000E2000000}"/>
    <cellStyle name="20% - Accent2 2 4 3 2" xfId="21811" xr:uid="{CE65E4F5-6B53-4292-982B-BE5E2A6CB656}"/>
    <cellStyle name="20% - Accent2 2 4 3 3" xfId="30257" xr:uid="{3A297A75-12B8-43E3-93F2-3E7DD5159525}"/>
    <cellStyle name="20% - Accent2 2 4 3 4" xfId="13370" xr:uid="{601C0DBF-AA3B-4556-8882-C0ACB902DDE6}"/>
    <cellStyle name="20% - Accent2 2 4 4" xfId="17593" xr:uid="{F4953AC7-B978-4003-BE39-46AED68C71CF}"/>
    <cellStyle name="20% - Accent2 2 4 5" xfId="26038" xr:uid="{661E4AD5-93BC-4B16-AA8B-EBEA4C5C9C5A}"/>
    <cellStyle name="20% - Accent2 2 4 6" xfId="9152" xr:uid="{9E1455BE-DAC6-43B8-9528-C7B99BDA228B}"/>
    <cellStyle name="20% - Accent2 2 5" xfId="1032" xr:uid="{00000000-0005-0000-0000-0000E3000000}"/>
    <cellStyle name="20% - Accent2 2 5 2" xfId="3263" xr:uid="{00000000-0005-0000-0000-0000E4000000}"/>
    <cellStyle name="20% - Accent2 2 5 2 2" xfId="7486" xr:uid="{00000000-0005-0000-0000-0000E5000000}"/>
    <cellStyle name="20% - Accent2 2 5 2 2 2" xfId="24369" xr:uid="{6E87D9A4-EF93-415E-B209-E0FA324250A6}"/>
    <cellStyle name="20% - Accent2 2 5 2 2 3" xfId="32815" xr:uid="{CF90E952-1AB5-494D-B92B-94AE5FB2CA91}"/>
    <cellStyle name="20% - Accent2 2 5 2 2 4" xfId="15928" xr:uid="{4B906C2D-562B-4239-AB4B-0590D5A62B64}"/>
    <cellStyle name="20% - Accent2 2 5 2 3" xfId="20151" xr:uid="{B35D9D0F-C3EB-4583-AB92-B8482279CAA5}"/>
    <cellStyle name="20% - Accent2 2 5 2 4" xfId="28598" xr:uid="{FAC47870-7E1A-4D1D-8458-2517F206CE4F}"/>
    <cellStyle name="20% - Accent2 2 5 2 5" xfId="11710" xr:uid="{2BBDF350-0492-4B17-A2C6-07FFAB205597}"/>
    <cellStyle name="20% - Accent2 2 5 3" xfId="5341" xr:uid="{00000000-0005-0000-0000-0000E6000000}"/>
    <cellStyle name="20% - Accent2 2 5 3 2" xfId="22224" xr:uid="{446871E7-BBF8-4B12-ACB7-E384FDE63DFD}"/>
    <cellStyle name="20% - Accent2 2 5 3 3" xfId="30670" xr:uid="{61C80413-E5CA-4DA0-96B3-0137299DB949}"/>
    <cellStyle name="20% - Accent2 2 5 3 4" xfId="13783" xr:uid="{8658257F-F4A2-499F-8530-D2E9F38FD36C}"/>
    <cellStyle name="20% - Accent2 2 5 4" xfId="18006" xr:uid="{23BBA871-619F-47CE-822A-F541FFC79437}"/>
    <cellStyle name="20% - Accent2 2 5 5" xfId="26451" xr:uid="{39014233-13A0-4D51-BF04-A02D59919758}"/>
    <cellStyle name="20% - Accent2 2 5 6" xfId="9565" xr:uid="{A0121EA6-26FD-4C1A-88A0-47ECF04E7F02}"/>
    <cellStyle name="20% - Accent2 2 6" xfId="1446" xr:uid="{00000000-0005-0000-0000-0000E7000000}"/>
    <cellStyle name="20% - Accent2 2 6 2" xfId="3676" xr:uid="{00000000-0005-0000-0000-0000E8000000}"/>
    <cellStyle name="20% - Accent2 2 6 2 2" xfId="7899" xr:uid="{00000000-0005-0000-0000-0000E9000000}"/>
    <cellStyle name="20% - Accent2 2 6 2 2 2" xfId="24782" xr:uid="{2D355760-2ADF-44CD-A8D5-2B75FCF23D9E}"/>
    <cellStyle name="20% - Accent2 2 6 2 2 3" xfId="33228" xr:uid="{1CC70BA5-98FE-4C78-86B3-3774A347B771}"/>
    <cellStyle name="20% - Accent2 2 6 2 2 4" xfId="16341" xr:uid="{BED459DC-F25D-4C24-AAB9-4B0D35F26C76}"/>
    <cellStyle name="20% - Accent2 2 6 2 3" xfId="20564" xr:uid="{987D6B5A-CE74-4E33-A87A-A04F49895813}"/>
    <cellStyle name="20% - Accent2 2 6 2 4" xfId="29011" xr:uid="{C25DA7F4-C51C-4080-9459-62338DAC35A3}"/>
    <cellStyle name="20% - Accent2 2 6 2 5" xfId="12123" xr:uid="{0A9903FD-F0D0-49FA-8E6E-7B96E29FD134}"/>
    <cellStyle name="20% - Accent2 2 6 3" xfId="5754" xr:uid="{00000000-0005-0000-0000-0000EA000000}"/>
    <cellStyle name="20% - Accent2 2 6 3 2" xfId="22637" xr:uid="{0DD6EFA4-2544-4834-B13B-705937A2D17E}"/>
    <cellStyle name="20% - Accent2 2 6 3 3" xfId="31083" xr:uid="{2A6FDCB4-B816-45D2-B31E-6F4D8CDB955F}"/>
    <cellStyle name="20% - Accent2 2 6 3 4" xfId="14196" xr:uid="{C53E12A2-6309-4BA2-954B-048F2AA2C47F}"/>
    <cellStyle name="20% - Accent2 2 6 4" xfId="18419" xr:uid="{67F3111A-EEE4-429A-A4B4-A3B04CC6D9F9}"/>
    <cellStyle name="20% - Accent2 2 6 5" xfId="26864" xr:uid="{011A48CD-8046-407A-9582-085CA5A4A1BE}"/>
    <cellStyle name="20% - Accent2 2 6 6" xfId="9978" xr:uid="{C16D86F2-0BA6-4A99-BD5F-73573A69BB02}"/>
    <cellStyle name="20% - Accent2 2 7" xfId="1860" xr:uid="{00000000-0005-0000-0000-0000EB000000}"/>
    <cellStyle name="20% - Accent2 2 7 2" xfId="4089" xr:uid="{00000000-0005-0000-0000-0000EC000000}"/>
    <cellStyle name="20% - Accent2 2 7 2 2" xfId="8312" xr:uid="{00000000-0005-0000-0000-0000ED000000}"/>
    <cellStyle name="20% - Accent2 2 7 2 2 2" xfId="25195" xr:uid="{65763E06-D1A8-458E-A8E7-B630C3DC2462}"/>
    <cellStyle name="20% - Accent2 2 7 2 2 3" xfId="33641" xr:uid="{FA349CEA-8CBE-4CE0-85AC-66EAB6985DC7}"/>
    <cellStyle name="20% - Accent2 2 7 2 2 4" xfId="16754" xr:uid="{4B84C1E7-8AB1-40A5-8526-6F74C8F38A73}"/>
    <cellStyle name="20% - Accent2 2 7 2 3" xfId="20977" xr:uid="{4F204C77-3DF9-46F3-9C71-703D219FC5FB}"/>
    <cellStyle name="20% - Accent2 2 7 2 4" xfId="29424" xr:uid="{6CB015AB-3AFC-48C2-A9C3-70033D73DA1E}"/>
    <cellStyle name="20% - Accent2 2 7 2 5" xfId="12536" xr:uid="{AB86B327-AA35-40AF-A4D0-EBE0060CB276}"/>
    <cellStyle name="20% - Accent2 2 7 3" xfId="6167" xr:uid="{00000000-0005-0000-0000-0000EE000000}"/>
    <cellStyle name="20% - Accent2 2 7 3 2" xfId="23050" xr:uid="{BA648CF2-91E1-4CD7-BF26-4E35F274E086}"/>
    <cellStyle name="20% - Accent2 2 7 3 3" xfId="31496" xr:uid="{AADD4758-0EFE-4474-9796-47F87DA9047B}"/>
    <cellStyle name="20% - Accent2 2 7 3 4" xfId="14609" xr:uid="{CA5EDEB1-FE15-4F4E-B7B5-9BE1FA4EFDF5}"/>
    <cellStyle name="20% - Accent2 2 7 4" xfId="18832" xr:uid="{BE3EF474-4EC6-4A52-94A6-7E461CFBB185}"/>
    <cellStyle name="20% - Accent2 2 7 5" xfId="27277" xr:uid="{557D9279-55CD-4F9A-A5AC-4196A2ECAA1C}"/>
    <cellStyle name="20% - Accent2 2 7 6" xfId="10391" xr:uid="{647FB2D5-F723-4019-A23E-2E59C1F39E4B}"/>
    <cellStyle name="20% - Accent2 2 8" xfId="2273" xr:uid="{00000000-0005-0000-0000-0000EF000000}"/>
    <cellStyle name="20% - Accent2 2 8 2" xfId="6580" xr:uid="{00000000-0005-0000-0000-0000F0000000}"/>
    <cellStyle name="20% - Accent2 2 8 2 2" xfId="23463" xr:uid="{9C0E0613-3118-4CF4-BEF5-49F395E000C6}"/>
    <cellStyle name="20% - Accent2 2 8 2 3" xfId="31909" xr:uid="{C175BF4B-F003-4C7A-B497-93FE25AE72CE}"/>
    <cellStyle name="20% - Accent2 2 8 2 4" xfId="15022" xr:uid="{B3055ADB-ECBC-45E6-8B3E-FAE7619507E6}"/>
    <cellStyle name="20% - Accent2 2 8 3" xfId="19245" xr:uid="{83C01124-0CBD-40CB-8920-E5EFDFC47F8E}"/>
    <cellStyle name="20% - Accent2 2 8 4" xfId="27690" xr:uid="{64C35833-3E4B-4000-A302-874A044EF649}"/>
    <cellStyle name="20% - Accent2 2 8 5" xfId="10804" xr:uid="{BAF02DB6-A565-4DA7-B688-7843BAAD49EB}"/>
    <cellStyle name="20% - Accent2 2 9" xfId="4514" xr:uid="{00000000-0005-0000-0000-0000F1000000}"/>
    <cellStyle name="20% - Accent2 2 9 2" xfId="21397" xr:uid="{4131DC59-25F2-4D8D-A889-4C8C580E2D03}"/>
    <cellStyle name="20% - Accent2 2 9 3" xfId="29843" xr:uid="{456E0DC8-16F9-4BC6-B6D9-878FE0AEAF37}"/>
    <cellStyle name="20% - Accent2 2 9 4" xfId="12956" xr:uid="{3D789D76-AFB7-4A88-BE51-3D33F66E8678}"/>
    <cellStyle name="20% - Accent2 3" xfId="14" xr:uid="{00000000-0005-0000-0000-0000F2000000}"/>
    <cellStyle name="20% - Accent2 3 10" xfId="25625" xr:uid="{A946CFB8-7B4D-48E3-BFE1-8FFEC127D766}"/>
    <cellStyle name="20% - Accent2 3 11" xfId="8742" xr:uid="{059FD271-FB6E-495E-A22C-9E7D9A238E56}"/>
    <cellStyle name="20% - Accent2 3 2" xfId="15" xr:uid="{00000000-0005-0000-0000-0000F3000000}"/>
    <cellStyle name="20% - Accent2 3 2 10" xfId="8743" xr:uid="{5616FB5B-DC00-4455-8F29-59BC1B50E5E5}"/>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23961" xr:uid="{3E5D7F5E-E1EC-419F-8441-CD1D3EC99949}"/>
    <cellStyle name="20% - Accent2 3 2 2 2 2 3" xfId="32407" xr:uid="{5ACD2EED-8C68-401E-807E-91D7EE107764}"/>
    <cellStyle name="20% - Accent2 3 2 2 2 2 4" xfId="15520" xr:uid="{0F7DD094-820A-46D7-A576-B7E37586C0B0}"/>
    <cellStyle name="20% - Accent2 3 2 2 2 3" xfId="19743" xr:uid="{D0DCD5E7-FC67-400C-815F-4FD747FC460C}"/>
    <cellStyle name="20% - Accent2 3 2 2 2 4" xfId="28190" xr:uid="{29680BF1-F8F1-4A4F-939A-82456970F99C}"/>
    <cellStyle name="20% - Accent2 3 2 2 2 5" xfId="11302" xr:uid="{C787436F-9F56-458B-8318-E13A6EA8CD1D}"/>
    <cellStyle name="20% - Accent2 3 2 2 3" xfId="4933" xr:uid="{00000000-0005-0000-0000-0000F7000000}"/>
    <cellStyle name="20% - Accent2 3 2 2 3 2" xfId="21816" xr:uid="{5BF11A7C-8579-45C6-B84F-1ACFB9D94C2E}"/>
    <cellStyle name="20% - Accent2 3 2 2 3 3" xfId="30262" xr:uid="{67BAF809-B026-4505-989C-65841C617FDF}"/>
    <cellStyle name="20% - Accent2 3 2 2 3 4" xfId="13375" xr:uid="{808A0721-4391-46B3-B4E7-8C321BA1823F}"/>
    <cellStyle name="20% - Accent2 3 2 2 4" xfId="17598" xr:uid="{A02D4B23-A5C6-4EE8-820A-F3005FFD7E32}"/>
    <cellStyle name="20% - Accent2 3 2 2 5" xfId="26043" xr:uid="{B5271415-1725-414F-89D6-854F6B344A01}"/>
    <cellStyle name="20% - Accent2 3 2 2 6" xfId="9157" xr:uid="{BD199130-A281-4017-8B30-D78BE87864AA}"/>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24374" xr:uid="{E0C749D9-0C96-49ED-8304-0B8CCD96DE1C}"/>
    <cellStyle name="20% - Accent2 3 2 3 2 2 3" xfId="32820" xr:uid="{63C7FD18-B766-4562-84D4-7DA1BAC3E6B7}"/>
    <cellStyle name="20% - Accent2 3 2 3 2 2 4" xfId="15933" xr:uid="{65E3D63E-D894-46D7-B5A8-47303AD3DD81}"/>
    <cellStyle name="20% - Accent2 3 2 3 2 3" xfId="20156" xr:uid="{C2F7548C-F676-4CFA-9767-67514CAFF1BC}"/>
    <cellStyle name="20% - Accent2 3 2 3 2 4" xfId="28603" xr:uid="{FC4945D3-E9DE-4519-B035-1173DAEF287E}"/>
    <cellStyle name="20% - Accent2 3 2 3 2 5" xfId="11715" xr:uid="{E2C0FED6-033D-4D1D-A8E7-AD35ED59DBBD}"/>
    <cellStyle name="20% - Accent2 3 2 3 3" xfId="5346" xr:uid="{00000000-0005-0000-0000-0000FB000000}"/>
    <cellStyle name="20% - Accent2 3 2 3 3 2" xfId="22229" xr:uid="{68B5C0D6-CA21-48A5-B22A-52268441DBBC}"/>
    <cellStyle name="20% - Accent2 3 2 3 3 3" xfId="30675" xr:uid="{6AA0BF38-0874-4ABA-969D-5E62BBBB8A3C}"/>
    <cellStyle name="20% - Accent2 3 2 3 3 4" xfId="13788" xr:uid="{30AEBB63-0F2A-4D98-A7DE-CD37700F3F19}"/>
    <cellStyle name="20% - Accent2 3 2 3 4" xfId="18011" xr:uid="{5ACFD1D4-39C7-461D-BEB0-4B0B918770DA}"/>
    <cellStyle name="20% - Accent2 3 2 3 5" xfId="26456" xr:uid="{C1EA4383-BAB9-4E09-B0A6-90ACA4300F9C}"/>
    <cellStyle name="20% - Accent2 3 2 3 6" xfId="9570" xr:uid="{694535CF-574E-4B34-96B6-B5DAE1C0B943}"/>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24787" xr:uid="{F2A7E782-B5D2-4A08-A287-1013B0ACEAB5}"/>
    <cellStyle name="20% - Accent2 3 2 4 2 2 3" xfId="33233" xr:uid="{E2DC1F8F-6003-4011-8144-08455C58B8B4}"/>
    <cellStyle name="20% - Accent2 3 2 4 2 2 4" xfId="16346" xr:uid="{687F6D16-65EC-4248-AE10-8A2266412968}"/>
    <cellStyle name="20% - Accent2 3 2 4 2 3" xfId="20569" xr:uid="{3C613A41-B509-4845-B1A5-23A7EF99E6D2}"/>
    <cellStyle name="20% - Accent2 3 2 4 2 4" xfId="29016" xr:uid="{B31DE095-6388-4532-BD36-4C3E8564C10B}"/>
    <cellStyle name="20% - Accent2 3 2 4 2 5" xfId="12128" xr:uid="{FD66422D-AFEB-4058-A73D-62CC981A61B2}"/>
    <cellStyle name="20% - Accent2 3 2 4 3" xfId="5759" xr:uid="{00000000-0005-0000-0000-0000FF000000}"/>
    <cellStyle name="20% - Accent2 3 2 4 3 2" xfId="22642" xr:uid="{0CA9940F-DCFD-46BE-BB7C-28AE49988641}"/>
    <cellStyle name="20% - Accent2 3 2 4 3 3" xfId="31088" xr:uid="{0878CBD1-C759-4A6F-85E7-B7EA84772C7D}"/>
    <cellStyle name="20% - Accent2 3 2 4 3 4" xfId="14201" xr:uid="{502685AE-D7B5-4407-9555-1E3823589CF4}"/>
    <cellStyle name="20% - Accent2 3 2 4 4" xfId="18424" xr:uid="{5E5DCCB6-6B13-448B-BDA1-78C5A58F732E}"/>
    <cellStyle name="20% - Accent2 3 2 4 5" xfId="26869" xr:uid="{86A2BF29-B08F-432E-B41A-DF91251E8443}"/>
    <cellStyle name="20% - Accent2 3 2 4 6" xfId="9983" xr:uid="{27504DFB-66D7-4929-822D-A079B6ED7923}"/>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25200" xr:uid="{72D58EA4-908B-4C96-B67D-334C09A2049A}"/>
    <cellStyle name="20% - Accent2 3 2 5 2 2 3" xfId="33646" xr:uid="{C4C2B494-EE96-45C5-8510-A6F202718C15}"/>
    <cellStyle name="20% - Accent2 3 2 5 2 2 4" xfId="16759" xr:uid="{9A15C552-8DD9-4AA2-9072-B6B82A619F98}"/>
    <cellStyle name="20% - Accent2 3 2 5 2 3" xfId="20982" xr:uid="{4F681D12-66E9-4BF1-B31D-22A74DAEEC10}"/>
    <cellStyle name="20% - Accent2 3 2 5 2 4" xfId="29429" xr:uid="{2C6889EF-4F30-4E4D-8AE9-60E4D324F062}"/>
    <cellStyle name="20% - Accent2 3 2 5 2 5" xfId="12541" xr:uid="{9375F63C-602C-4272-A4FD-B004E8BF9361}"/>
    <cellStyle name="20% - Accent2 3 2 5 3" xfId="6172" xr:uid="{00000000-0005-0000-0000-000003010000}"/>
    <cellStyle name="20% - Accent2 3 2 5 3 2" xfId="23055" xr:uid="{1AEC84D3-988D-40D9-8D8A-2B48AFE1BCD6}"/>
    <cellStyle name="20% - Accent2 3 2 5 3 3" xfId="31501" xr:uid="{E6038C52-084B-42EF-A6B2-AFF96FD36CD8}"/>
    <cellStyle name="20% - Accent2 3 2 5 3 4" xfId="14614" xr:uid="{8280072A-BEF9-485A-AE2C-996245B4E240}"/>
    <cellStyle name="20% - Accent2 3 2 5 4" xfId="18837" xr:uid="{F34F0A94-B99B-4603-88D8-8CC31060D1CB}"/>
    <cellStyle name="20% - Accent2 3 2 5 5" xfId="27282" xr:uid="{30163952-7CB2-403C-87A4-3195A6F68E15}"/>
    <cellStyle name="20% - Accent2 3 2 5 6" xfId="10396" xr:uid="{FFE990D4-5547-4C95-833D-D0BEBCED3C35}"/>
    <cellStyle name="20% - Accent2 3 2 6" xfId="2278" xr:uid="{00000000-0005-0000-0000-000004010000}"/>
    <cellStyle name="20% - Accent2 3 2 6 2" xfId="6585" xr:uid="{00000000-0005-0000-0000-000005010000}"/>
    <cellStyle name="20% - Accent2 3 2 6 2 2" xfId="23468" xr:uid="{66EE0635-E76C-4372-9DDF-80FC2D798469}"/>
    <cellStyle name="20% - Accent2 3 2 6 2 3" xfId="31914" xr:uid="{8AC485A3-62F5-4E71-A41C-A3E53D3FBA39}"/>
    <cellStyle name="20% - Accent2 3 2 6 2 4" xfId="15027" xr:uid="{E72C380A-4287-4541-9ABD-462EFC12B14A}"/>
    <cellStyle name="20% - Accent2 3 2 6 3" xfId="19250" xr:uid="{9C57E642-74B7-4DA9-9BA4-6EB97BBF8F6D}"/>
    <cellStyle name="20% - Accent2 3 2 6 4" xfId="27695" xr:uid="{021EBE18-8B7A-429B-8C65-C22F677DE08E}"/>
    <cellStyle name="20% - Accent2 3 2 6 5" xfId="10809" xr:uid="{C4FDF108-6F4D-4650-B1F3-8DDE1AA26227}"/>
    <cellStyle name="20% - Accent2 3 2 7" xfId="4519" xr:uid="{00000000-0005-0000-0000-000006010000}"/>
    <cellStyle name="20% - Accent2 3 2 7 2" xfId="21402" xr:uid="{C434C505-E438-4BAE-B186-B61CEEE42A04}"/>
    <cellStyle name="20% - Accent2 3 2 7 3" xfId="29848" xr:uid="{5227E5AC-F91F-442E-8913-351372B750D8}"/>
    <cellStyle name="20% - Accent2 3 2 7 4" xfId="12961" xr:uid="{BE9A7137-6F8E-4514-8833-F16C1D250293}"/>
    <cellStyle name="20% - Accent2 3 2 8" xfId="17184" xr:uid="{F911C580-8094-4623-83A7-DC3B1FF2F2D3}"/>
    <cellStyle name="20% - Accent2 3 2 9" xfId="25626" xr:uid="{43E433E4-C0A0-4633-BA8A-23D56146456A}"/>
    <cellStyle name="20% - Accent2 3 3" xfId="583" xr:uid="{00000000-0005-0000-0000-000007010000}"/>
    <cellStyle name="20% - Accent2 3 3 2" xfId="2854" xr:uid="{00000000-0005-0000-0000-000008010000}"/>
    <cellStyle name="20% - Accent2 3 3 2 2" xfId="7077" xr:uid="{00000000-0005-0000-0000-000009010000}"/>
    <cellStyle name="20% - Accent2 3 3 2 2 2" xfId="23960" xr:uid="{D236E3AA-9D22-4BA8-A52F-69200894BD25}"/>
    <cellStyle name="20% - Accent2 3 3 2 2 3" xfId="32406" xr:uid="{31FE606A-A4C5-4C13-BC93-FBBD86846A27}"/>
    <cellStyle name="20% - Accent2 3 3 2 2 4" xfId="15519" xr:uid="{39C69B4B-1664-4B15-A8A6-3A28A0D3F056}"/>
    <cellStyle name="20% - Accent2 3 3 2 3" xfId="19742" xr:uid="{8EAE37F8-2010-4B14-9A7C-E864D38ED9CB}"/>
    <cellStyle name="20% - Accent2 3 3 2 4" xfId="28189" xr:uid="{B73CEADD-DB53-48CD-AAA5-87CB780FBA13}"/>
    <cellStyle name="20% - Accent2 3 3 2 5" xfId="11301" xr:uid="{1748B51C-7DCD-4EEC-957B-8731CC53F3E3}"/>
    <cellStyle name="20% - Accent2 3 3 3" xfId="4932" xr:uid="{00000000-0005-0000-0000-00000A010000}"/>
    <cellStyle name="20% - Accent2 3 3 3 2" xfId="21815" xr:uid="{BB9C34EE-A00B-4156-81FF-B2EDFE0A7170}"/>
    <cellStyle name="20% - Accent2 3 3 3 3" xfId="30261" xr:uid="{D656802F-4368-44C3-AF3C-2C89061204CA}"/>
    <cellStyle name="20% - Accent2 3 3 3 4" xfId="13374" xr:uid="{5C2BBCE3-DA41-4B0F-94D4-86A718A0084A}"/>
    <cellStyle name="20% - Accent2 3 3 4" xfId="17597" xr:uid="{65F2A491-F6FD-41A8-B997-B7C9129FB346}"/>
    <cellStyle name="20% - Accent2 3 3 5" xfId="26042" xr:uid="{04A8F491-BAF7-4410-88BD-2D0CC5119B34}"/>
    <cellStyle name="20% - Accent2 3 3 6" xfId="9156" xr:uid="{DE1CE0CC-57F0-44B2-BC8E-CDA3EF864CCB}"/>
    <cellStyle name="20% - Accent2 3 4" xfId="1036" xr:uid="{00000000-0005-0000-0000-00000B010000}"/>
    <cellStyle name="20% - Accent2 3 4 2" xfId="3267" xr:uid="{00000000-0005-0000-0000-00000C010000}"/>
    <cellStyle name="20% - Accent2 3 4 2 2" xfId="7490" xr:uid="{00000000-0005-0000-0000-00000D010000}"/>
    <cellStyle name="20% - Accent2 3 4 2 2 2" xfId="24373" xr:uid="{E92F11BC-287A-4BE2-90B1-A3FCC769689D}"/>
    <cellStyle name="20% - Accent2 3 4 2 2 3" xfId="32819" xr:uid="{23222F7E-61D5-40E7-B644-52CEC3E56C1D}"/>
    <cellStyle name="20% - Accent2 3 4 2 2 4" xfId="15932" xr:uid="{1000399F-22A4-40BB-8B51-75FDC903FC8B}"/>
    <cellStyle name="20% - Accent2 3 4 2 3" xfId="20155" xr:uid="{8E83A013-9ECD-43C0-AC93-FF4E77562DCE}"/>
    <cellStyle name="20% - Accent2 3 4 2 4" xfId="28602" xr:uid="{01380327-E0AF-4229-8BDE-6AD395CD5679}"/>
    <cellStyle name="20% - Accent2 3 4 2 5" xfId="11714" xr:uid="{D8307A0C-3CD8-4367-AF42-28607FF67D1D}"/>
    <cellStyle name="20% - Accent2 3 4 3" xfId="5345" xr:uid="{00000000-0005-0000-0000-00000E010000}"/>
    <cellStyle name="20% - Accent2 3 4 3 2" xfId="22228" xr:uid="{BA52358F-5759-4A48-8825-2F7B3826E90A}"/>
    <cellStyle name="20% - Accent2 3 4 3 3" xfId="30674" xr:uid="{5ACE7C16-0207-4D77-AAB4-7F04A0798E1F}"/>
    <cellStyle name="20% - Accent2 3 4 3 4" xfId="13787" xr:uid="{7E74ADB8-F941-4AF7-AD68-26E9ED651BD8}"/>
    <cellStyle name="20% - Accent2 3 4 4" xfId="18010" xr:uid="{33389AC2-E79E-4DD4-90E8-8257DDCAF682}"/>
    <cellStyle name="20% - Accent2 3 4 5" xfId="26455" xr:uid="{4E2D89CC-AA3E-447E-BA26-F51816195FD7}"/>
    <cellStyle name="20% - Accent2 3 4 6" xfId="9569" xr:uid="{E8DA64B0-2E08-4840-A645-37CF1F1091BF}"/>
    <cellStyle name="20% - Accent2 3 5" xfId="1450" xr:uid="{00000000-0005-0000-0000-00000F010000}"/>
    <cellStyle name="20% - Accent2 3 5 2" xfId="3680" xr:uid="{00000000-0005-0000-0000-000010010000}"/>
    <cellStyle name="20% - Accent2 3 5 2 2" xfId="7903" xr:uid="{00000000-0005-0000-0000-000011010000}"/>
    <cellStyle name="20% - Accent2 3 5 2 2 2" xfId="24786" xr:uid="{611F0DEE-A8F9-45D3-B75E-796A634BC648}"/>
    <cellStyle name="20% - Accent2 3 5 2 2 3" xfId="33232" xr:uid="{27B7E845-4788-4961-BB71-456B19C88F1B}"/>
    <cellStyle name="20% - Accent2 3 5 2 2 4" xfId="16345" xr:uid="{952B3ECF-DDDE-472C-AE95-B467AE27D4C1}"/>
    <cellStyle name="20% - Accent2 3 5 2 3" xfId="20568" xr:uid="{59846BEC-474B-4944-A8C6-6DA32CA44DB7}"/>
    <cellStyle name="20% - Accent2 3 5 2 4" xfId="29015" xr:uid="{F346F4F0-CA21-4F00-8A86-2D18737AAF1F}"/>
    <cellStyle name="20% - Accent2 3 5 2 5" xfId="12127" xr:uid="{0FD1D177-A260-40C8-AB0C-EF0B1553F091}"/>
    <cellStyle name="20% - Accent2 3 5 3" xfId="5758" xr:uid="{00000000-0005-0000-0000-000012010000}"/>
    <cellStyle name="20% - Accent2 3 5 3 2" xfId="22641" xr:uid="{D28E2199-CA04-414B-9808-A7AC7E8AD61E}"/>
    <cellStyle name="20% - Accent2 3 5 3 3" xfId="31087" xr:uid="{6601A962-2BDD-4DD7-AC30-08258808346E}"/>
    <cellStyle name="20% - Accent2 3 5 3 4" xfId="14200" xr:uid="{9761DBA7-B51F-4F68-A874-A8159619CAEE}"/>
    <cellStyle name="20% - Accent2 3 5 4" xfId="18423" xr:uid="{3D557159-89F4-4354-B2AD-1E0218820EFC}"/>
    <cellStyle name="20% - Accent2 3 5 5" xfId="26868" xr:uid="{FEFF8D28-4EB2-4715-9426-3BBEE8C58C3B}"/>
    <cellStyle name="20% - Accent2 3 5 6" xfId="9982" xr:uid="{DED53250-8123-4AB5-81C4-CF6BE5E44C11}"/>
    <cellStyle name="20% - Accent2 3 6" xfId="1864" xr:uid="{00000000-0005-0000-0000-000013010000}"/>
    <cellStyle name="20% - Accent2 3 6 2" xfId="4093" xr:uid="{00000000-0005-0000-0000-000014010000}"/>
    <cellStyle name="20% - Accent2 3 6 2 2" xfId="8316" xr:uid="{00000000-0005-0000-0000-000015010000}"/>
    <cellStyle name="20% - Accent2 3 6 2 2 2" xfId="25199" xr:uid="{77D29525-DEE1-43C1-9049-F2D875FFD5F0}"/>
    <cellStyle name="20% - Accent2 3 6 2 2 3" xfId="33645" xr:uid="{02518611-F5E6-4F62-86F7-1B722A22FF1A}"/>
    <cellStyle name="20% - Accent2 3 6 2 2 4" xfId="16758" xr:uid="{31D6974B-D38D-4BBC-91F3-5A07F182897A}"/>
    <cellStyle name="20% - Accent2 3 6 2 3" xfId="20981" xr:uid="{3EEC8344-B80A-44B1-80A2-EAFABAB09F96}"/>
    <cellStyle name="20% - Accent2 3 6 2 4" xfId="29428" xr:uid="{354E3009-2B28-44C0-A9C1-B9E7EBECDD00}"/>
    <cellStyle name="20% - Accent2 3 6 2 5" xfId="12540" xr:uid="{E49571A0-E406-4AF8-986E-86367AD562BD}"/>
    <cellStyle name="20% - Accent2 3 6 3" xfId="6171" xr:uid="{00000000-0005-0000-0000-000016010000}"/>
    <cellStyle name="20% - Accent2 3 6 3 2" xfId="23054" xr:uid="{8A83714A-F411-4522-A1A0-5B0AE4B5B40E}"/>
    <cellStyle name="20% - Accent2 3 6 3 3" xfId="31500" xr:uid="{272BA9B2-02EE-47CE-B61D-D1FF022A1111}"/>
    <cellStyle name="20% - Accent2 3 6 3 4" xfId="14613" xr:uid="{B2DF4DF6-0800-4B94-9829-57EBBB4435EE}"/>
    <cellStyle name="20% - Accent2 3 6 4" xfId="18836" xr:uid="{950AD032-0536-464C-A7B9-8038561EDB91}"/>
    <cellStyle name="20% - Accent2 3 6 5" xfId="27281" xr:uid="{D7272908-0A6C-4029-A98C-0042CF9ED149}"/>
    <cellStyle name="20% - Accent2 3 6 6" xfId="10395" xr:uid="{97603FEF-DB00-42DA-A8BA-8FBB437A2EB0}"/>
    <cellStyle name="20% - Accent2 3 7" xfId="2277" xr:uid="{00000000-0005-0000-0000-000017010000}"/>
    <cellStyle name="20% - Accent2 3 7 2" xfId="6584" xr:uid="{00000000-0005-0000-0000-000018010000}"/>
    <cellStyle name="20% - Accent2 3 7 2 2" xfId="23467" xr:uid="{D6C01F5F-A88F-4FC3-96C2-3F2BE1E0A0E0}"/>
    <cellStyle name="20% - Accent2 3 7 2 3" xfId="31913" xr:uid="{28A744BF-28EE-4616-8E97-F776112915FE}"/>
    <cellStyle name="20% - Accent2 3 7 2 4" xfId="15026" xr:uid="{BCB286E7-B4CA-43DE-97F2-ECEFC552130F}"/>
    <cellStyle name="20% - Accent2 3 7 3" xfId="19249" xr:uid="{FFECA93B-2289-4DF4-B0AD-F3DE5754CAE2}"/>
    <cellStyle name="20% - Accent2 3 7 4" xfId="27694" xr:uid="{4716D13D-662D-4929-9393-7CDBD2257385}"/>
    <cellStyle name="20% - Accent2 3 7 5" xfId="10808" xr:uid="{551E98C5-1CED-4185-9BFA-D9CAF057B4FF}"/>
    <cellStyle name="20% - Accent2 3 8" xfId="4518" xr:uid="{00000000-0005-0000-0000-000019010000}"/>
    <cellStyle name="20% - Accent2 3 8 2" xfId="21401" xr:uid="{3709B2A8-B598-4911-BB1C-C14647F287E2}"/>
    <cellStyle name="20% - Accent2 3 8 3" xfId="29847" xr:uid="{6DA248C6-B257-45BC-8913-0FBB8FDC5947}"/>
    <cellStyle name="20% - Accent2 3 8 4" xfId="12960" xr:uid="{A02D3D42-F854-40B5-8A77-B25F838ED7FF}"/>
    <cellStyle name="20% - Accent2 3 9" xfId="17183" xr:uid="{E8D585B7-FD6A-4D93-AC1E-AC601C3F6333}"/>
    <cellStyle name="20% - Accent2 4" xfId="16" xr:uid="{00000000-0005-0000-0000-00001A010000}"/>
    <cellStyle name="20% - Accent2 4 10" xfId="8744" xr:uid="{AB723C4A-7F48-491A-8CBE-3F69E765F3FA}"/>
    <cellStyle name="20% - Accent2 4 2" xfId="585" xr:uid="{00000000-0005-0000-0000-00001B010000}"/>
    <cellStyle name="20% - Accent2 4 2 2" xfId="2856" xr:uid="{00000000-0005-0000-0000-00001C010000}"/>
    <cellStyle name="20% - Accent2 4 2 2 2" xfId="7079" xr:uid="{00000000-0005-0000-0000-00001D010000}"/>
    <cellStyle name="20% - Accent2 4 2 2 2 2" xfId="23962" xr:uid="{44031421-7B4B-4422-ADE5-8D3EA72DFE5E}"/>
    <cellStyle name="20% - Accent2 4 2 2 2 3" xfId="32408" xr:uid="{61292EC2-115F-448A-82A9-571B1956AEB0}"/>
    <cellStyle name="20% - Accent2 4 2 2 2 4" xfId="15521" xr:uid="{D40E9D79-3612-4458-A4F1-A94928190D74}"/>
    <cellStyle name="20% - Accent2 4 2 2 3" xfId="19744" xr:uid="{4DBEA408-31F9-4AC6-A9A3-48E49C9E1638}"/>
    <cellStyle name="20% - Accent2 4 2 2 4" xfId="28191" xr:uid="{E3EAC5B4-F85E-4BE5-B2CB-9AA753B5D274}"/>
    <cellStyle name="20% - Accent2 4 2 2 5" xfId="11303" xr:uid="{B430DFA7-BFDF-4313-9400-2B8753AA8F26}"/>
    <cellStyle name="20% - Accent2 4 2 3" xfId="4934" xr:uid="{00000000-0005-0000-0000-00001E010000}"/>
    <cellStyle name="20% - Accent2 4 2 3 2" xfId="21817" xr:uid="{FECF84EF-1435-4087-BA76-CB95DF2EFB1D}"/>
    <cellStyle name="20% - Accent2 4 2 3 3" xfId="30263" xr:uid="{85ACDFEA-31A7-43E6-85BA-F291527ADF47}"/>
    <cellStyle name="20% - Accent2 4 2 3 4" xfId="13376" xr:uid="{C8E93702-19B3-4F4E-AED3-FB54BCCB4042}"/>
    <cellStyle name="20% - Accent2 4 2 4" xfId="17599" xr:uid="{B0DCF740-C6C2-4E94-9AFD-CEF6F1399B5A}"/>
    <cellStyle name="20% - Accent2 4 2 5" xfId="26044" xr:uid="{D3170612-D43F-45BD-AEB6-6AF37316855D}"/>
    <cellStyle name="20% - Accent2 4 2 6" xfId="9158" xr:uid="{65138CD1-7F17-4BA2-8B33-148518200794}"/>
    <cellStyle name="20% - Accent2 4 3" xfId="1038" xr:uid="{00000000-0005-0000-0000-00001F010000}"/>
    <cellStyle name="20% - Accent2 4 3 2" xfId="3269" xr:uid="{00000000-0005-0000-0000-000020010000}"/>
    <cellStyle name="20% - Accent2 4 3 2 2" xfId="7492" xr:uid="{00000000-0005-0000-0000-000021010000}"/>
    <cellStyle name="20% - Accent2 4 3 2 2 2" xfId="24375" xr:uid="{D93192F4-8E19-49BE-B631-9F616C46C984}"/>
    <cellStyle name="20% - Accent2 4 3 2 2 3" xfId="32821" xr:uid="{F7F86A10-EFA3-48DE-81FF-B1210F7F4CB5}"/>
    <cellStyle name="20% - Accent2 4 3 2 2 4" xfId="15934" xr:uid="{32E013A3-98F7-44DF-A74E-B6800210D812}"/>
    <cellStyle name="20% - Accent2 4 3 2 3" xfId="20157" xr:uid="{45826BD2-1D9F-40B8-8843-0BDA8380C782}"/>
    <cellStyle name="20% - Accent2 4 3 2 4" xfId="28604" xr:uid="{FF96834C-FBF7-4CBF-B696-D2C98F8589C3}"/>
    <cellStyle name="20% - Accent2 4 3 2 5" xfId="11716" xr:uid="{89E97026-5ACE-4F2A-805E-A9EA7908F6A3}"/>
    <cellStyle name="20% - Accent2 4 3 3" xfId="5347" xr:uid="{00000000-0005-0000-0000-000022010000}"/>
    <cellStyle name="20% - Accent2 4 3 3 2" xfId="22230" xr:uid="{852B0815-81C7-4450-BB58-E68621113A48}"/>
    <cellStyle name="20% - Accent2 4 3 3 3" xfId="30676" xr:uid="{AEEE5F51-C6E1-4E02-90A1-3F7C6137363D}"/>
    <cellStyle name="20% - Accent2 4 3 3 4" xfId="13789" xr:uid="{47E32F2B-98E8-4534-A501-044D997195E9}"/>
    <cellStyle name="20% - Accent2 4 3 4" xfId="18012" xr:uid="{2684FAEF-E1A7-460D-9284-9C0AA82D151D}"/>
    <cellStyle name="20% - Accent2 4 3 5" xfId="26457" xr:uid="{8A65FE0C-02CA-49CD-884E-776DA3A3C47A}"/>
    <cellStyle name="20% - Accent2 4 3 6" xfId="9571" xr:uid="{95B766EA-9C4B-4C7F-896F-C7BAD6D90A1C}"/>
    <cellStyle name="20% - Accent2 4 4" xfId="1452" xr:uid="{00000000-0005-0000-0000-000023010000}"/>
    <cellStyle name="20% - Accent2 4 4 2" xfId="3682" xr:uid="{00000000-0005-0000-0000-000024010000}"/>
    <cellStyle name="20% - Accent2 4 4 2 2" xfId="7905" xr:uid="{00000000-0005-0000-0000-000025010000}"/>
    <cellStyle name="20% - Accent2 4 4 2 2 2" xfId="24788" xr:uid="{F970214E-3231-4968-9027-5FE20E4F941C}"/>
    <cellStyle name="20% - Accent2 4 4 2 2 3" xfId="33234" xr:uid="{B9456754-6717-4DB2-B528-A29B8DE5A740}"/>
    <cellStyle name="20% - Accent2 4 4 2 2 4" xfId="16347" xr:uid="{EF926F6E-23F7-4770-874D-A5D80F71E606}"/>
    <cellStyle name="20% - Accent2 4 4 2 3" xfId="20570" xr:uid="{1C4F7442-734B-4B4F-B5FE-BF997A71878C}"/>
    <cellStyle name="20% - Accent2 4 4 2 4" xfId="29017" xr:uid="{E8F9BAEF-76C4-416C-9013-67CB5275E045}"/>
    <cellStyle name="20% - Accent2 4 4 2 5" xfId="12129" xr:uid="{CB2E1A5B-DDDA-4C8D-822B-78AD7886B1FD}"/>
    <cellStyle name="20% - Accent2 4 4 3" xfId="5760" xr:uid="{00000000-0005-0000-0000-000026010000}"/>
    <cellStyle name="20% - Accent2 4 4 3 2" xfId="22643" xr:uid="{4287D7BB-DEBF-482B-BAEA-A6093A8C76F7}"/>
    <cellStyle name="20% - Accent2 4 4 3 3" xfId="31089" xr:uid="{1030B033-9F1E-4AFE-87CB-777EBB4DCC58}"/>
    <cellStyle name="20% - Accent2 4 4 3 4" xfId="14202" xr:uid="{2AB35E3F-D5B9-4902-AD0B-A30C37D687CE}"/>
    <cellStyle name="20% - Accent2 4 4 4" xfId="18425" xr:uid="{DCEE6F9E-9F01-42B1-9FD5-7DFAFFEBD5A4}"/>
    <cellStyle name="20% - Accent2 4 4 5" xfId="26870" xr:uid="{102B4225-8D71-4E08-A852-AE25662706D0}"/>
    <cellStyle name="20% - Accent2 4 4 6" xfId="9984" xr:uid="{282A5F54-BBB4-49BC-861B-9D9273741AD2}"/>
    <cellStyle name="20% - Accent2 4 5" xfId="1866" xr:uid="{00000000-0005-0000-0000-000027010000}"/>
    <cellStyle name="20% - Accent2 4 5 2" xfId="4095" xr:uid="{00000000-0005-0000-0000-000028010000}"/>
    <cellStyle name="20% - Accent2 4 5 2 2" xfId="8318" xr:uid="{00000000-0005-0000-0000-000029010000}"/>
    <cellStyle name="20% - Accent2 4 5 2 2 2" xfId="25201" xr:uid="{13CBDB61-521C-43C5-8E75-F998DFFA464C}"/>
    <cellStyle name="20% - Accent2 4 5 2 2 3" xfId="33647" xr:uid="{984E3966-36F6-4353-BDD9-E72E72F8E40E}"/>
    <cellStyle name="20% - Accent2 4 5 2 2 4" xfId="16760" xr:uid="{A6F3AB0E-ABC5-426D-B4EA-383BDDA55FBA}"/>
    <cellStyle name="20% - Accent2 4 5 2 3" xfId="20983" xr:uid="{3DFFC3D8-FBF8-4651-B19A-99547CA45469}"/>
    <cellStyle name="20% - Accent2 4 5 2 4" xfId="29430" xr:uid="{BFBE74B6-2E49-4C45-B28C-481B31EA83B0}"/>
    <cellStyle name="20% - Accent2 4 5 2 5" xfId="12542" xr:uid="{5517A465-0E2F-418E-ADEC-19ABF08D1028}"/>
    <cellStyle name="20% - Accent2 4 5 3" xfId="6173" xr:uid="{00000000-0005-0000-0000-00002A010000}"/>
    <cellStyle name="20% - Accent2 4 5 3 2" xfId="23056" xr:uid="{78E06574-C9F7-476D-B7D2-0D6CEAE2C324}"/>
    <cellStyle name="20% - Accent2 4 5 3 3" xfId="31502" xr:uid="{7D20E176-8941-47DD-97C1-ADC0BE4E7A84}"/>
    <cellStyle name="20% - Accent2 4 5 3 4" xfId="14615" xr:uid="{B5B6AFEA-BD72-446D-AEFE-9533F63B742C}"/>
    <cellStyle name="20% - Accent2 4 5 4" xfId="18838" xr:uid="{A08B9D3D-16AF-4E6E-90B5-F0A2B63EA78C}"/>
    <cellStyle name="20% - Accent2 4 5 5" xfId="27283" xr:uid="{03C6AC18-57DE-4D03-B7EC-DDB55DEF7994}"/>
    <cellStyle name="20% - Accent2 4 5 6" xfId="10397" xr:uid="{AEB2CC9E-2671-43EB-B3AB-53F29BA99AB2}"/>
    <cellStyle name="20% - Accent2 4 6" xfId="2279" xr:uid="{00000000-0005-0000-0000-00002B010000}"/>
    <cellStyle name="20% - Accent2 4 6 2" xfId="6586" xr:uid="{00000000-0005-0000-0000-00002C010000}"/>
    <cellStyle name="20% - Accent2 4 6 2 2" xfId="23469" xr:uid="{F7D12902-7243-4E35-BCA0-7BFF769AAAF7}"/>
    <cellStyle name="20% - Accent2 4 6 2 3" xfId="31915" xr:uid="{DFDA980D-51AC-4FCB-A616-78C4B4013532}"/>
    <cellStyle name="20% - Accent2 4 6 2 4" xfId="15028" xr:uid="{CB85C8B1-B23A-44FE-97FD-90AD2A82C931}"/>
    <cellStyle name="20% - Accent2 4 6 3" xfId="19251" xr:uid="{46674657-AA94-466B-95AA-80909B097EA9}"/>
    <cellStyle name="20% - Accent2 4 6 4" xfId="27696" xr:uid="{1FE7FB5D-7866-49F9-8CB3-E3ED9DE5B984}"/>
    <cellStyle name="20% - Accent2 4 6 5" xfId="10810" xr:uid="{FCDC17BE-360B-425F-BB72-E89F39E1B9E1}"/>
    <cellStyle name="20% - Accent2 4 7" xfId="4520" xr:uid="{00000000-0005-0000-0000-00002D010000}"/>
    <cellStyle name="20% - Accent2 4 7 2" xfId="21403" xr:uid="{5598B04E-BDE6-4C78-8D64-22EF430F59F9}"/>
    <cellStyle name="20% - Accent2 4 7 3" xfId="29849" xr:uid="{ABC88578-6935-4155-86D8-3D7628F4856F}"/>
    <cellStyle name="20% - Accent2 4 7 4" xfId="12962" xr:uid="{43BC0F07-FD1F-4588-952E-CB69F850B4AA}"/>
    <cellStyle name="20% - Accent2 4 8" xfId="17185" xr:uid="{3B670FFD-7435-4837-855F-C467083D2856}"/>
    <cellStyle name="20% - Accent2 4 9" xfId="25627" xr:uid="{5551FD8F-E3E0-43DC-89A9-7C8CB2164EAB}"/>
    <cellStyle name="20% - Accent2 5" xfId="578" xr:uid="{00000000-0005-0000-0000-00002E010000}"/>
    <cellStyle name="20% - Accent2 5 2" xfId="2849" xr:uid="{00000000-0005-0000-0000-00002F010000}"/>
    <cellStyle name="20% - Accent2 5 2 2" xfId="7072" xr:uid="{00000000-0005-0000-0000-000030010000}"/>
    <cellStyle name="20% - Accent2 5 2 2 2" xfId="23955" xr:uid="{8491AB82-A72B-4907-923A-8E5C89609F03}"/>
    <cellStyle name="20% - Accent2 5 2 2 3" xfId="32401" xr:uid="{85240012-8B47-4113-9BEE-6D2139A167C9}"/>
    <cellStyle name="20% - Accent2 5 2 2 4" xfId="15514" xr:uid="{24078E3B-82D2-46ED-A79D-3C6DDFAEB361}"/>
    <cellStyle name="20% - Accent2 5 2 3" xfId="19737" xr:uid="{BA2A5D6C-0369-4F80-8F16-3425638195AF}"/>
    <cellStyle name="20% - Accent2 5 2 4" xfId="28184" xr:uid="{D9F5F09B-C8F6-4F2B-9CC4-8853B48CF92B}"/>
    <cellStyle name="20% - Accent2 5 2 5" xfId="11296" xr:uid="{EF794825-1C17-4F39-8E35-4DF505B39E6F}"/>
    <cellStyle name="20% - Accent2 5 3" xfId="4927" xr:uid="{00000000-0005-0000-0000-000031010000}"/>
    <cellStyle name="20% - Accent2 5 3 2" xfId="21810" xr:uid="{AC179CB9-7C4B-4A68-8F13-307746D36722}"/>
    <cellStyle name="20% - Accent2 5 3 3" xfId="30256" xr:uid="{87E09E68-302A-491A-BEC4-DB4DE0DA1B47}"/>
    <cellStyle name="20% - Accent2 5 3 4" xfId="13369" xr:uid="{EAB33C5A-E656-4ED2-935C-224F0F24A111}"/>
    <cellStyle name="20% - Accent2 5 4" xfId="17592" xr:uid="{9C9F7069-E547-4591-9AD9-79F3E339C7FC}"/>
    <cellStyle name="20% - Accent2 5 5" xfId="26037" xr:uid="{45CCF4B7-AE8C-41C2-8755-7209ADAE5537}"/>
    <cellStyle name="20% - Accent2 5 6" xfId="9151" xr:uid="{7AAB4D3A-5C4F-4102-9EB3-0F7C27AE3527}"/>
    <cellStyle name="20% - Accent2 6" xfId="1031" xr:uid="{00000000-0005-0000-0000-000032010000}"/>
    <cellStyle name="20% - Accent2 6 2" xfId="3262" xr:uid="{00000000-0005-0000-0000-000033010000}"/>
    <cellStyle name="20% - Accent2 6 2 2" xfId="7485" xr:uid="{00000000-0005-0000-0000-000034010000}"/>
    <cellStyle name="20% - Accent2 6 2 2 2" xfId="24368" xr:uid="{D07DCC2F-DF6D-46D5-86BB-9E84BBA5ACE7}"/>
    <cellStyle name="20% - Accent2 6 2 2 3" xfId="32814" xr:uid="{8DCA2E9A-3C2E-410D-ACE0-2A7B22CF3FD7}"/>
    <cellStyle name="20% - Accent2 6 2 2 4" xfId="15927" xr:uid="{24FA1B1D-10D4-4EA2-866E-F6F66508BFDD}"/>
    <cellStyle name="20% - Accent2 6 2 3" xfId="20150" xr:uid="{A19A96C0-3DE7-4B12-982D-95CB2767E07C}"/>
    <cellStyle name="20% - Accent2 6 2 4" xfId="28597" xr:uid="{6B2DD5B3-5DD9-4802-AC58-C9C5DF36356C}"/>
    <cellStyle name="20% - Accent2 6 2 5" xfId="11709" xr:uid="{85C13B75-3F33-465B-8EE9-6DE1EB767484}"/>
    <cellStyle name="20% - Accent2 6 3" xfId="5340" xr:uid="{00000000-0005-0000-0000-000035010000}"/>
    <cellStyle name="20% - Accent2 6 3 2" xfId="22223" xr:uid="{836902F1-3FC7-4E1B-858D-E31BBF954615}"/>
    <cellStyle name="20% - Accent2 6 3 3" xfId="30669" xr:uid="{2108ADEB-41BC-4F1C-B106-B3318D0D6F28}"/>
    <cellStyle name="20% - Accent2 6 3 4" xfId="13782" xr:uid="{77F9103A-25DB-4AE3-B752-A83D20F8C0E9}"/>
    <cellStyle name="20% - Accent2 6 4" xfId="18005" xr:uid="{9C49A60D-1E7B-4860-AB45-53C95D37F1DA}"/>
    <cellStyle name="20% - Accent2 6 5" xfId="26450" xr:uid="{A8CD893F-CB46-474F-9352-E238FEC83188}"/>
    <cellStyle name="20% - Accent2 6 6" xfId="9564" xr:uid="{95C5CD55-05BE-4C9D-8AA1-FDF09FE5F91A}"/>
    <cellStyle name="20% - Accent2 7" xfId="1445" xr:uid="{00000000-0005-0000-0000-000036010000}"/>
    <cellStyle name="20% - Accent2 7 2" xfId="3675" xr:uid="{00000000-0005-0000-0000-000037010000}"/>
    <cellStyle name="20% - Accent2 7 2 2" xfId="7898" xr:uid="{00000000-0005-0000-0000-000038010000}"/>
    <cellStyle name="20% - Accent2 7 2 2 2" xfId="24781" xr:uid="{FE011C63-5D72-461E-B843-F58161623930}"/>
    <cellStyle name="20% - Accent2 7 2 2 3" xfId="33227" xr:uid="{AC21A3C9-FF0F-4AA8-97EC-BF306F5421F4}"/>
    <cellStyle name="20% - Accent2 7 2 2 4" xfId="16340" xr:uid="{D283B8B5-3F27-45D9-AA8F-A2E0BED86BD3}"/>
    <cellStyle name="20% - Accent2 7 2 3" xfId="20563" xr:uid="{26218222-00B4-4D04-964D-8547C58E7896}"/>
    <cellStyle name="20% - Accent2 7 2 4" xfId="29010" xr:uid="{F7181152-28B8-4B25-8C47-E51DD9AC9E2D}"/>
    <cellStyle name="20% - Accent2 7 2 5" xfId="12122" xr:uid="{DA087272-ABE5-4AE7-A7DD-D1608D2C4D86}"/>
    <cellStyle name="20% - Accent2 7 3" xfId="5753" xr:uid="{00000000-0005-0000-0000-000039010000}"/>
    <cellStyle name="20% - Accent2 7 3 2" xfId="22636" xr:uid="{E5D78775-D10F-4A86-9666-2DDE3FDD4D9C}"/>
    <cellStyle name="20% - Accent2 7 3 3" xfId="31082" xr:uid="{93AB0873-BB7F-414D-99EF-CEFC5CCCD8F7}"/>
    <cellStyle name="20% - Accent2 7 3 4" xfId="14195" xr:uid="{0AD3F3F7-E25E-49A5-B601-D602DB64FE81}"/>
    <cellStyle name="20% - Accent2 7 4" xfId="18418" xr:uid="{2AF04E91-55C9-4DEC-BF20-10AE8CCE50A3}"/>
    <cellStyle name="20% - Accent2 7 5" xfId="26863" xr:uid="{887787C7-0540-4354-81C6-8BF2729D4EA7}"/>
    <cellStyle name="20% - Accent2 7 6" xfId="9977" xr:uid="{2D3B13A3-36F1-4F2D-AFA7-0F045D4FE2AC}"/>
    <cellStyle name="20% - Accent2 8" xfId="1859" xr:uid="{00000000-0005-0000-0000-00003A010000}"/>
    <cellStyle name="20% - Accent2 8 2" xfId="4088" xr:uid="{00000000-0005-0000-0000-00003B010000}"/>
    <cellStyle name="20% - Accent2 8 2 2" xfId="8311" xr:uid="{00000000-0005-0000-0000-00003C010000}"/>
    <cellStyle name="20% - Accent2 8 2 2 2" xfId="25194" xr:uid="{ACD0DA0D-7BEC-4C63-99E1-A63A1350C777}"/>
    <cellStyle name="20% - Accent2 8 2 2 3" xfId="33640" xr:uid="{2F07D9CD-D2CF-48E4-8D7C-9C1C2417456D}"/>
    <cellStyle name="20% - Accent2 8 2 2 4" xfId="16753" xr:uid="{25DA84DE-E590-4A3C-A357-AB4B9A3F0BE4}"/>
    <cellStyle name="20% - Accent2 8 2 3" xfId="20976" xr:uid="{38232D5B-A192-476F-B9A2-00DA703D533D}"/>
    <cellStyle name="20% - Accent2 8 2 4" xfId="29423" xr:uid="{2F088DAB-27B5-40F0-A4DA-FABB00BF7F8E}"/>
    <cellStyle name="20% - Accent2 8 2 5" xfId="12535" xr:uid="{15F54577-3413-4268-BD58-B68264028541}"/>
    <cellStyle name="20% - Accent2 8 3" xfId="6166" xr:uid="{00000000-0005-0000-0000-00003D010000}"/>
    <cellStyle name="20% - Accent2 8 3 2" xfId="23049" xr:uid="{755B2009-2C0F-4318-8C9A-360A47901BDB}"/>
    <cellStyle name="20% - Accent2 8 3 3" xfId="31495" xr:uid="{893E2FCC-729C-4D97-9223-D419ACF77D09}"/>
    <cellStyle name="20% - Accent2 8 3 4" xfId="14608" xr:uid="{07BBB18A-FFC4-4FE5-8595-963A77742C48}"/>
    <cellStyle name="20% - Accent2 8 4" xfId="18831" xr:uid="{8541ADF2-E004-455F-B6A0-0FF5AB8E1A95}"/>
    <cellStyle name="20% - Accent2 8 5" xfId="27276" xr:uid="{2E2A2FB2-8C2F-4C03-B1BB-2A7D7F50E1C5}"/>
    <cellStyle name="20% - Accent2 8 6" xfId="10390" xr:uid="{B1D9A037-C198-4D8A-BCF7-55C62BA3DB13}"/>
    <cellStyle name="20% - Accent2 9" xfId="2272" xr:uid="{00000000-0005-0000-0000-00003E010000}"/>
    <cellStyle name="20% - Accent2 9 2" xfId="6579" xr:uid="{00000000-0005-0000-0000-00003F010000}"/>
    <cellStyle name="20% - Accent2 9 2 2" xfId="23462" xr:uid="{5013583D-0BD1-4E19-8686-1EA6EC89C58E}"/>
    <cellStyle name="20% - Accent2 9 2 3" xfId="31908" xr:uid="{0774F75B-5D5F-4598-8403-698CE886C49D}"/>
    <cellStyle name="20% - Accent2 9 2 4" xfId="15021" xr:uid="{91129B2B-DE8C-4E9E-A12B-4B63E4D4E9CB}"/>
    <cellStyle name="20% - Accent2 9 3" xfId="19244" xr:uid="{A7B5E7B5-5675-40C7-A0F5-91C37EC4F8D1}"/>
    <cellStyle name="20% - Accent2 9 4" xfId="27689" xr:uid="{27800007-5820-4627-8818-EE03A969F422}"/>
    <cellStyle name="20% - Accent2 9 5" xfId="10803" xr:uid="{4778B590-5312-4287-B77B-5BE93D4EE372}"/>
    <cellStyle name="20% - Accent3" xfId="17" builtinId="38" customBuiltin="1"/>
    <cellStyle name="20% - Accent3 10" xfId="4521" xr:uid="{00000000-0005-0000-0000-000041010000}"/>
    <cellStyle name="20% - Accent3 10 2" xfId="21404" xr:uid="{66D2567A-2066-4B36-A781-A57E5F10687F}"/>
    <cellStyle name="20% - Accent3 10 3" xfId="29850" xr:uid="{57CD20C3-8C0E-4298-B9D1-C654CC088410}"/>
    <cellStyle name="20% - Accent3 10 4" xfId="12963" xr:uid="{2ED6A28E-39EA-4D94-9CB6-9E84A7FF6D49}"/>
    <cellStyle name="20% - Accent3 11" xfId="17186" xr:uid="{B1ED285A-7CDD-4AB5-B0AA-9C490FD5D320}"/>
    <cellStyle name="20% - Accent3 12" xfId="25628" xr:uid="{88403697-8911-4905-857C-096D6A786816}"/>
    <cellStyle name="20% - Accent3 13" xfId="8745" xr:uid="{F959298A-9E94-43CC-AF6D-34534E35756E}"/>
    <cellStyle name="20% - Accent3 2" xfId="18" xr:uid="{00000000-0005-0000-0000-000042010000}"/>
    <cellStyle name="20% - Accent3 2 10" xfId="17187" xr:uid="{FE552A73-8053-4694-96BB-8AF03417D594}"/>
    <cellStyle name="20% - Accent3 2 11" xfId="25629" xr:uid="{4805A0E4-F595-4624-B1AA-5D892C5F374F}"/>
    <cellStyle name="20% - Accent3 2 12" xfId="8746" xr:uid="{D1354CC1-CD11-4478-8DBB-057B8F998909}"/>
    <cellStyle name="20% - Accent3 2 2" xfId="19" xr:uid="{00000000-0005-0000-0000-000043010000}"/>
    <cellStyle name="20% - Accent3 2 2 10" xfId="25630" xr:uid="{CCA106B1-E4E0-4CE7-8EBB-6856B54F04FF}"/>
    <cellStyle name="20% - Accent3 2 2 11" xfId="8747" xr:uid="{92D46B8E-5356-40B8-8623-508E867F0D35}"/>
    <cellStyle name="20% - Accent3 2 2 2" xfId="20" xr:uid="{00000000-0005-0000-0000-000044010000}"/>
    <cellStyle name="20% - Accent3 2 2 2 10" xfId="8748" xr:uid="{25FBA2BD-485E-4A9A-9255-447E758B2AD4}"/>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23966" xr:uid="{4B1A5A52-1D04-4813-94ED-E07ABF0B02FE}"/>
    <cellStyle name="20% - Accent3 2 2 2 2 2 2 3" xfId="32412" xr:uid="{5335463B-F0F5-4C1A-95D9-87AAD5528D38}"/>
    <cellStyle name="20% - Accent3 2 2 2 2 2 2 4" xfId="15525" xr:uid="{4B80965C-74C1-4872-92DC-2FE093F10AE7}"/>
    <cellStyle name="20% - Accent3 2 2 2 2 2 3" xfId="19748" xr:uid="{52F89888-72C6-470F-B90B-7B02D4608DBF}"/>
    <cellStyle name="20% - Accent3 2 2 2 2 2 4" xfId="28195" xr:uid="{CF19E619-B7A4-4F22-A5B5-D9D0A72A7A0B}"/>
    <cellStyle name="20% - Accent3 2 2 2 2 2 5" xfId="11307" xr:uid="{6EB8FB2D-C446-4444-8040-CB6EC571AEEB}"/>
    <cellStyle name="20% - Accent3 2 2 2 2 3" xfId="4938" xr:uid="{00000000-0005-0000-0000-000048010000}"/>
    <cellStyle name="20% - Accent3 2 2 2 2 3 2" xfId="21821" xr:uid="{13C26227-1C07-4FFD-93FD-C40DA04FDB6F}"/>
    <cellStyle name="20% - Accent3 2 2 2 2 3 3" xfId="30267" xr:uid="{244D8CDD-6BE6-4F98-A97A-02EA8BA64C23}"/>
    <cellStyle name="20% - Accent3 2 2 2 2 3 4" xfId="13380" xr:uid="{513FB1BB-BC84-4F28-AE28-D59BF9EDB1D8}"/>
    <cellStyle name="20% - Accent3 2 2 2 2 4" xfId="17603" xr:uid="{33A12423-1E35-4A6F-B610-ECD649AE2DB0}"/>
    <cellStyle name="20% - Accent3 2 2 2 2 5" xfId="26048" xr:uid="{54CDE5F9-6B58-4275-BC66-B31D6662D9FC}"/>
    <cellStyle name="20% - Accent3 2 2 2 2 6" xfId="9162" xr:uid="{C9C6C269-1FE2-4B68-B7A6-BA12EB205E4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24379" xr:uid="{D988156F-B2C7-4D90-856A-931E01F0895E}"/>
    <cellStyle name="20% - Accent3 2 2 2 3 2 2 3" xfId="32825" xr:uid="{421245E6-368C-4C1F-8D1A-9FD7247DA1D2}"/>
    <cellStyle name="20% - Accent3 2 2 2 3 2 2 4" xfId="15938" xr:uid="{7417D5CD-4F63-4861-B24D-5CA7D03D4ED4}"/>
    <cellStyle name="20% - Accent3 2 2 2 3 2 3" xfId="20161" xr:uid="{91840369-E3B7-44E1-9020-9C3A4BA674DE}"/>
    <cellStyle name="20% - Accent3 2 2 2 3 2 4" xfId="28608" xr:uid="{88363A2B-4B88-4849-9DCC-45D4F99120D5}"/>
    <cellStyle name="20% - Accent3 2 2 2 3 2 5" xfId="11720" xr:uid="{704AF593-BB02-476B-AD3E-2EB18238A6BC}"/>
    <cellStyle name="20% - Accent3 2 2 2 3 3" xfId="5351" xr:uid="{00000000-0005-0000-0000-00004C010000}"/>
    <cellStyle name="20% - Accent3 2 2 2 3 3 2" xfId="22234" xr:uid="{4002AA6A-2702-4AD4-B704-433A0AFD4218}"/>
    <cellStyle name="20% - Accent3 2 2 2 3 3 3" xfId="30680" xr:uid="{7DFDE057-5E0F-4DDE-922F-B695461FCFC3}"/>
    <cellStyle name="20% - Accent3 2 2 2 3 3 4" xfId="13793" xr:uid="{7E4FE7B3-9AA8-4B25-AC23-A98FC6147950}"/>
    <cellStyle name="20% - Accent3 2 2 2 3 4" xfId="18016" xr:uid="{C7217300-A9CF-45D6-96B6-EBBEA49E34E7}"/>
    <cellStyle name="20% - Accent3 2 2 2 3 5" xfId="26461" xr:uid="{A99D0093-1E3A-477B-ACF9-1B3EEB7CCC87}"/>
    <cellStyle name="20% - Accent3 2 2 2 3 6" xfId="9575" xr:uid="{19AA7E78-082E-4038-AD3B-458875C1739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24792" xr:uid="{C2596ECE-4359-4B0C-99A7-F91BA0BD1796}"/>
    <cellStyle name="20% - Accent3 2 2 2 4 2 2 3" xfId="33238" xr:uid="{7B909B9C-0F39-464B-87B3-97319044BFAA}"/>
    <cellStyle name="20% - Accent3 2 2 2 4 2 2 4" xfId="16351" xr:uid="{DDFD6164-1631-4D76-9FDD-E2E52B0C61DE}"/>
    <cellStyle name="20% - Accent3 2 2 2 4 2 3" xfId="20574" xr:uid="{F9E2F486-F2FF-4842-BD16-2FAB479E4EC6}"/>
    <cellStyle name="20% - Accent3 2 2 2 4 2 4" xfId="29021" xr:uid="{4E2528B6-1AA0-45DE-BA21-60D98A635430}"/>
    <cellStyle name="20% - Accent3 2 2 2 4 2 5" xfId="12133" xr:uid="{32EECD86-5E89-4A57-B940-98649FBEF036}"/>
    <cellStyle name="20% - Accent3 2 2 2 4 3" xfId="5764" xr:uid="{00000000-0005-0000-0000-000050010000}"/>
    <cellStyle name="20% - Accent3 2 2 2 4 3 2" xfId="22647" xr:uid="{37E0DAEF-0917-4943-BE12-1C8F90E9B233}"/>
    <cellStyle name="20% - Accent3 2 2 2 4 3 3" xfId="31093" xr:uid="{DC97064F-B6E8-4710-9738-667F08D20A26}"/>
    <cellStyle name="20% - Accent3 2 2 2 4 3 4" xfId="14206" xr:uid="{5FF3A147-9FF3-4721-B554-9A997AA3C4A4}"/>
    <cellStyle name="20% - Accent3 2 2 2 4 4" xfId="18429" xr:uid="{0B3AEF03-D241-4239-8AD2-58BD95EB0826}"/>
    <cellStyle name="20% - Accent3 2 2 2 4 5" xfId="26874" xr:uid="{EC8BF4B9-9121-473F-9810-285733EFF05C}"/>
    <cellStyle name="20% - Accent3 2 2 2 4 6" xfId="9988" xr:uid="{22457726-6587-41AE-A752-F77DB9DD42E9}"/>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25205" xr:uid="{AF50E5C8-67B2-40B5-89E1-324200CA1E79}"/>
    <cellStyle name="20% - Accent3 2 2 2 5 2 2 3" xfId="33651" xr:uid="{46E0D6FF-9603-494A-A433-F1C7CDADD466}"/>
    <cellStyle name="20% - Accent3 2 2 2 5 2 2 4" xfId="16764" xr:uid="{F37012FE-BA21-4130-9BCE-3113BCAA894A}"/>
    <cellStyle name="20% - Accent3 2 2 2 5 2 3" xfId="20987" xr:uid="{6CE9C0BC-CD20-48CC-8D5E-829CE12B035A}"/>
    <cellStyle name="20% - Accent3 2 2 2 5 2 4" xfId="29434" xr:uid="{AC001C50-A4F0-4824-93BF-6038F70C27FC}"/>
    <cellStyle name="20% - Accent3 2 2 2 5 2 5" xfId="12546" xr:uid="{583E917D-7E63-4A35-9DCB-9CB1E799540B}"/>
    <cellStyle name="20% - Accent3 2 2 2 5 3" xfId="6177" xr:uid="{00000000-0005-0000-0000-000054010000}"/>
    <cellStyle name="20% - Accent3 2 2 2 5 3 2" xfId="23060" xr:uid="{B46F8C70-19D2-4A25-8267-4F893B2AFAE3}"/>
    <cellStyle name="20% - Accent3 2 2 2 5 3 3" xfId="31506" xr:uid="{A02D0EB4-32EF-40A6-984A-7931C143B07A}"/>
    <cellStyle name="20% - Accent3 2 2 2 5 3 4" xfId="14619" xr:uid="{6785BEDF-3550-45BE-8AC7-43FA34B74F4B}"/>
    <cellStyle name="20% - Accent3 2 2 2 5 4" xfId="18842" xr:uid="{2F1A281A-7D12-4687-846F-109237309F1E}"/>
    <cellStyle name="20% - Accent3 2 2 2 5 5" xfId="27287" xr:uid="{A225D406-856B-43F5-86D7-2079113E4657}"/>
    <cellStyle name="20% - Accent3 2 2 2 5 6" xfId="10401" xr:uid="{BD86A2E5-3A7A-4832-81A5-18BA59E0D900}"/>
    <cellStyle name="20% - Accent3 2 2 2 6" xfId="2283" xr:uid="{00000000-0005-0000-0000-000055010000}"/>
    <cellStyle name="20% - Accent3 2 2 2 6 2" xfId="6590" xr:uid="{00000000-0005-0000-0000-000056010000}"/>
    <cellStyle name="20% - Accent3 2 2 2 6 2 2" xfId="23473" xr:uid="{C80914A0-C326-4823-A381-76D2E452A5DA}"/>
    <cellStyle name="20% - Accent3 2 2 2 6 2 3" xfId="31919" xr:uid="{00B8AB22-CB78-4F20-B023-D2C56045FB5E}"/>
    <cellStyle name="20% - Accent3 2 2 2 6 2 4" xfId="15032" xr:uid="{00FAC492-E2D2-497D-8A87-ED5911EF668E}"/>
    <cellStyle name="20% - Accent3 2 2 2 6 3" xfId="19255" xr:uid="{46CB9105-FD92-4D27-887A-F83AA810C653}"/>
    <cellStyle name="20% - Accent3 2 2 2 6 4" xfId="27700" xr:uid="{9D0141B2-ECE3-4F4D-BCC5-E3311D0B8419}"/>
    <cellStyle name="20% - Accent3 2 2 2 6 5" xfId="10814" xr:uid="{34B41309-6F24-42CC-A5D7-DA81FCFD6945}"/>
    <cellStyle name="20% - Accent3 2 2 2 7" xfId="4524" xr:uid="{00000000-0005-0000-0000-000057010000}"/>
    <cellStyle name="20% - Accent3 2 2 2 7 2" xfId="21407" xr:uid="{33A1875E-718D-4F35-9197-53A58394633C}"/>
    <cellStyle name="20% - Accent3 2 2 2 7 3" xfId="29853" xr:uid="{3EDAE51E-1DB6-4A4E-A241-80549A925EAA}"/>
    <cellStyle name="20% - Accent3 2 2 2 7 4" xfId="12966" xr:uid="{5C3551C7-9FA0-4695-9903-919975225BA3}"/>
    <cellStyle name="20% - Accent3 2 2 2 8" xfId="17189" xr:uid="{D856C238-5622-40AF-A196-FD68D24870E5}"/>
    <cellStyle name="20% - Accent3 2 2 2 9" xfId="25631" xr:uid="{DBE3C86F-AD62-487E-A8BC-A90E602754C8}"/>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23965" xr:uid="{4B7BA42F-B0C4-4D90-91FE-0ED853DC92B2}"/>
    <cellStyle name="20% - Accent3 2 2 3 2 2 3" xfId="32411" xr:uid="{99AB8C2B-C3BA-4099-9B3D-0BAE399D2B23}"/>
    <cellStyle name="20% - Accent3 2 2 3 2 2 4" xfId="15524" xr:uid="{581D4BBE-7F33-43C8-BC69-2DC4D0C4FE0C}"/>
    <cellStyle name="20% - Accent3 2 2 3 2 3" xfId="19747" xr:uid="{896CDD0A-EE72-451B-AD30-8D1C2ACC99A2}"/>
    <cellStyle name="20% - Accent3 2 2 3 2 4" xfId="28194" xr:uid="{9F17C33D-B8DA-4DF6-B8A6-5FA6D6FB78C8}"/>
    <cellStyle name="20% - Accent3 2 2 3 2 5" xfId="11306" xr:uid="{06E5D59C-964F-49D3-9596-2853A79267D8}"/>
    <cellStyle name="20% - Accent3 2 2 3 3" xfId="4937" xr:uid="{00000000-0005-0000-0000-00005B010000}"/>
    <cellStyle name="20% - Accent3 2 2 3 3 2" xfId="21820" xr:uid="{447BB71B-BA76-41A6-BD1B-C6787EF78973}"/>
    <cellStyle name="20% - Accent3 2 2 3 3 3" xfId="30266" xr:uid="{5F4CB159-EF81-4FB4-A76F-14736B43761E}"/>
    <cellStyle name="20% - Accent3 2 2 3 3 4" xfId="13379" xr:uid="{FC6B67E5-F328-48FB-ABA7-45BCDB54F9DB}"/>
    <cellStyle name="20% - Accent3 2 2 3 4" xfId="17602" xr:uid="{40274A41-3C6A-46EE-AE3E-C4957160A5C4}"/>
    <cellStyle name="20% - Accent3 2 2 3 5" xfId="26047" xr:uid="{E571DBC3-BF3F-4899-AF34-12D59AFC4C23}"/>
    <cellStyle name="20% - Accent3 2 2 3 6" xfId="9161" xr:uid="{1245884D-EDDB-4E8D-9966-60F7188B71CA}"/>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24378" xr:uid="{02CE66F9-0223-42EA-9C95-A5B1CABA256A}"/>
    <cellStyle name="20% - Accent3 2 2 4 2 2 3" xfId="32824" xr:uid="{77F67E7A-8828-40D8-AA8A-41FEACA850B1}"/>
    <cellStyle name="20% - Accent3 2 2 4 2 2 4" xfId="15937" xr:uid="{DA3C4427-80D4-457A-8D2F-7335582C96A5}"/>
    <cellStyle name="20% - Accent3 2 2 4 2 3" xfId="20160" xr:uid="{3B15EE04-FD30-4387-8C40-A9C5EC84A029}"/>
    <cellStyle name="20% - Accent3 2 2 4 2 4" xfId="28607" xr:uid="{1348CDF6-987A-4811-A1DD-B33FBE8D2B53}"/>
    <cellStyle name="20% - Accent3 2 2 4 2 5" xfId="11719" xr:uid="{A9AA7E85-055B-4CFA-9041-0E3512F48E4D}"/>
    <cellStyle name="20% - Accent3 2 2 4 3" xfId="5350" xr:uid="{00000000-0005-0000-0000-00005F010000}"/>
    <cellStyle name="20% - Accent3 2 2 4 3 2" xfId="22233" xr:uid="{EC1BE623-D7F6-4488-BCAB-1D4CB199C264}"/>
    <cellStyle name="20% - Accent3 2 2 4 3 3" xfId="30679" xr:uid="{F55FA980-82DC-4308-9061-37C89E1F8506}"/>
    <cellStyle name="20% - Accent3 2 2 4 3 4" xfId="13792" xr:uid="{F5A56A2C-7C0C-436F-925D-4E18E434B925}"/>
    <cellStyle name="20% - Accent3 2 2 4 4" xfId="18015" xr:uid="{E1969B8A-5CB5-4E74-880E-3A19EF70C0BB}"/>
    <cellStyle name="20% - Accent3 2 2 4 5" xfId="26460" xr:uid="{9315C3F1-9882-4204-B3D2-214C359F878C}"/>
    <cellStyle name="20% - Accent3 2 2 4 6" xfId="9574" xr:uid="{2F44BD56-CE99-449E-8917-CB87E618E355}"/>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24791" xr:uid="{060C8263-912D-4FE9-88CC-8C7D4A8D8008}"/>
    <cellStyle name="20% - Accent3 2 2 5 2 2 3" xfId="33237" xr:uid="{06471E7C-C0F2-431A-BF26-FE68CCDF9482}"/>
    <cellStyle name="20% - Accent3 2 2 5 2 2 4" xfId="16350" xr:uid="{C9887EF2-644F-4234-B17D-177D16CDBA7C}"/>
    <cellStyle name="20% - Accent3 2 2 5 2 3" xfId="20573" xr:uid="{0B21ECA1-3E51-4F4F-AA0D-8719D86E5379}"/>
    <cellStyle name="20% - Accent3 2 2 5 2 4" xfId="29020" xr:uid="{17404297-7D08-4AFA-8878-ADE3BDFB77A7}"/>
    <cellStyle name="20% - Accent3 2 2 5 2 5" xfId="12132" xr:uid="{8FCB2657-BA0D-4F56-91D4-D3CE9613B2E6}"/>
    <cellStyle name="20% - Accent3 2 2 5 3" xfId="5763" xr:uid="{00000000-0005-0000-0000-000063010000}"/>
    <cellStyle name="20% - Accent3 2 2 5 3 2" xfId="22646" xr:uid="{74816910-D61B-4538-80C5-9ED8DAB57ED5}"/>
    <cellStyle name="20% - Accent3 2 2 5 3 3" xfId="31092" xr:uid="{84ED2151-4FD4-40AE-ABBD-6596CC49B853}"/>
    <cellStyle name="20% - Accent3 2 2 5 3 4" xfId="14205" xr:uid="{EC823B7A-618D-4738-83EF-0044215B3D9A}"/>
    <cellStyle name="20% - Accent3 2 2 5 4" xfId="18428" xr:uid="{51C14BC8-288D-4511-8440-21C60EB68C14}"/>
    <cellStyle name="20% - Accent3 2 2 5 5" xfId="26873" xr:uid="{7755BF7B-2609-47D6-B51A-97C815DF81FB}"/>
    <cellStyle name="20% - Accent3 2 2 5 6" xfId="9987" xr:uid="{461D95BF-3B37-4C59-BE9A-F3641D30CA6E}"/>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25204" xr:uid="{3D1875AC-F549-4D6E-8173-ECCBC6C7560E}"/>
    <cellStyle name="20% - Accent3 2 2 6 2 2 3" xfId="33650" xr:uid="{EDFFE652-09E8-4D23-BEBF-D57B1323A0D1}"/>
    <cellStyle name="20% - Accent3 2 2 6 2 2 4" xfId="16763" xr:uid="{563EDAB5-0598-4A7F-98D4-FCBE4930D0F9}"/>
    <cellStyle name="20% - Accent3 2 2 6 2 3" xfId="20986" xr:uid="{1476BFC2-2817-4347-852B-02FEAAAB21CD}"/>
    <cellStyle name="20% - Accent3 2 2 6 2 4" xfId="29433" xr:uid="{77AD552C-2BEC-48B1-8FB0-1CE004BA27E0}"/>
    <cellStyle name="20% - Accent3 2 2 6 2 5" xfId="12545" xr:uid="{D0949629-BFBE-43AD-90B0-52EE98131873}"/>
    <cellStyle name="20% - Accent3 2 2 6 3" xfId="6176" xr:uid="{00000000-0005-0000-0000-000067010000}"/>
    <cellStyle name="20% - Accent3 2 2 6 3 2" xfId="23059" xr:uid="{99EC996A-9FDB-42A4-A260-B4B30D6AC1D3}"/>
    <cellStyle name="20% - Accent3 2 2 6 3 3" xfId="31505" xr:uid="{902FE686-C209-4C72-9052-51AC88EE5B07}"/>
    <cellStyle name="20% - Accent3 2 2 6 3 4" xfId="14618" xr:uid="{92EDFED7-E401-461B-949E-B299B83607EC}"/>
    <cellStyle name="20% - Accent3 2 2 6 4" xfId="18841" xr:uid="{EA47E13E-0913-4611-8A2B-BBA8089D86F5}"/>
    <cellStyle name="20% - Accent3 2 2 6 5" xfId="27286" xr:uid="{D8CE905F-D753-4C97-B67D-12B89C82B945}"/>
    <cellStyle name="20% - Accent3 2 2 6 6" xfId="10400" xr:uid="{33777791-0D33-44BE-BE52-B45468528DEA}"/>
    <cellStyle name="20% - Accent3 2 2 7" xfId="2282" xr:uid="{00000000-0005-0000-0000-000068010000}"/>
    <cellStyle name="20% - Accent3 2 2 7 2" xfId="6589" xr:uid="{00000000-0005-0000-0000-000069010000}"/>
    <cellStyle name="20% - Accent3 2 2 7 2 2" xfId="23472" xr:uid="{99EE8882-688B-4BD2-9883-8843EC508DDF}"/>
    <cellStyle name="20% - Accent3 2 2 7 2 3" xfId="31918" xr:uid="{013C0AE2-8B1A-4778-9F7E-BA1C79808204}"/>
    <cellStyle name="20% - Accent3 2 2 7 2 4" xfId="15031" xr:uid="{F363756F-0CD1-4BDE-9A42-B3A13DD1F309}"/>
    <cellStyle name="20% - Accent3 2 2 7 3" xfId="19254" xr:uid="{4FF0C225-3D9B-4338-AC25-1E91EEE54338}"/>
    <cellStyle name="20% - Accent3 2 2 7 4" xfId="27699" xr:uid="{D306223C-FF8E-4447-8388-E57534A14DFB}"/>
    <cellStyle name="20% - Accent3 2 2 7 5" xfId="10813" xr:uid="{21EB9DFB-8E11-481D-AEFE-841216B0C3C3}"/>
    <cellStyle name="20% - Accent3 2 2 8" xfId="4523" xr:uid="{00000000-0005-0000-0000-00006A010000}"/>
    <cellStyle name="20% - Accent3 2 2 8 2" xfId="21406" xr:uid="{91AAECC4-7102-4F1C-9E09-C4F7635D2E79}"/>
    <cellStyle name="20% - Accent3 2 2 8 3" xfId="29852" xr:uid="{459584AC-633D-47FA-8620-DDE1873AF9C2}"/>
    <cellStyle name="20% - Accent3 2 2 8 4" xfId="12965" xr:uid="{70F4BE41-18C8-4B73-AF37-43C68A0F8FD7}"/>
    <cellStyle name="20% - Accent3 2 2 9" xfId="17188" xr:uid="{415BB758-3E7E-4B64-B468-C626E57444C7}"/>
    <cellStyle name="20% - Accent3 2 3" xfId="21" xr:uid="{00000000-0005-0000-0000-00006B010000}"/>
    <cellStyle name="20% - Accent3 2 3 10" xfId="8749" xr:uid="{65122338-8429-4867-BC48-1AD2589F87BA}"/>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23967" xr:uid="{5E16CE1F-A5E3-475E-BB05-B592DCCEF10E}"/>
    <cellStyle name="20% - Accent3 2 3 2 2 2 3" xfId="32413" xr:uid="{8EDB036B-B328-4E2C-997B-AE7569059F9F}"/>
    <cellStyle name="20% - Accent3 2 3 2 2 2 4" xfId="15526" xr:uid="{847AEADF-8975-4C05-B88B-07D1711F04E9}"/>
    <cellStyle name="20% - Accent3 2 3 2 2 3" xfId="19749" xr:uid="{964DE27B-00AD-41E2-AA8F-7EAD12E63DD4}"/>
    <cellStyle name="20% - Accent3 2 3 2 2 4" xfId="28196" xr:uid="{459E5FE2-A09A-4572-A562-12978BDD3B85}"/>
    <cellStyle name="20% - Accent3 2 3 2 2 5" xfId="11308" xr:uid="{4E1633B8-3088-4E6C-B35C-F4C8A2B3EA78}"/>
    <cellStyle name="20% - Accent3 2 3 2 3" xfId="4939" xr:uid="{00000000-0005-0000-0000-00006F010000}"/>
    <cellStyle name="20% - Accent3 2 3 2 3 2" xfId="21822" xr:uid="{98EDE30B-D6FB-46E3-AF87-7ED7B85B84DC}"/>
    <cellStyle name="20% - Accent3 2 3 2 3 3" xfId="30268" xr:uid="{D50FACC4-2F58-4DE0-9611-AB783AB99AFC}"/>
    <cellStyle name="20% - Accent3 2 3 2 3 4" xfId="13381" xr:uid="{C5414E48-90BD-4FDA-870D-287088AA6573}"/>
    <cellStyle name="20% - Accent3 2 3 2 4" xfId="17604" xr:uid="{7BA3A5A0-EC94-436D-A1E1-C8026D68F81B}"/>
    <cellStyle name="20% - Accent3 2 3 2 5" xfId="26049" xr:uid="{F19ECF2A-C915-409F-9A6E-B2AAD6744794}"/>
    <cellStyle name="20% - Accent3 2 3 2 6" xfId="9163" xr:uid="{466F4AA5-98F2-46B7-8558-5D6B0610F663}"/>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24380" xr:uid="{6C1D5AE2-A4F6-4655-8FC5-7B9B909D67F7}"/>
    <cellStyle name="20% - Accent3 2 3 3 2 2 3" xfId="32826" xr:uid="{356BC309-AD5D-47BE-AB71-E4918C02AE70}"/>
    <cellStyle name="20% - Accent3 2 3 3 2 2 4" xfId="15939" xr:uid="{45ED73B4-B4A2-4B5E-917B-96FEF4225BE0}"/>
    <cellStyle name="20% - Accent3 2 3 3 2 3" xfId="20162" xr:uid="{5024676A-C32F-47D3-B368-E55515D0FEF5}"/>
    <cellStyle name="20% - Accent3 2 3 3 2 4" xfId="28609" xr:uid="{DA8E267F-845C-4230-8239-6F8657E98744}"/>
    <cellStyle name="20% - Accent3 2 3 3 2 5" xfId="11721" xr:uid="{D39DCA11-BBAC-4DF6-B12C-0323201CFD5C}"/>
    <cellStyle name="20% - Accent3 2 3 3 3" xfId="5352" xr:uid="{00000000-0005-0000-0000-000073010000}"/>
    <cellStyle name="20% - Accent3 2 3 3 3 2" xfId="22235" xr:uid="{0A69F244-35D7-4B1B-850D-0FB195E40303}"/>
    <cellStyle name="20% - Accent3 2 3 3 3 3" xfId="30681" xr:uid="{8F98AC9F-E722-4568-B215-FD7D33F6266A}"/>
    <cellStyle name="20% - Accent3 2 3 3 3 4" xfId="13794" xr:uid="{970D8091-349A-4473-851B-9B8E73BEE2B9}"/>
    <cellStyle name="20% - Accent3 2 3 3 4" xfId="18017" xr:uid="{04CD8748-0F48-43D8-AA69-23F6B56A3480}"/>
    <cellStyle name="20% - Accent3 2 3 3 5" xfId="26462" xr:uid="{F5397B4D-44CE-405E-8F7B-EF827288FEDD}"/>
    <cellStyle name="20% - Accent3 2 3 3 6" xfId="9576" xr:uid="{08C05E63-1A74-493D-BA34-92C419E747E5}"/>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24793" xr:uid="{CD35FF80-00C8-4880-A484-2624AFE383D9}"/>
    <cellStyle name="20% - Accent3 2 3 4 2 2 3" xfId="33239" xr:uid="{47DBA0A5-572D-40F7-B62A-9DE3DB174B1C}"/>
    <cellStyle name="20% - Accent3 2 3 4 2 2 4" xfId="16352" xr:uid="{77BDB9FE-0BD7-4A59-93F8-A3C8CE11039F}"/>
    <cellStyle name="20% - Accent3 2 3 4 2 3" xfId="20575" xr:uid="{3890C98B-0842-4496-B0FD-D6530C3998B2}"/>
    <cellStyle name="20% - Accent3 2 3 4 2 4" xfId="29022" xr:uid="{D8745558-7364-4143-A38D-BDDB27A7F590}"/>
    <cellStyle name="20% - Accent3 2 3 4 2 5" xfId="12134" xr:uid="{74502D16-FE05-47C6-AB64-49717C263268}"/>
    <cellStyle name="20% - Accent3 2 3 4 3" xfId="5765" xr:uid="{00000000-0005-0000-0000-000077010000}"/>
    <cellStyle name="20% - Accent3 2 3 4 3 2" xfId="22648" xr:uid="{1C42B5C3-95DF-4329-9AEF-9BF33F5E0130}"/>
    <cellStyle name="20% - Accent3 2 3 4 3 3" xfId="31094" xr:uid="{8C225875-AAF3-4D05-9974-C6C2ABA9190F}"/>
    <cellStyle name="20% - Accent3 2 3 4 3 4" xfId="14207" xr:uid="{924D9B96-2D39-48ED-9525-4F75896C1F2E}"/>
    <cellStyle name="20% - Accent3 2 3 4 4" xfId="18430" xr:uid="{31A5C042-1140-4812-96ED-7618DD87E822}"/>
    <cellStyle name="20% - Accent3 2 3 4 5" xfId="26875" xr:uid="{2CFCAF82-4126-44C9-8A3F-726C2247D516}"/>
    <cellStyle name="20% - Accent3 2 3 4 6" xfId="9989" xr:uid="{EC95BF1C-693F-4FB2-BD09-5268A4FC9006}"/>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25206" xr:uid="{58F08EAF-375F-4BEA-9242-65D0DA5360E3}"/>
    <cellStyle name="20% - Accent3 2 3 5 2 2 3" xfId="33652" xr:uid="{C93C3DA9-ED16-4AC0-8072-DCC8E3FEB09F}"/>
    <cellStyle name="20% - Accent3 2 3 5 2 2 4" xfId="16765" xr:uid="{E24E8F0B-6982-4CDD-93A8-75E72E8D1B11}"/>
    <cellStyle name="20% - Accent3 2 3 5 2 3" xfId="20988" xr:uid="{A58A5860-64D8-4B50-BD3C-18B17B2F7BD2}"/>
    <cellStyle name="20% - Accent3 2 3 5 2 4" xfId="29435" xr:uid="{830D33B9-5D34-402D-A211-6DBE7F9307DD}"/>
    <cellStyle name="20% - Accent3 2 3 5 2 5" xfId="12547" xr:uid="{8B10D8A8-FCAC-4172-91F4-0806E39BCBBD}"/>
    <cellStyle name="20% - Accent3 2 3 5 3" xfId="6178" xr:uid="{00000000-0005-0000-0000-00007B010000}"/>
    <cellStyle name="20% - Accent3 2 3 5 3 2" xfId="23061" xr:uid="{BD09FC24-EEB2-4DD7-A876-0BAFD45E10A8}"/>
    <cellStyle name="20% - Accent3 2 3 5 3 3" xfId="31507" xr:uid="{58CC4A11-9503-455B-AA40-C75BFAAB14E5}"/>
    <cellStyle name="20% - Accent3 2 3 5 3 4" xfId="14620" xr:uid="{E04AA464-9474-4DD3-AE94-C44262EAB897}"/>
    <cellStyle name="20% - Accent3 2 3 5 4" xfId="18843" xr:uid="{F724433D-3C1B-46DC-8113-1BE49484565B}"/>
    <cellStyle name="20% - Accent3 2 3 5 5" xfId="27288" xr:uid="{1B849428-6EDC-4581-888C-25400A74E989}"/>
    <cellStyle name="20% - Accent3 2 3 5 6" xfId="10402" xr:uid="{0E1A1581-BE50-4680-B5B4-B630BB2F5D81}"/>
    <cellStyle name="20% - Accent3 2 3 6" xfId="2284" xr:uid="{00000000-0005-0000-0000-00007C010000}"/>
    <cellStyle name="20% - Accent3 2 3 6 2" xfId="6591" xr:uid="{00000000-0005-0000-0000-00007D010000}"/>
    <cellStyle name="20% - Accent3 2 3 6 2 2" xfId="23474" xr:uid="{EA8FFE13-9074-4434-947E-76112D630534}"/>
    <cellStyle name="20% - Accent3 2 3 6 2 3" xfId="31920" xr:uid="{4558AD92-D25D-4351-9318-B842D17EFA06}"/>
    <cellStyle name="20% - Accent3 2 3 6 2 4" xfId="15033" xr:uid="{45038F65-6096-48E1-8A45-FB2D807FC9B3}"/>
    <cellStyle name="20% - Accent3 2 3 6 3" xfId="19256" xr:uid="{4E337FE5-18C9-46CD-BDD4-6E5434D15F5A}"/>
    <cellStyle name="20% - Accent3 2 3 6 4" xfId="27701" xr:uid="{6E2E15F1-B51E-4BF1-962F-12DEB900317E}"/>
    <cellStyle name="20% - Accent3 2 3 6 5" xfId="10815" xr:uid="{E55886D4-1F6B-4ACF-AB15-208F81542C74}"/>
    <cellStyle name="20% - Accent3 2 3 7" xfId="4525" xr:uid="{00000000-0005-0000-0000-00007E010000}"/>
    <cellStyle name="20% - Accent3 2 3 7 2" xfId="21408" xr:uid="{A123FA22-9F49-4E9A-8A1E-02B689895AFD}"/>
    <cellStyle name="20% - Accent3 2 3 7 3" xfId="29854" xr:uid="{F4B88295-2A4C-475E-A968-7283BBF46B19}"/>
    <cellStyle name="20% - Accent3 2 3 7 4" xfId="12967" xr:uid="{E7A46F1F-FEC9-4A69-BAB6-6567E07F00F5}"/>
    <cellStyle name="20% - Accent3 2 3 8" xfId="17190" xr:uid="{C032683A-AADD-4A0E-89CC-54EBBC80E026}"/>
    <cellStyle name="20% - Accent3 2 3 9" xfId="25632" xr:uid="{FD87B829-681B-492A-8961-FA18F257E4C1}"/>
    <cellStyle name="20% - Accent3 2 4" xfId="587" xr:uid="{00000000-0005-0000-0000-00007F010000}"/>
    <cellStyle name="20% - Accent3 2 4 2" xfId="2858" xr:uid="{00000000-0005-0000-0000-000080010000}"/>
    <cellStyle name="20% - Accent3 2 4 2 2" xfId="7081" xr:uid="{00000000-0005-0000-0000-000081010000}"/>
    <cellStyle name="20% - Accent3 2 4 2 2 2" xfId="23964" xr:uid="{F425CA5D-0CE6-41AD-85E0-168FAB99E19C}"/>
    <cellStyle name="20% - Accent3 2 4 2 2 3" xfId="32410" xr:uid="{641C9773-0D14-4DBB-A783-EC1952DA950B}"/>
    <cellStyle name="20% - Accent3 2 4 2 2 4" xfId="15523" xr:uid="{533A2725-F6C9-4EBD-A338-B1CDB40805F9}"/>
    <cellStyle name="20% - Accent3 2 4 2 3" xfId="19746" xr:uid="{5E2F8E70-9C46-4657-9169-66DF29190F09}"/>
    <cellStyle name="20% - Accent3 2 4 2 4" xfId="28193" xr:uid="{09A1F31E-D028-4CAE-8D12-A59BC2861AD3}"/>
    <cellStyle name="20% - Accent3 2 4 2 5" xfId="11305" xr:uid="{6B120978-F895-49D9-AC77-E227683B757D}"/>
    <cellStyle name="20% - Accent3 2 4 3" xfId="4936" xr:uid="{00000000-0005-0000-0000-000082010000}"/>
    <cellStyle name="20% - Accent3 2 4 3 2" xfId="21819" xr:uid="{D715E237-CFD5-4D7E-B400-78AA9824806A}"/>
    <cellStyle name="20% - Accent3 2 4 3 3" xfId="30265" xr:uid="{E889A7C1-2E0A-4781-8004-75CC3F494A24}"/>
    <cellStyle name="20% - Accent3 2 4 3 4" xfId="13378" xr:uid="{C3C52BA8-025F-4A62-90F4-A29CA9A32C0A}"/>
    <cellStyle name="20% - Accent3 2 4 4" xfId="17601" xr:uid="{F455F205-25E3-4305-AEA3-BDB7CCD7C3B6}"/>
    <cellStyle name="20% - Accent3 2 4 5" xfId="26046" xr:uid="{27A07881-7813-4EB1-8598-EEAEE159478F}"/>
    <cellStyle name="20% - Accent3 2 4 6" xfId="9160" xr:uid="{2C8BD18F-65A5-4A66-B5DA-448C28CAD043}"/>
    <cellStyle name="20% - Accent3 2 5" xfId="1040" xr:uid="{00000000-0005-0000-0000-000083010000}"/>
    <cellStyle name="20% - Accent3 2 5 2" xfId="3271" xr:uid="{00000000-0005-0000-0000-000084010000}"/>
    <cellStyle name="20% - Accent3 2 5 2 2" xfId="7494" xr:uid="{00000000-0005-0000-0000-000085010000}"/>
    <cellStyle name="20% - Accent3 2 5 2 2 2" xfId="24377" xr:uid="{CB25F842-46B1-44B7-ACED-458D3E76CAC2}"/>
    <cellStyle name="20% - Accent3 2 5 2 2 3" xfId="32823" xr:uid="{F2270027-B3D5-4171-AB21-2CC6947A0DE4}"/>
    <cellStyle name="20% - Accent3 2 5 2 2 4" xfId="15936" xr:uid="{E34ABBCC-BF9C-46B2-A5C1-B2CFEE6FA1DD}"/>
    <cellStyle name="20% - Accent3 2 5 2 3" xfId="20159" xr:uid="{052C5926-DD41-4DC7-B4FD-B70A981DE455}"/>
    <cellStyle name="20% - Accent3 2 5 2 4" xfId="28606" xr:uid="{6A29A1F9-E910-4091-8F7A-965902BFBF00}"/>
    <cellStyle name="20% - Accent3 2 5 2 5" xfId="11718" xr:uid="{5AE96EAA-C0E1-4649-90DA-4A8893FE1B6C}"/>
    <cellStyle name="20% - Accent3 2 5 3" xfId="5349" xr:uid="{00000000-0005-0000-0000-000086010000}"/>
    <cellStyle name="20% - Accent3 2 5 3 2" xfId="22232" xr:uid="{AE5E0C57-0F82-4CA4-AC60-866B9C6650AC}"/>
    <cellStyle name="20% - Accent3 2 5 3 3" xfId="30678" xr:uid="{5BA6FFE8-72C7-42D8-94FD-F753206D9C9C}"/>
    <cellStyle name="20% - Accent3 2 5 3 4" xfId="13791" xr:uid="{C07C6CF8-989D-45FD-A168-63BEFF19CAC2}"/>
    <cellStyle name="20% - Accent3 2 5 4" xfId="18014" xr:uid="{8CB9897B-F42B-4C17-904B-17D1D0E61C6A}"/>
    <cellStyle name="20% - Accent3 2 5 5" xfId="26459" xr:uid="{03F204B7-89B3-4FDD-869B-B07A513E13A6}"/>
    <cellStyle name="20% - Accent3 2 5 6" xfId="9573" xr:uid="{0D447B63-6E8A-4EDA-9F62-76DE964E10AD}"/>
    <cellStyle name="20% - Accent3 2 6" xfId="1454" xr:uid="{00000000-0005-0000-0000-000087010000}"/>
    <cellStyle name="20% - Accent3 2 6 2" xfId="3684" xr:uid="{00000000-0005-0000-0000-000088010000}"/>
    <cellStyle name="20% - Accent3 2 6 2 2" xfId="7907" xr:uid="{00000000-0005-0000-0000-000089010000}"/>
    <cellStyle name="20% - Accent3 2 6 2 2 2" xfId="24790" xr:uid="{AE089B35-C23A-4FB2-981E-EF2F4CB84D33}"/>
    <cellStyle name="20% - Accent3 2 6 2 2 3" xfId="33236" xr:uid="{9D3711AD-76DC-4BEA-8AA1-0F2D432E4424}"/>
    <cellStyle name="20% - Accent3 2 6 2 2 4" xfId="16349" xr:uid="{82A130E9-885D-46D5-A74B-A3AECA6BDF72}"/>
    <cellStyle name="20% - Accent3 2 6 2 3" xfId="20572" xr:uid="{6B9689EC-3396-4C2A-9CD6-BE94FC718610}"/>
    <cellStyle name="20% - Accent3 2 6 2 4" xfId="29019" xr:uid="{11B26A45-8F28-4686-8780-0334DB5E3A90}"/>
    <cellStyle name="20% - Accent3 2 6 2 5" xfId="12131" xr:uid="{2120D34D-73A6-4F0D-AE9C-33BC30743ED7}"/>
    <cellStyle name="20% - Accent3 2 6 3" xfId="5762" xr:uid="{00000000-0005-0000-0000-00008A010000}"/>
    <cellStyle name="20% - Accent3 2 6 3 2" xfId="22645" xr:uid="{5BA4D15F-6FA2-4502-9C60-811F1AF036C6}"/>
    <cellStyle name="20% - Accent3 2 6 3 3" xfId="31091" xr:uid="{BD15479E-3ED6-45D5-970A-CA30D2034676}"/>
    <cellStyle name="20% - Accent3 2 6 3 4" xfId="14204" xr:uid="{43899B8E-32B5-435C-B377-A9F8DE8C2BAC}"/>
    <cellStyle name="20% - Accent3 2 6 4" xfId="18427" xr:uid="{F0FA581F-8948-4EDA-BEA9-1F5360082456}"/>
    <cellStyle name="20% - Accent3 2 6 5" xfId="26872" xr:uid="{475C5976-C6DD-446A-BD73-13BC53524D7F}"/>
    <cellStyle name="20% - Accent3 2 6 6" xfId="9986" xr:uid="{582E543E-4DE3-457C-B9A3-4B569EA4859E}"/>
    <cellStyle name="20% - Accent3 2 7" xfId="1868" xr:uid="{00000000-0005-0000-0000-00008B010000}"/>
    <cellStyle name="20% - Accent3 2 7 2" xfId="4097" xr:uid="{00000000-0005-0000-0000-00008C010000}"/>
    <cellStyle name="20% - Accent3 2 7 2 2" xfId="8320" xr:uid="{00000000-0005-0000-0000-00008D010000}"/>
    <cellStyle name="20% - Accent3 2 7 2 2 2" xfId="25203" xr:uid="{B795C3F7-2C8D-4803-A2E1-56869AE9DD27}"/>
    <cellStyle name="20% - Accent3 2 7 2 2 3" xfId="33649" xr:uid="{AB0D52F7-A846-4C4B-A500-CBB1D100125E}"/>
    <cellStyle name="20% - Accent3 2 7 2 2 4" xfId="16762" xr:uid="{B3B6A1AD-FDD9-4EF2-A672-4A7D4CC79C38}"/>
    <cellStyle name="20% - Accent3 2 7 2 3" xfId="20985" xr:uid="{00E65DCB-EEF1-4EE5-9A8C-C9161F7EB65C}"/>
    <cellStyle name="20% - Accent3 2 7 2 4" xfId="29432" xr:uid="{5E281655-72DF-4A4B-BFC0-08978C6650F4}"/>
    <cellStyle name="20% - Accent3 2 7 2 5" xfId="12544" xr:uid="{E09E9E31-E8BF-4A8A-B447-66839D58507C}"/>
    <cellStyle name="20% - Accent3 2 7 3" xfId="6175" xr:uid="{00000000-0005-0000-0000-00008E010000}"/>
    <cellStyle name="20% - Accent3 2 7 3 2" xfId="23058" xr:uid="{949782E8-CAE6-4DED-B3AA-899C06058A74}"/>
    <cellStyle name="20% - Accent3 2 7 3 3" xfId="31504" xr:uid="{7138AF5C-BBE7-4367-85E6-8DBA6CBF7469}"/>
    <cellStyle name="20% - Accent3 2 7 3 4" xfId="14617" xr:uid="{6E8E1075-9920-487E-8856-A663563BBE2A}"/>
    <cellStyle name="20% - Accent3 2 7 4" xfId="18840" xr:uid="{C0F2EB01-4676-48FD-B1A3-E79007DF2DBC}"/>
    <cellStyle name="20% - Accent3 2 7 5" xfId="27285" xr:uid="{5DD211D8-DD3B-42F3-8859-798A40DCAF0A}"/>
    <cellStyle name="20% - Accent3 2 7 6" xfId="10399" xr:uid="{C68A898B-B93B-4ECB-9CBE-F3FBA056AB3A}"/>
    <cellStyle name="20% - Accent3 2 8" xfId="2281" xr:uid="{00000000-0005-0000-0000-00008F010000}"/>
    <cellStyle name="20% - Accent3 2 8 2" xfId="6588" xr:uid="{00000000-0005-0000-0000-000090010000}"/>
    <cellStyle name="20% - Accent3 2 8 2 2" xfId="23471" xr:uid="{2F191159-216B-4AA3-B884-CD364E6233F1}"/>
    <cellStyle name="20% - Accent3 2 8 2 3" xfId="31917" xr:uid="{47069916-30D6-4CB6-9596-D089B9D9FE7F}"/>
    <cellStyle name="20% - Accent3 2 8 2 4" xfId="15030" xr:uid="{6EA1FAF6-66CF-4F72-9B95-C105C614A9E6}"/>
    <cellStyle name="20% - Accent3 2 8 3" xfId="19253" xr:uid="{8825276B-7173-4702-BD29-2F5300C7C053}"/>
    <cellStyle name="20% - Accent3 2 8 4" xfId="27698" xr:uid="{1A195496-D954-40B2-B0E4-1239AD49AD85}"/>
    <cellStyle name="20% - Accent3 2 8 5" xfId="10812" xr:uid="{2892B0BD-939F-4525-B7F2-B32D99133103}"/>
    <cellStyle name="20% - Accent3 2 9" xfId="4522" xr:uid="{00000000-0005-0000-0000-000091010000}"/>
    <cellStyle name="20% - Accent3 2 9 2" xfId="21405" xr:uid="{8FC4D71C-17A2-417B-8E89-F5D9C6D835B2}"/>
    <cellStyle name="20% - Accent3 2 9 3" xfId="29851" xr:uid="{32C24AB7-0246-4633-98BE-9D842A2937EB}"/>
    <cellStyle name="20% - Accent3 2 9 4" xfId="12964" xr:uid="{E966D0D8-99C9-47A1-B94C-4A4A6D9E1ACE}"/>
    <cellStyle name="20% - Accent3 3" xfId="22" xr:uid="{00000000-0005-0000-0000-000092010000}"/>
    <cellStyle name="20% - Accent3 3 10" xfId="25633" xr:uid="{77A059BD-9128-4B9C-AE02-2D47B8D5259B}"/>
    <cellStyle name="20% - Accent3 3 11" xfId="8750" xr:uid="{1CF50AFA-9AF3-4A7C-867E-2AB1A25F1301}"/>
    <cellStyle name="20% - Accent3 3 2" xfId="23" xr:uid="{00000000-0005-0000-0000-000093010000}"/>
    <cellStyle name="20% - Accent3 3 2 10" xfId="8751" xr:uid="{1D87443A-FED2-4113-8C48-CBFE587D8BE6}"/>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23969" xr:uid="{90E11D57-8D42-44C9-9719-EC7A118E3B14}"/>
    <cellStyle name="20% - Accent3 3 2 2 2 2 3" xfId="32415" xr:uid="{C4E1C06F-2905-4C19-A04B-2E83BDDE1576}"/>
    <cellStyle name="20% - Accent3 3 2 2 2 2 4" xfId="15528" xr:uid="{86C30301-BBFA-46CD-B306-0EB961DC7144}"/>
    <cellStyle name="20% - Accent3 3 2 2 2 3" xfId="19751" xr:uid="{D313A860-3D85-4330-8996-9D88B4BD1652}"/>
    <cellStyle name="20% - Accent3 3 2 2 2 4" xfId="28198" xr:uid="{2965E721-BA81-430C-96A7-9F612C5A563D}"/>
    <cellStyle name="20% - Accent3 3 2 2 2 5" xfId="11310" xr:uid="{2344126B-5675-44FA-A4A7-1F8EA79BB440}"/>
    <cellStyle name="20% - Accent3 3 2 2 3" xfId="4941" xr:uid="{00000000-0005-0000-0000-000097010000}"/>
    <cellStyle name="20% - Accent3 3 2 2 3 2" xfId="21824" xr:uid="{EF55214F-C241-475C-8725-0C3654782C9C}"/>
    <cellStyle name="20% - Accent3 3 2 2 3 3" xfId="30270" xr:uid="{7758D34A-749E-4924-B464-522F31A6679D}"/>
    <cellStyle name="20% - Accent3 3 2 2 3 4" xfId="13383" xr:uid="{48BC4920-FD27-4DC6-9468-04362DEB8D87}"/>
    <cellStyle name="20% - Accent3 3 2 2 4" xfId="17606" xr:uid="{01C3E2FA-3E19-4BF2-A95F-B04FD3BDA42A}"/>
    <cellStyle name="20% - Accent3 3 2 2 5" xfId="26051" xr:uid="{ED9DA0BF-97A6-4E21-B864-048B983F7506}"/>
    <cellStyle name="20% - Accent3 3 2 2 6" xfId="9165" xr:uid="{190A2BA5-AA92-4E73-8293-B380619BDB70}"/>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24382" xr:uid="{C39EB351-42E7-4A2C-8D23-4177DB3D0DF8}"/>
    <cellStyle name="20% - Accent3 3 2 3 2 2 3" xfId="32828" xr:uid="{F2687239-E012-4C8A-813A-D104C7EF654F}"/>
    <cellStyle name="20% - Accent3 3 2 3 2 2 4" xfId="15941" xr:uid="{F1B7F521-961C-42D0-AA70-8EE5AF9C1131}"/>
    <cellStyle name="20% - Accent3 3 2 3 2 3" xfId="20164" xr:uid="{74D81849-3184-4835-B330-F4D0B21655B2}"/>
    <cellStyle name="20% - Accent3 3 2 3 2 4" xfId="28611" xr:uid="{2654C99E-2B22-4733-A07F-36457537EE30}"/>
    <cellStyle name="20% - Accent3 3 2 3 2 5" xfId="11723" xr:uid="{46D22187-1B12-4CF7-AB5C-261EC715854B}"/>
    <cellStyle name="20% - Accent3 3 2 3 3" xfId="5354" xr:uid="{00000000-0005-0000-0000-00009B010000}"/>
    <cellStyle name="20% - Accent3 3 2 3 3 2" xfId="22237" xr:uid="{3D62D977-7ED7-473B-8EEA-8C48D7A30986}"/>
    <cellStyle name="20% - Accent3 3 2 3 3 3" xfId="30683" xr:uid="{6DA9B636-0B37-4881-92CE-73F0502203CB}"/>
    <cellStyle name="20% - Accent3 3 2 3 3 4" xfId="13796" xr:uid="{A94B293C-B2D7-4F9B-8191-1E6953A2B9CF}"/>
    <cellStyle name="20% - Accent3 3 2 3 4" xfId="18019" xr:uid="{08A19784-6CE2-4C11-80EC-108F1F1954F8}"/>
    <cellStyle name="20% - Accent3 3 2 3 5" xfId="26464" xr:uid="{DAB3FF62-59D8-4003-92DF-A67BE7A645F9}"/>
    <cellStyle name="20% - Accent3 3 2 3 6" xfId="9578" xr:uid="{F8568C8C-9895-4C23-BA05-63ED0B59948E}"/>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24795" xr:uid="{8A1D275C-1786-4B49-9702-AB8E8E96D0B8}"/>
    <cellStyle name="20% - Accent3 3 2 4 2 2 3" xfId="33241" xr:uid="{F6C7BD7E-6DE5-4F98-A1D3-4D6B55FA17EA}"/>
    <cellStyle name="20% - Accent3 3 2 4 2 2 4" xfId="16354" xr:uid="{D227212C-087B-485D-B09D-9299ED85FEBD}"/>
    <cellStyle name="20% - Accent3 3 2 4 2 3" xfId="20577" xr:uid="{4D87B1B4-314E-4E5A-9050-D0C3973C40DD}"/>
    <cellStyle name="20% - Accent3 3 2 4 2 4" xfId="29024" xr:uid="{EA10C71F-E853-4A31-82A4-3F12CCFA4FEF}"/>
    <cellStyle name="20% - Accent3 3 2 4 2 5" xfId="12136" xr:uid="{10A73A23-0B19-441F-9268-A84210758050}"/>
    <cellStyle name="20% - Accent3 3 2 4 3" xfId="5767" xr:uid="{00000000-0005-0000-0000-00009F010000}"/>
    <cellStyle name="20% - Accent3 3 2 4 3 2" xfId="22650" xr:uid="{A0BCA880-E52D-45AA-AEFF-7B00C9216345}"/>
    <cellStyle name="20% - Accent3 3 2 4 3 3" xfId="31096" xr:uid="{AAEBF57B-5FF6-4862-A969-BD4D6F7582FA}"/>
    <cellStyle name="20% - Accent3 3 2 4 3 4" xfId="14209" xr:uid="{92460EAE-253C-4426-9B36-3B87F0934758}"/>
    <cellStyle name="20% - Accent3 3 2 4 4" xfId="18432" xr:uid="{93A2B382-B3A4-44AA-9846-29AC0ED2BFBB}"/>
    <cellStyle name="20% - Accent3 3 2 4 5" xfId="26877" xr:uid="{FB6698CA-A5B6-426D-A4EF-0A539B085F17}"/>
    <cellStyle name="20% - Accent3 3 2 4 6" xfId="9991" xr:uid="{B355281E-7366-4BBD-A8DB-4D377AE44D7E}"/>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25208" xr:uid="{EB154F5F-24EB-4400-86C0-AA414F37E083}"/>
    <cellStyle name="20% - Accent3 3 2 5 2 2 3" xfId="33654" xr:uid="{C54FCD45-4524-4E1B-8E82-7BEF58072E5B}"/>
    <cellStyle name="20% - Accent3 3 2 5 2 2 4" xfId="16767" xr:uid="{E5FC95A2-DBCD-407F-8D55-0917A29315A8}"/>
    <cellStyle name="20% - Accent3 3 2 5 2 3" xfId="20990" xr:uid="{912CF7BD-7B5E-47D0-A309-A86791B22BCA}"/>
    <cellStyle name="20% - Accent3 3 2 5 2 4" xfId="29437" xr:uid="{2A181CE1-3B6A-4D2C-9F26-0A34BEAA85AA}"/>
    <cellStyle name="20% - Accent3 3 2 5 2 5" xfId="12549" xr:uid="{C4946F87-4DAB-4BB2-9E52-E63F53C1F24E}"/>
    <cellStyle name="20% - Accent3 3 2 5 3" xfId="6180" xr:uid="{00000000-0005-0000-0000-0000A3010000}"/>
    <cellStyle name="20% - Accent3 3 2 5 3 2" xfId="23063" xr:uid="{1921AA1D-5DB5-41D6-AABF-CCCE4200063F}"/>
    <cellStyle name="20% - Accent3 3 2 5 3 3" xfId="31509" xr:uid="{29AB48C6-C570-426F-87A8-AB7AB7F4E6F2}"/>
    <cellStyle name="20% - Accent3 3 2 5 3 4" xfId="14622" xr:uid="{386F69F7-5299-4CB2-8250-268AD8EEC601}"/>
    <cellStyle name="20% - Accent3 3 2 5 4" xfId="18845" xr:uid="{272A7C1E-22CE-4EB5-AC56-D8C0DDCD263D}"/>
    <cellStyle name="20% - Accent3 3 2 5 5" xfId="27290" xr:uid="{4259D31A-BF3E-4C24-85A1-D801ACAA6FC0}"/>
    <cellStyle name="20% - Accent3 3 2 5 6" xfId="10404" xr:uid="{E64604F7-1174-41CC-950A-CB39AB8ADC70}"/>
    <cellStyle name="20% - Accent3 3 2 6" xfId="2286" xr:uid="{00000000-0005-0000-0000-0000A4010000}"/>
    <cellStyle name="20% - Accent3 3 2 6 2" xfId="6593" xr:uid="{00000000-0005-0000-0000-0000A5010000}"/>
    <cellStyle name="20% - Accent3 3 2 6 2 2" xfId="23476" xr:uid="{CE158B6C-098D-4EE5-989E-F18EC53E4DA2}"/>
    <cellStyle name="20% - Accent3 3 2 6 2 3" xfId="31922" xr:uid="{E7410096-8A92-4E4E-AE32-67CA75E736FD}"/>
    <cellStyle name="20% - Accent3 3 2 6 2 4" xfId="15035" xr:uid="{0C8B8834-168B-4D9E-B7A7-9905FC682D9A}"/>
    <cellStyle name="20% - Accent3 3 2 6 3" xfId="19258" xr:uid="{82C551DC-F3C0-4E45-8FEE-9B9B9FCC3DC5}"/>
    <cellStyle name="20% - Accent3 3 2 6 4" xfId="27703" xr:uid="{CD354F96-D229-4368-A491-D1BC42FC8073}"/>
    <cellStyle name="20% - Accent3 3 2 6 5" xfId="10817" xr:uid="{FF233801-3125-44C2-9901-8E7AF324DD7C}"/>
    <cellStyle name="20% - Accent3 3 2 7" xfId="4527" xr:uid="{00000000-0005-0000-0000-0000A6010000}"/>
    <cellStyle name="20% - Accent3 3 2 7 2" xfId="21410" xr:uid="{E82A39D7-856E-44D3-AACE-80464B6F47AB}"/>
    <cellStyle name="20% - Accent3 3 2 7 3" xfId="29856" xr:uid="{C558810A-EBD5-43EC-B4EB-7684F720F535}"/>
    <cellStyle name="20% - Accent3 3 2 7 4" xfId="12969" xr:uid="{E8E658FC-71C0-4A88-82A0-9780C5ECB0B9}"/>
    <cellStyle name="20% - Accent3 3 2 8" xfId="17192" xr:uid="{8FCBA131-FA89-4741-8EC8-3DD5F4E642AF}"/>
    <cellStyle name="20% - Accent3 3 2 9" xfId="25634" xr:uid="{5602F347-2868-4F75-80AC-B2AD7A7D2A5E}"/>
    <cellStyle name="20% - Accent3 3 3" xfId="591" xr:uid="{00000000-0005-0000-0000-0000A7010000}"/>
    <cellStyle name="20% - Accent3 3 3 2" xfId="2862" xr:uid="{00000000-0005-0000-0000-0000A8010000}"/>
    <cellStyle name="20% - Accent3 3 3 2 2" xfId="7085" xr:uid="{00000000-0005-0000-0000-0000A9010000}"/>
    <cellStyle name="20% - Accent3 3 3 2 2 2" xfId="23968" xr:uid="{D1D1D876-F29C-4C84-A73A-2D23EC6DEC76}"/>
    <cellStyle name="20% - Accent3 3 3 2 2 3" xfId="32414" xr:uid="{4783EC02-5790-4FD8-95CE-EE065AB3E27A}"/>
    <cellStyle name="20% - Accent3 3 3 2 2 4" xfId="15527" xr:uid="{53CB14A7-5E5C-4773-B587-C365C17323A8}"/>
    <cellStyle name="20% - Accent3 3 3 2 3" xfId="19750" xr:uid="{B7BBAD66-1710-4001-AD36-A9F8D81016AD}"/>
    <cellStyle name="20% - Accent3 3 3 2 4" xfId="28197" xr:uid="{72C29C59-F66C-4C0A-80DE-B64360D8AE94}"/>
    <cellStyle name="20% - Accent3 3 3 2 5" xfId="11309" xr:uid="{14AF9E24-4009-4335-A162-F6E1ABD0ABD2}"/>
    <cellStyle name="20% - Accent3 3 3 3" xfId="4940" xr:uid="{00000000-0005-0000-0000-0000AA010000}"/>
    <cellStyle name="20% - Accent3 3 3 3 2" xfId="21823" xr:uid="{DA51B7CE-29C6-442A-8F2C-02B1C858BFDF}"/>
    <cellStyle name="20% - Accent3 3 3 3 3" xfId="30269" xr:uid="{36ACE756-EEDC-4951-94ED-DAF4876E6CB0}"/>
    <cellStyle name="20% - Accent3 3 3 3 4" xfId="13382" xr:uid="{91565268-AEB2-4230-A0A1-60D2C9D9F0D7}"/>
    <cellStyle name="20% - Accent3 3 3 4" xfId="17605" xr:uid="{718231F3-F430-45B8-A76E-08D6E5E7748E}"/>
    <cellStyle name="20% - Accent3 3 3 5" xfId="26050" xr:uid="{E18B91FF-389C-466E-9708-711F67C34A9C}"/>
    <cellStyle name="20% - Accent3 3 3 6" xfId="9164" xr:uid="{083F75DD-3DBD-4B60-B231-7B6BAFCD3FA5}"/>
    <cellStyle name="20% - Accent3 3 4" xfId="1044" xr:uid="{00000000-0005-0000-0000-0000AB010000}"/>
    <cellStyle name="20% - Accent3 3 4 2" xfId="3275" xr:uid="{00000000-0005-0000-0000-0000AC010000}"/>
    <cellStyle name="20% - Accent3 3 4 2 2" xfId="7498" xr:uid="{00000000-0005-0000-0000-0000AD010000}"/>
    <cellStyle name="20% - Accent3 3 4 2 2 2" xfId="24381" xr:uid="{42B27484-77A2-4432-9801-939C8C49D8B7}"/>
    <cellStyle name="20% - Accent3 3 4 2 2 3" xfId="32827" xr:uid="{A24D0B20-7146-4178-998C-BB322FD85118}"/>
    <cellStyle name="20% - Accent3 3 4 2 2 4" xfId="15940" xr:uid="{4E480184-6D74-4862-981E-524FAB7AE74E}"/>
    <cellStyle name="20% - Accent3 3 4 2 3" xfId="20163" xr:uid="{AACD7E84-915A-43D6-A34E-876B79600A2A}"/>
    <cellStyle name="20% - Accent3 3 4 2 4" xfId="28610" xr:uid="{91413097-86A1-427A-8AAE-D0689FAD559F}"/>
    <cellStyle name="20% - Accent3 3 4 2 5" xfId="11722" xr:uid="{B048F205-123E-4AA0-A3F6-30D269C743A4}"/>
    <cellStyle name="20% - Accent3 3 4 3" xfId="5353" xr:uid="{00000000-0005-0000-0000-0000AE010000}"/>
    <cellStyle name="20% - Accent3 3 4 3 2" xfId="22236" xr:uid="{E647B74E-9BB5-4C28-A462-65BF58CFAFD6}"/>
    <cellStyle name="20% - Accent3 3 4 3 3" xfId="30682" xr:uid="{188BD025-45CD-4211-A8FA-0BA66B4786B0}"/>
    <cellStyle name="20% - Accent3 3 4 3 4" xfId="13795" xr:uid="{E8000AA5-53B7-4B99-862B-9794D9A3A8C3}"/>
    <cellStyle name="20% - Accent3 3 4 4" xfId="18018" xr:uid="{0DE71967-B2A3-44E7-A29C-E428A17638DB}"/>
    <cellStyle name="20% - Accent3 3 4 5" xfId="26463" xr:uid="{8DC0B9FE-331E-4AB2-9FDD-2D35AC7708D1}"/>
    <cellStyle name="20% - Accent3 3 4 6" xfId="9577" xr:uid="{3B8D5338-1B42-4D27-A964-BFFB899937D4}"/>
    <cellStyle name="20% - Accent3 3 5" xfId="1458" xr:uid="{00000000-0005-0000-0000-0000AF010000}"/>
    <cellStyle name="20% - Accent3 3 5 2" xfId="3688" xr:uid="{00000000-0005-0000-0000-0000B0010000}"/>
    <cellStyle name="20% - Accent3 3 5 2 2" xfId="7911" xr:uid="{00000000-0005-0000-0000-0000B1010000}"/>
    <cellStyle name="20% - Accent3 3 5 2 2 2" xfId="24794" xr:uid="{8EEF5387-BC25-4157-8378-D0543BA4A44F}"/>
    <cellStyle name="20% - Accent3 3 5 2 2 3" xfId="33240" xr:uid="{A022AA53-4092-45A7-BC99-AFEA2E2D0A57}"/>
    <cellStyle name="20% - Accent3 3 5 2 2 4" xfId="16353" xr:uid="{533043D4-23D5-4034-AEF3-1AA2F863D352}"/>
    <cellStyle name="20% - Accent3 3 5 2 3" xfId="20576" xr:uid="{C2375581-3B78-4943-BCEC-04C520E00896}"/>
    <cellStyle name="20% - Accent3 3 5 2 4" xfId="29023" xr:uid="{829D352F-BBDE-44E4-84E6-31CE51D40247}"/>
    <cellStyle name="20% - Accent3 3 5 2 5" xfId="12135" xr:uid="{920DEAC7-C62F-4663-99F0-09C41EBDE916}"/>
    <cellStyle name="20% - Accent3 3 5 3" xfId="5766" xr:uid="{00000000-0005-0000-0000-0000B2010000}"/>
    <cellStyle name="20% - Accent3 3 5 3 2" xfId="22649" xr:uid="{F4087667-2F1C-480F-B4A6-9981EFF4A2D2}"/>
    <cellStyle name="20% - Accent3 3 5 3 3" xfId="31095" xr:uid="{7715B417-CD74-4240-99BB-3C288AE9BF84}"/>
    <cellStyle name="20% - Accent3 3 5 3 4" xfId="14208" xr:uid="{CA7A796F-E822-4D01-80B4-9CE3DA91584C}"/>
    <cellStyle name="20% - Accent3 3 5 4" xfId="18431" xr:uid="{037D63F1-A89A-407A-9DF7-A25AA412E3B0}"/>
    <cellStyle name="20% - Accent3 3 5 5" xfId="26876" xr:uid="{F2C66B34-7752-4965-A4DB-384C86D921E7}"/>
    <cellStyle name="20% - Accent3 3 5 6" xfId="9990" xr:uid="{6B75F214-120C-46AE-A063-8D3AE04F4BC2}"/>
    <cellStyle name="20% - Accent3 3 6" xfId="1872" xr:uid="{00000000-0005-0000-0000-0000B3010000}"/>
    <cellStyle name="20% - Accent3 3 6 2" xfId="4101" xr:uid="{00000000-0005-0000-0000-0000B4010000}"/>
    <cellStyle name="20% - Accent3 3 6 2 2" xfId="8324" xr:uid="{00000000-0005-0000-0000-0000B5010000}"/>
    <cellStyle name="20% - Accent3 3 6 2 2 2" xfId="25207" xr:uid="{5BDF088B-7EF2-4188-991A-7AA076A5D749}"/>
    <cellStyle name="20% - Accent3 3 6 2 2 3" xfId="33653" xr:uid="{901485E0-44A9-4533-9B90-133F5286410D}"/>
    <cellStyle name="20% - Accent3 3 6 2 2 4" xfId="16766" xr:uid="{D5D363A5-42C7-42C4-8137-433EDA8D8EEC}"/>
    <cellStyle name="20% - Accent3 3 6 2 3" xfId="20989" xr:uid="{9FE67AA9-4D55-4603-8613-BF5EBB2D9AC5}"/>
    <cellStyle name="20% - Accent3 3 6 2 4" xfId="29436" xr:uid="{7C964F5D-1999-436F-8E8D-8558837A3899}"/>
    <cellStyle name="20% - Accent3 3 6 2 5" xfId="12548" xr:uid="{8D5D24F9-E973-45E9-9ABE-37988BA57A55}"/>
    <cellStyle name="20% - Accent3 3 6 3" xfId="6179" xr:uid="{00000000-0005-0000-0000-0000B6010000}"/>
    <cellStyle name="20% - Accent3 3 6 3 2" xfId="23062" xr:uid="{9EC591DC-F138-4B01-9714-1650360C43CD}"/>
    <cellStyle name="20% - Accent3 3 6 3 3" xfId="31508" xr:uid="{E0F49BBF-4782-4D0D-B5D9-6F8198F0C921}"/>
    <cellStyle name="20% - Accent3 3 6 3 4" xfId="14621" xr:uid="{E974B19C-585F-4CB9-82D1-FDC090A794D7}"/>
    <cellStyle name="20% - Accent3 3 6 4" xfId="18844" xr:uid="{C1C3E246-E492-4498-8886-2A6B2CA1E3AF}"/>
    <cellStyle name="20% - Accent3 3 6 5" xfId="27289" xr:uid="{94ACCB00-6A55-4C4B-8BA0-0A61B44EE28F}"/>
    <cellStyle name="20% - Accent3 3 6 6" xfId="10403" xr:uid="{B822B47C-5594-4E9C-BB0A-3DD76AB2D3E1}"/>
    <cellStyle name="20% - Accent3 3 7" xfId="2285" xr:uid="{00000000-0005-0000-0000-0000B7010000}"/>
    <cellStyle name="20% - Accent3 3 7 2" xfId="6592" xr:uid="{00000000-0005-0000-0000-0000B8010000}"/>
    <cellStyle name="20% - Accent3 3 7 2 2" xfId="23475" xr:uid="{F9EA0C7B-D2FF-4789-BE48-E817580A9EC2}"/>
    <cellStyle name="20% - Accent3 3 7 2 3" xfId="31921" xr:uid="{25187A62-F28E-4C9E-907E-120FF5C5A541}"/>
    <cellStyle name="20% - Accent3 3 7 2 4" xfId="15034" xr:uid="{15BFE593-C1DC-4378-8D27-4E67E81CDB2F}"/>
    <cellStyle name="20% - Accent3 3 7 3" xfId="19257" xr:uid="{77E9C0F9-3D7D-4A39-B31F-9CE6F2D4B109}"/>
    <cellStyle name="20% - Accent3 3 7 4" xfId="27702" xr:uid="{61D3F492-6430-49C7-9424-D090E46C1867}"/>
    <cellStyle name="20% - Accent3 3 7 5" xfId="10816" xr:uid="{B83CA96E-F0C6-4AB1-BFA7-AD431032F70B}"/>
    <cellStyle name="20% - Accent3 3 8" xfId="4526" xr:uid="{00000000-0005-0000-0000-0000B9010000}"/>
    <cellStyle name="20% - Accent3 3 8 2" xfId="21409" xr:uid="{1F71E01A-DDAE-4451-A9A2-717B14262BEB}"/>
    <cellStyle name="20% - Accent3 3 8 3" xfId="29855" xr:uid="{A3CAFFEA-F5D6-4069-A0F8-879C22F6497F}"/>
    <cellStyle name="20% - Accent3 3 8 4" xfId="12968" xr:uid="{5EB2E637-8102-48AB-A9B9-F26A207118C2}"/>
    <cellStyle name="20% - Accent3 3 9" xfId="17191" xr:uid="{0B399BAE-0D4B-4EAB-958A-CD0402474CC8}"/>
    <cellStyle name="20% - Accent3 4" xfId="24" xr:uid="{00000000-0005-0000-0000-0000BA010000}"/>
    <cellStyle name="20% - Accent3 4 10" xfId="8752" xr:uid="{62111865-2CEF-447F-842A-0181A9F8B248}"/>
    <cellStyle name="20% - Accent3 4 2" xfId="593" xr:uid="{00000000-0005-0000-0000-0000BB010000}"/>
    <cellStyle name="20% - Accent3 4 2 2" xfId="2864" xr:uid="{00000000-0005-0000-0000-0000BC010000}"/>
    <cellStyle name="20% - Accent3 4 2 2 2" xfId="7087" xr:uid="{00000000-0005-0000-0000-0000BD010000}"/>
    <cellStyle name="20% - Accent3 4 2 2 2 2" xfId="23970" xr:uid="{45BB5FDF-E434-4EBD-B1DA-4A60FB15E43D}"/>
    <cellStyle name="20% - Accent3 4 2 2 2 3" xfId="32416" xr:uid="{42314A64-8FB1-45B3-9890-98B117C7E2E9}"/>
    <cellStyle name="20% - Accent3 4 2 2 2 4" xfId="15529" xr:uid="{BA623AD8-816D-404D-9AE0-C82DD085C7B9}"/>
    <cellStyle name="20% - Accent3 4 2 2 3" xfId="19752" xr:uid="{8390BA9B-8B21-45C8-B714-CAE28BD3F4F8}"/>
    <cellStyle name="20% - Accent3 4 2 2 4" xfId="28199" xr:uid="{BC032C26-2DC2-4391-828C-2DEFDD45EF2B}"/>
    <cellStyle name="20% - Accent3 4 2 2 5" xfId="11311" xr:uid="{6CDF357B-E8D9-4635-8742-EBD1FFE27A16}"/>
    <cellStyle name="20% - Accent3 4 2 3" xfId="4942" xr:uid="{00000000-0005-0000-0000-0000BE010000}"/>
    <cellStyle name="20% - Accent3 4 2 3 2" xfId="21825" xr:uid="{BF203668-FAFE-49A7-853D-91EE2511946A}"/>
    <cellStyle name="20% - Accent3 4 2 3 3" xfId="30271" xr:uid="{D30F8207-FD93-4D47-9ADA-8B11733B2920}"/>
    <cellStyle name="20% - Accent3 4 2 3 4" xfId="13384" xr:uid="{F66AB729-CB12-4D4D-ADED-19933FC5F8CF}"/>
    <cellStyle name="20% - Accent3 4 2 4" xfId="17607" xr:uid="{DD76CEE7-DA64-4D8B-8875-C0057BBE6A43}"/>
    <cellStyle name="20% - Accent3 4 2 5" xfId="26052" xr:uid="{6BB1C41D-FAC0-4C98-9BAD-F4E3A540CA67}"/>
    <cellStyle name="20% - Accent3 4 2 6" xfId="9166" xr:uid="{98B9B045-14EC-4758-8CCC-C9B43A0A38C1}"/>
    <cellStyle name="20% - Accent3 4 3" xfId="1046" xr:uid="{00000000-0005-0000-0000-0000BF010000}"/>
    <cellStyle name="20% - Accent3 4 3 2" xfId="3277" xr:uid="{00000000-0005-0000-0000-0000C0010000}"/>
    <cellStyle name="20% - Accent3 4 3 2 2" xfId="7500" xr:uid="{00000000-0005-0000-0000-0000C1010000}"/>
    <cellStyle name="20% - Accent3 4 3 2 2 2" xfId="24383" xr:uid="{DC373168-5145-4826-B060-E34FF196F290}"/>
    <cellStyle name="20% - Accent3 4 3 2 2 3" xfId="32829" xr:uid="{E84DC1A8-D0F0-4048-9E93-C95F20B5CE09}"/>
    <cellStyle name="20% - Accent3 4 3 2 2 4" xfId="15942" xr:uid="{03C8160B-560A-47EC-989B-6888892263E4}"/>
    <cellStyle name="20% - Accent3 4 3 2 3" xfId="20165" xr:uid="{E265DE91-51C6-49B0-B39F-C50CD977E0BB}"/>
    <cellStyle name="20% - Accent3 4 3 2 4" xfId="28612" xr:uid="{4BA46AE1-7FDF-4570-BFB2-8BFA0F110FEB}"/>
    <cellStyle name="20% - Accent3 4 3 2 5" xfId="11724" xr:uid="{93B00D92-3C4F-40F0-85E9-23F195F0AE7C}"/>
    <cellStyle name="20% - Accent3 4 3 3" xfId="5355" xr:uid="{00000000-0005-0000-0000-0000C2010000}"/>
    <cellStyle name="20% - Accent3 4 3 3 2" xfId="22238" xr:uid="{CD4DD9F9-DC06-4E36-A9BC-240EE0041167}"/>
    <cellStyle name="20% - Accent3 4 3 3 3" xfId="30684" xr:uid="{9BA0714A-7FF3-4FFE-9224-17F10E86D0FD}"/>
    <cellStyle name="20% - Accent3 4 3 3 4" xfId="13797" xr:uid="{0EA5A862-9D47-47E2-9A32-E5CA32E0BFF3}"/>
    <cellStyle name="20% - Accent3 4 3 4" xfId="18020" xr:uid="{6511DA84-78AB-4356-9F46-EC940E34B3B9}"/>
    <cellStyle name="20% - Accent3 4 3 5" xfId="26465" xr:uid="{FBCDA683-B90D-489D-92DE-EB46C4B22228}"/>
    <cellStyle name="20% - Accent3 4 3 6" xfId="9579" xr:uid="{30AD5942-725A-4185-94BF-E4E5C33A61EB}"/>
    <cellStyle name="20% - Accent3 4 4" xfId="1460" xr:uid="{00000000-0005-0000-0000-0000C3010000}"/>
    <cellStyle name="20% - Accent3 4 4 2" xfId="3690" xr:uid="{00000000-0005-0000-0000-0000C4010000}"/>
    <cellStyle name="20% - Accent3 4 4 2 2" xfId="7913" xr:uid="{00000000-0005-0000-0000-0000C5010000}"/>
    <cellStyle name="20% - Accent3 4 4 2 2 2" xfId="24796" xr:uid="{7D8B3729-727F-42A9-8BC2-36414AD2948E}"/>
    <cellStyle name="20% - Accent3 4 4 2 2 3" xfId="33242" xr:uid="{F3E46452-798E-4975-9B54-F84E36647D82}"/>
    <cellStyle name="20% - Accent3 4 4 2 2 4" xfId="16355" xr:uid="{2483E305-D209-486A-AABC-F9051C65DA37}"/>
    <cellStyle name="20% - Accent3 4 4 2 3" xfId="20578" xr:uid="{D490325E-4182-4EAB-B8BB-F8B6AC2E22C9}"/>
    <cellStyle name="20% - Accent3 4 4 2 4" xfId="29025" xr:uid="{BC6B5BE3-6B91-4D8D-BF48-5ADD65ABA1D6}"/>
    <cellStyle name="20% - Accent3 4 4 2 5" xfId="12137" xr:uid="{ECE29ED6-CC8A-4610-A288-EE9E4C99EB8C}"/>
    <cellStyle name="20% - Accent3 4 4 3" xfId="5768" xr:uid="{00000000-0005-0000-0000-0000C6010000}"/>
    <cellStyle name="20% - Accent3 4 4 3 2" xfId="22651" xr:uid="{0D6A2A21-8B6C-4196-903E-CB8DF99C2C71}"/>
    <cellStyle name="20% - Accent3 4 4 3 3" xfId="31097" xr:uid="{DA62806D-017B-4E5D-B1AC-89F487142F79}"/>
    <cellStyle name="20% - Accent3 4 4 3 4" xfId="14210" xr:uid="{AB0FC847-97FC-481D-994B-46CDEC8A7ACB}"/>
    <cellStyle name="20% - Accent3 4 4 4" xfId="18433" xr:uid="{F8A7B7AA-2576-4D36-84D2-B14AD93C55EB}"/>
    <cellStyle name="20% - Accent3 4 4 5" xfId="26878" xr:uid="{ABC9FB6E-779D-4209-AC08-B9F10F4D0492}"/>
    <cellStyle name="20% - Accent3 4 4 6" xfId="9992" xr:uid="{652A4AA6-411B-41FA-B11D-BC99693D2381}"/>
    <cellStyle name="20% - Accent3 4 5" xfId="1874" xr:uid="{00000000-0005-0000-0000-0000C7010000}"/>
    <cellStyle name="20% - Accent3 4 5 2" xfId="4103" xr:uid="{00000000-0005-0000-0000-0000C8010000}"/>
    <cellStyle name="20% - Accent3 4 5 2 2" xfId="8326" xr:uid="{00000000-0005-0000-0000-0000C9010000}"/>
    <cellStyle name="20% - Accent3 4 5 2 2 2" xfId="25209" xr:uid="{727B5025-9A78-47F8-91A1-A85145AB9B3D}"/>
    <cellStyle name="20% - Accent3 4 5 2 2 3" xfId="33655" xr:uid="{26F7721D-27B1-4FA8-A964-E4B04D919D65}"/>
    <cellStyle name="20% - Accent3 4 5 2 2 4" xfId="16768" xr:uid="{6A9662A1-06A4-428A-9755-148D3E563928}"/>
    <cellStyle name="20% - Accent3 4 5 2 3" xfId="20991" xr:uid="{85BE34CA-653B-4331-A7B0-026FC495C785}"/>
    <cellStyle name="20% - Accent3 4 5 2 4" xfId="29438" xr:uid="{A05D15E3-7F91-48D9-82DB-DFE27DBDF710}"/>
    <cellStyle name="20% - Accent3 4 5 2 5" xfId="12550" xr:uid="{077908E9-667A-40C5-BA8A-B6E2811FB7F0}"/>
    <cellStyle name="20% - Accent3 4 5 3" xfId="6181" xr:uid="{00000000-0005-0000-0000-0000CA010000}"/>
    <cellStyle name="20% - Accent3 4 5 3 2" xfId="23064" xr:uid="{13393C4F-0415-416A-AA97-6016F09D05E6}"/>
    <cellStyle name="20% - Accent3 4 5 3 3" xfId="31510" xr:uid="{69C52917-D33F-46E4-8C22-D00C72C44D57}"/>
    <cellStyle name="20% - Accent3 4 5 3 4" xfId="14623" xr:uid="{58113774-8069-4663-888F-39695B36032D}"/>
    <cellStyle name="20% - Accent3 4 5 4" xfId="18846" xr:uid="{C9B1BB9C-B2FF-417F-A365-059010FF2B7D}"/>
    <cellStyle name="20% - Accent3 4 5 5" xfId="27291" xr:uid="{C0D52D63-DF23-415E-9395-98F842BCB99F}"/>
    <cellStyle name="20% - Accent3 4 5 6" xfId="10405" xr:uid="{5758F71A-D207-42B3-A060-5C0B3E4B7F27}"/>
    <cellStyle name="20% - Accent3 4 6" xfId="2287" xr:uid="{00000000-0005-0000-0000-0000CB010000}"/>
    <cellStyle name="20% - Accent3 4 6 2" xfId="6594" xr:uid="{00000000-0005-0000-0000-0000CC010000}"/>
    <cellStyle name="20% - Accent3 4 6 2 2" xfId="23477" xr:uid="{CD793B0B-83B7-4273-81EC-9745608FF051}"/>
    <cellStyle name="20% - Accent3 4 6 2 3" xfId="31923" xr:uid="{480FECF2-4475-455D-8337-D3720C7E86FC}"/>
    <cellStyle name="20% - Accent3 4 6 2 4" xfId="15036" xr:uid="{3DBC3BEC-3F1A-4D1C-B269-4C3AB32DE818}"/>
    <cellStyle name="20% - Accent3 4 6 3" xfId="19259" xr:uid="{F949D31A-7632-4F23-B8A5-1090D08168EF}"/>
    <cellStyle name="20% - Accent3 4 6 4" xfId="27704" xr:uid="{21DCD94A-7013-4938-9FF8-F6B4408B2C06}"/>
    <cellStyle name="20% - Accent3 4 6 5" xfId="10818" xr:uid="{E7FDBFB3-1DC9-48A3-8D0F-7BFA5BA31B52}"/>
    <cellStyle name="20% - Accent3 4 7" xfId="4528" xr:uid="{00000000-0005-0000-0000-0000CD010000}"/>
    <cellStyle name="20% - Accent3 4 7 2" xfId="21411" xr:uid="{5DC71CD5-1EE3-46CB-B08F-2C7D438D639E}"/>
    <cellStyle name="20% - Accent3 4 7 3" xfId="29857" xr:uid="{2916C436-84D2-4B1B-BBAD-D98316EC7E4E}"/>
    <cellStyle name="20% - Accent3 4 7 4" xfId="12970" xr:uid="{C86140BE-5AD3-4DA3-A2E5-C0850AD7F4DE}"/>
    <cellStyle name="20% - Accent3 4 8" xfId="17193" xr:uid="{54E89C02-1B30-46A1-9A2C-E6211618CC50}"/>
    <cellStyle name="20% - Accent3 4 9" xfId="25635" xr:uid="{9CEFE724-E222-4C79-86E7-AC6142DC0D7C}"/>
    <cellStyle name="20% - Accent3 5" xfId="586" xr:uid="{00000000-0005-0000-0000-0000CE010000}"/>
    <cellStyle name="20% - Accent3 5 2" xfId="2857" xr:uid="{00000000-0005-0000-0000-0000CF010000}"/>
    <cellStyle name="20% - Accent3 5 2 2" xfId="7080" xr:uid="{00000000-0005-0000-0000-0000D0010000}"/>
    <cellStyle name="20% - Accent3 5 2 2 2" xfId="23963" xr:uid="{DDEE7128-5FBE-4404-A575-4451ECB52E4C}"/>
    <cellStyle name="20% - Accent3 5 2 2 3" xfId="32409" xr:uid="{6A9717A6-DB37-4A17-936B-2255232EDBAA}"/>
    <cellStyle name="20% - Accent3 5 2 2 4" xfId="15522" xr:uid="{FA91ABD9-1403-4E98-9A8E-7F29A6D5A225}"/>
    <cellStyle name="20% - Accent3 5 2 3" xfId="19745" xr:uid="{8DABD4FB-5C98-4A79-A2AD-6984060380CE}"/>
    <cellStyle name="20% - Accent3 5 2 4" xfId="28192" xr:uid="{85DB4080-3A22-4747-8B83-046061F450AA}"/>
    <cellStyle name="20% - Accent3 5 2 5" xfId="11304" xr:uid="{7AE63532-229F-4A0D-A498-107C9BB39AF5}"/>
    <cellStyle name="20% - Accent3 5 3" xfId="4935" xr:uid="{00000000-0005-0000-0000-0000D1010000}"/>
    <cellStyle name="20% - Accent3 5 3 2" xfId="21818" xr:uid="{0141FF27-9D14-45B4-AB30-6DE764F7342B}"/>
    <cellStyle name="20% - Accent3 5 3 3" xfId="30264" xr:uid="{7845C34B-1CE8-4F1D-8133-7FB1688E8D20}"/>
    <cellStyle name="20% - Accent3 5 3 4" xfId="13377" xr:uid="{89BFC97B-6649-43CC-BB1C-6FBDEFD679CA}"/>
    <cellStyle name="20% - Accent3 5 4" xfId="17600" xr:uid="{55F9D328-D990-4D2A-9BC1-A78E69FDF75B}"/>
    <cellStyle name="20% - Accent3 5 5" xfId="26045" xr:uid="{8CD1A49E-6F9A-4B89-8C14-74D01ED448B8}"/>
    <cellStyle name="20% - Accent3 5 6" xfId="9159" xr:uid="{D2F3A431-D7DB-4F37-8E26-70273CD996D4}"/>
    <cellStyle name="20% - Accent3 6" xfId="1039" xr:uid="{00000000-0005-0000-0000-0000D2010000}"/>
    <cellStyle name="20% - Accent3 6 2" xfId="3270" xr:uid="{00000000-0005-0000-0000-0000D3010000}"/>
    <cellStyle name="20% - Accent3 6 2 2" xfId="7493" xr:uid="{00000000-0005-0000-0000-0000D4010000}"/>
    <cellStyle name="20% - Accent3 6 2 2 2" xfId="24376" xr:uid="{F2FAAB0B-070A-496C-B8F7-41FA027953B9}"/>
    <cellStyle name="20% - Accent3 6 2 2 3" xfId="32822" xr:uid="{0A9A9726-E9D9-4F9F-BFD0-DB75444A66ED}"/>
    <cellStyle name="20% - Accent3 6 2 2 4" xfId="15935" xr:uid="{A5A48FAB-9627-4FB9-BB30-4EA4D5EC2948}"/>
    <cellStyle name="20% - Accent3 6 2 3" xfId="20158" xr:uid="{B78EEFE0-1F92-4746-91CB-BCDDC5A7BC3F}"/>
    <cellStyle name="20% - Accent3 6 2 4" xfId="28605" xr:uid="{1DC6A868-0455-4898-8B45-3348905524AF}"/>
    <cellStyle name="20% - Accent3 6 2 5" xfId="11717" xr:uid="{71EB1651-548E-4D67-883F-11D44DB33706}"/>
    <cellStyle name="20% - Accent3 6 3" xfId="5348" xr:uid="{00000000-0005-0000-0000-0000D5010000}"/>
    <cellStyle name="20% - Accent3 6 3 2" xfId="22231" xr:uid="{82C38A94-9725-4060-B174-B2D0456C9AA6}"/>
    <cellStyle name="20% - Accent3 6 3 3" xfId="30677" xr:uid="{FD580F37-9429-406D-87FB-1A57913279D3}"/>
    <cellStyle name="20% - Accent3 6 3 4" xfId="13790" xr:uid="{4960136D-8A3A-48C9-957F-D73E7B9A11B2}"/>
    <cellStyle name="20% - Accent3 6 4" xfId="18013" xr:uid="{6191F473-D8AB-488A-8137-84E965C28EB2}"/>
    <cellStyle name="20% - Accent3 6 5" xfId="26458" xr:uid="{6D418F8F-86BE-4285-9953-10400BD09059}"/>
    <cellStyle name="20% - Accent3 6 6" xfId="9572" xr:uid="{7AC5A32F-32CF-4884-B837-E75F9FC464ED}"/>
    <cellStyle name="20% - Accent3 7" xfId="1453" xr:uid="{00000000-0005-0000-0000-0000D6010000}"/>
    <cellStyle name="20% - Accent3 7 2" xfId="3683" xr:uid="{00000000-0005-0000-0000-0000D7010000}"/>
    <cellStyle name="20% - Accent3 7 2 2" xfId="7906" xr:uid="{00000000-0005-0000-0000-0000D8010000}"/>
    <cellStyle name="20% - Accent3 7 2 2 2" xfId="24789" xr:uid="{B2A272E0-5E01-4F26-986A-06919EC71FC3}"/>
    <cellStyle name="20% - Accent3 7 2 2 3" xfId="33235" xr:uid="{DAE54BA2-D2EE-4251-8BCC-1224EAA216EF}"/>
    <cellStyle name="20% - Accent3 7 2 2 4" xfId="16348" xr:uid="{2594C8C9-A213-4479-84F2-3421C6617D27}"/>
    <cellStyle name="20% - Accent3 7 2 3" xfId="20571" xr:uid="{A50A88E5-313A-497B-8F2A-D14B01E7A7D7}"/>
    <cellStyle name="20% - Accent3 7 2 4" xfId="29018" xr:uid="{28F138EB-6295-4384-92FD-687E9AC7A74D}"/>
    <cellStyle name="20% - Accent3 7 2 5" xfId="12130" xr:uid="{8C5240A2-93CA-4820-8DF0-52D57270143D}"/>
    <cellStyle name="20% - Accent3 7 3" xfId="5761" xr:uid="{00000000-0005-0000-0000-0000D9010000}"/>
    <cellStyle name="20% - Accent3 7 3 2" xfId="22644" xr:uid="{53A4E983-C30C-491E-B88B-C044AAA06B77}"/>
    <cellStyle name="20% - Accent3 7 3 3" xfId="31090" xr:uid="{F612FF79-A836-457E-A836-344A281DEC59}"/>
    <cellStyle name="20% - Accent3 7 3 4" xfId="14203" xr:uid="{6B6FDF65-3BFB-4439-801E-BD9C53C0FB64}"/>
    <cellStyle name="20% - Accent3 7 4" xfId="18426" xr:uid="{3843D7D1-F098-464D-9D80-2BAE5628BCC2}"/>
    <cellStyle name="20% - Accent3 7 5" xfId="26871" xr:uid="{EDB259CD-F955-4A30-A9C2-476CD6F9C61C}"/>
    <cellStyle name="20% - Accent3 7 6" xfId="9985" xr:uid="{F44D425E-12EB-4289-AC60-AE965790B2F9}"/>
    <cellStyle name="20% - Accent3 8" xfId="1867" xr:uid="{00000000-0005-0000-0000-0000DA010000}"/>
    <cellStyle name="20% - Accent3 8 2" xfId="4096" xr:uid="{00000000-0005-0000-0000-0000DB010000}"/>
    <cellStyle name="20% - Accent3 8 2 2" xfId="8319" xr:uid="{00000000-0005-0000-0000-0000DC010000}"/>
    <cellStyle name="20% - Accent3 8 2 2 2" xfId="25202" xr:uid="{6EFD1B6A-92D7-4FE1-B9F7-ADB337A1B525}"/>
    <cellStyle name="20% - Accent3 8 2 2 3" xfId="33648" xr:uid="{1F6C4872-DA32-4D12-86A4-25ADF704BD5B}"/>
    <cellStyle name="20% - Accent3 8 2 2 4" xfId="16761" xr:uid="{55A389C3-41AA-4D11-B578-FC972C3010CD}"/>
    <cellStyle name="20% - Accent3 8 2 3" xfId="20984" xr:uid="{82416362-8A13-4A24-8A59-9ABA414A6675}"/>
    <cellStyle name="20% - Accent3 8 2 4" xfId="29431" xr:uid="{4F6004B8-F1CD-4FFB-BC4B-CE05F6EFF4DF}"/>
    <cellStyle name="20% - Accent3 8 2 5" xfId="12543" xr:uid="{00CD95A7-3BD8-430C-910F-76CC15116D27}"/>
    <cellStyle name="20% - Accent3 8 3" xfId="6174" xr:uid="{00000000-0005-0000-0000-0000DD010000}"/>
    <cellStyle name="20% - Accent3 8 3 2" xfId="23057" xr:uid="{6B91CED1-8663-4525-A1A0-5E457ADEAA39}"/>
    <cellStyle name="20% - Accent3 8 3 3" xfId="31503" xr:uid="{D28AE0BC-01FE-4FFE-AC34-E00302A128C7}"/>
    <cellStyle name="20% - Accent3 8 3 4" xfId="14616" xr:uid="{7E6914CA-A434-41D0-A3D0-3097E745EFC4}"/>
    <cellStyle name="20% - Accent3 8 4" xfId="18839" xr:uid="{647D70F4-11DB-4117-AFF4-5E12CA4674E0}"/>
    <cellStyle name="20% - Accent3 8 5" xfId="27284" xr:uid="{F588142F-A2F4-44C2-9AEB-29B771D26E0A}"/>
    <cellStyle name="20% - Accent3 8 6" xfId="10398" xr:uid="{32C3E376-B1E1-49F1-B3D7-94DC1FCE8350}"/>
    <cellStyle name="20% - Accent3 9" xfId="2280" xr:uid="{00000000-0005-0000-0000-0000DE010000}"/>
    <cellStyle name="20% - Accent3 9 2" xfId="6587" xr:uid="{00000000-0005-0000-0000-0000DF010000}"/>
    <cellStyle name="20% - Accent3 9 2 2" xfId="23470" xr:uid="{9A004BC6-87FF-4768-BD1E-42B965373DEE}"/>
    <cellStyle name="20% - Accent3 9 2 3" xfId="31916" xr:uid="{E74CC6BE-FF43-4EA8-B7B0-A35588420BF9}"/>
    <cellStyle name="20% - Accent3 9 2 4" xfId="15029" xr:uid="{332829C0-63F8-4A4C-9DC9-3DC7DC80EE2E}"/>
    <cellStyle name="20% - Accent3 9 3" xfId="19252" xr:uid="{35852419-169A-4DC3-87C6-F2F590336E78}"/>
    <cellStyle name="20% - Accent3 9 4" xfId="27697" xr:uid="{7A10C787-833D-46C0-847A-723FAB7ED3A7}"/>
    <cellStyle name="20% - Accent3 9 5" xfId="10811" xr:uid="{262D1D3C-BBFE-4242-89A2-373329537B23}"/>
    <cellStyle name="20% - Accent4" xfId="25" builtinId="42" customBuiltin="1"/>
    <cellStyle name="20% - Accent4 10" xfId="4529" xr:uid="{00000000-0005-0000-0000-0000E1010000}"/>
    <cellStyle name="20% - Accent4 10 2" xfId="21412" xr:uid="{B28FC994-BB52-4F49-A6F2-9DAEC81503E8}"/>
    <cellStyle name="20% - Accent4 10 3" xfId="29858" xr:uid="{5A56C4A7-09E7-4C0E-BCB2-2C31BF6F1734}"/>
    <cellStyle name="20% - Accent4 10 4" xfId="12971" xr:uid="{7C56B073-8C39-4E69-9A38-1737107B48B2}"/>
    <cellStyle name="20% - Accent4 11" xfId="17194" xr:uid="{F32D6A8D-21D5-4871-B46E-347F17B83135}"/>
    <cellStyle name="20% - Accent4 12" xfId="25636" xr:uid="{438E3220-7A7F-4021-8411-14E08F28906E}"/>
    <cellStyle name="20% - Accent4 13" xfId="8753" xr:uid="{5E717720-7F7C-45C4-8B21-6BA696FA86DD}"/>
    <cellStyle name="20% - Accent4 2" xfId="26" xr:uid="{00000000-0005-0000-0000-0000E2010000}"/>
    <cellStyle name="20% - Accent4 2 10" xfId="17195" xr:uid="{A35DBD70-B383-4E38-9319-3874B7CF410A}"/>
    <cellStyle name="20% - Accent4 2 11" xfId="25637" xr:uid="{81319B7A-E5AA-42B8-BC3E-325CEE316305}"/>
    <cellStyle name="20% - Accent4 2 12" xfId="8754" xr:uid="{3A436792-8FD5-4D7A-AF01-7D10CFBF5816}"/>
    <cellStyle name="20% - Accent4 2 2" xfId="27" xr:uid="{00000000-0005-0000-0000-0000E3010000}"/>
    <cellStyle name="20% - Accent4 2 2 10" xfId="25638" xr:uid="{B5A06E76-6B13-4807-8C05-C5A6A95E3827}"/>
    <cellStyle name="20% - Accent4 2 2 11" xfId="8755" xr:uid="{FD9DDA73-1A58-4D14-831D-BD9596C662EC}"/>
    <cellStyle name="20% - Accent4 2 2 2" xfId="28" xr:uid="{00000000-0005-0000-0000-0000E4010000}"/>
    <cellStyle name="20% - Accent4 2 2 2 10" xfId="8756" xr:uid="{C7C1D632-01C7-4C63-93D3-8E38C4EA056B}"/>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23974" xr:uid="{771EECD5-FD32-4047-827B-C7B6F7D5B15F}"/>
    <cellStyle name="20% - Accent4 2 2 2 2 2 2 3" xfId="32420" xr:uid="{EFB4081B-E378-46EE-8C9F-0D6629F42B94}"/>
    <cellStyle name="20% - Accent4 2 2 2 2 2 2 4" xfId="15533" xr:uid="{DE863CA7-5EC8-4235-BF54-DB2E85484C0D}"/>
    <cellStyle name="20% - Accent4 2 2 2 2 2 3" xfId="19756" xr:uid="{F89E978E-0DC3-43E9-994E-6A67FC75F4CE}"/>
    <cellStyle name="20% - Accent4 2 2 2 2 2 4" xfId="28203" xr:uid="{CC9FDF83-E14A-4F63-A726-5F8FEDA86039}"/>
    <cellStyle name="20% - Accent4 2 2 2 2 2 5" xfId="11315" xr:uid="{0B670714-7D8C-467C-AA8D-72C920F8D785}"/>
    <cellStyle name="20% - Accent4 2 2 2 2 3" xfId="4946" xr:uid="{00000000-0005-0000-0000-0000E8010000}"/>
    <cellStyle name="20% - Accent4 2 2 2 2 3 2" xfId="21829" xr:uid="{2FF8AC38-48DA-4376-81C0-B86A87DAAF84}"/>
    <cellStyle name="20% - Accent4 2 2 2 2 3 3" xfId="30275" xr:uid="{C24F5D31-E7F6-4710-AD40-1D1B56194A1D}"/>
    <cellStyle name="20% - Accent4 2 2 2 2 3 4" xfId="13388" xr:uid="{82FDCD7E-E56E-4980-8ABC-1644CF09C1E6}"/>
    <cellStyle name="20% - Accent4 2 2 2 2 4" xfId="17611" xr:uid="{BF537EF1-0E0F-4DA9-8DB5-C4BD30DCCEF9}"/>
    <cellStyle name="20% - Accent4 2 2 2 2 5" xfId="26056" xr:uid="{F848C596-6C55-4F4E-986B-0C6344BA6D66}"/>
    <cellStyle name="20% - Accent4 2 2 2 2 6" xfId="9170" xr:uid="{0ADD234F-B0A1-436A-B009-FFDE76EBF5B3}"/>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24387" xr:uid="{D9E2A0FC-530D-4CF5-87CB-F82A40B87FDF}"/>
    <cellStyle name="20% - Accent4 2 2 2 3 2 2 3" xfId="32833" xr:uid="{C198C729-DFD2-42BA-8237-56B3DADDE4B4}"/>
    <cellStyle name="20% - Accent4 2 2 2 3 2 2 4" xfId="15946" xr:uid="{F02975B8-13C5-4A61-BCDE-985EA5F0F8D4}"/>
    <cellStyle name="20% - Accent4 2 2 2 3 2 3" xfId="20169" xr:uid="{D8DC566D-9160-4943-A252-94AF27AB8A6B}"/>
    <cellStyle name="20% - Accent4 2 2 2 3 2 4" xfId="28616" xr:uid="{BFA7EDFB-7BCB-4458-AF3C-194EC42A8510}"/>
    <cellStyle name="20% - Accent4 2 2 2 3 2 5" xfId="11728" xr:uid="{B117DC75-9B19-4C2D-92F2-EC7B75790A0D}"/>
    <cellStyle name="20% - Accent4 2 2 2 3 3" xfId="5359" xr:uid="{00000000-0005-0000-0000-0000EC010000}"/>
    <cellStyle name="20% - Accent4 2 2 2 3 3 2" xfId="22242" xr:uid="{8278BBDE-0A2F-4133-86B2-15C26219CE6B}"/>
    <cellStyle name="20% - Accent4 2 2 2 3 3 3" xfId="30688" xr:uid="{6B7F0CBB-9C82-434E-8455-8ACD5949A481}"/>
    <cellStyle name="20% - Accent4 2 2 2 3 3 4" xfId="13801" xr:uid="{2A92650F-5489-4248-9711-8A8E315342C2}"/>
    <cellStyle name="20% - Accent4 2 2 2 3 4" xfId="18024" xr:uid="{CF6136B3-73F7-49DE-93B7-560D59114FBB}"/>
    <cellStyle name="20% - Accent4 2 2 2 3 5" xfId="26469" xr:uid="{6C85B490-6408-4979-B3AD-470BE50CF600}"/>
    <cellStyle name="20% - Accent4 2 2 2 3 6" xfId="9583" xr:uid="{BF5C352B-7751-424C-A6D7-9587DBB0090B}"/>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24800" xr:uid="{E43D6E02-75D5-4295-AFD8-70AAEF21588B}"/>
    <cellStyle name="20% - Accent4 2 2 2 4 2 2 3" xfId="33246" xr:uid="{34D4C0EE-04D2-477B-8F39-D9EA6AFFF5CE}"/>
    <cellStyle name="20% - Accent4 2 2 2 4 2 2 4" xfId="16359" xr:uid="{FFB9814E-0CD2-4073-95D1-BC9EA02E4622}"/>
    <cellStyle name="20% - Accent4 2 2 2 4 2 3" xfId="20582" xr:uid="{41E08626-E19D-459F-AA4B-B0F08FCAEB2A}"/>
    <cellStyle name="20% - Accent4 2 2 2 4 2 4" xfId="29029" xr:uid="{75DE50AF-1787-462E-BB47-A5F6CAD441C1}"/>
    <cellStyle name="20% - Accent4 2 2 2 4 2 5" xfId="12141" xr:uid="{37E8966F-3620-4ED7-8113-FD45F960D4CD}"/>
    <cellStyle name="20% - Accent4 2 2 2 4 3" xfId="5772" xr:uid="{00000000-0005-0000-0000-0000F0010000}"/>
    <cellStyle name="20% - Accent4 2 2 2 4 3 2" xfId="22655" xr:uid="{4842F10A-78DB-4D04-A4DE-F1677E1779FA}"/>
    <cellStyle name="20% - Accent4 2 2 2 4 3 3" xfId="31101" xr:uid="{AF78A96D-320B-4671-8FA8-3401A7BB0639}"/>
    <cellStyle name="20% - Accent4 2 2 2 4 3 4" xfId="14214" xr:uid="{9D1EE626-CA6B-42D4-9C79-4AFA8597BE2F}"/>
    <cellStyle name="20% - Accent4 2 2 2 4 4" xfId="18437" xr:uid="{972F6808-22C7-4076-B3CA-C6B7E465B2FD}"/>
    <cellStyle name="20% - Accent4 2 2 2 4 5" xfId="26882" xr:uid="{C2B36A8B-E3D2-4128-8F02-B838D0FDA797}"/>
    <cellStyle name="20% - Accent4 2 2 2 4 6" xfId="9996" xr:uid="{B936FDAD-2911-4742-ABF0-A86391260BB9}"/>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25213" xr:uid="{C39EF23F-ECF0-48A3-87AC-6A893D24A580}"/>
    <cellStyle name="20% - Accent4 2 2 2 5 2 2 3" xfId="33659" xr:uid="{46B9AA47-077D-46FC-B96A-16273431AD55}"/>
    <cellStyle name="20% - Accent4 2 2 2 5 2 2 4" xfId="16772" xr:uid="{64775C4A-0A55-4125-8E0A-7D928D68CD82}"/>
    <cellStyle name="20% - Accent4 2 2 2 5 2 3" xfId="20995" xr:uid="{2D79547E-CD39-4246-8DAF-9B6ADEC064D4}"/>
    <cellStyle name="20% - Accent4 2 2 2 5 2 4" xfId="29442" xr:uid="{FED1B12A-46B8-4114-8E6F-3491B0973212}"/>
    <cellStyle name="20% - Accent4 2 2 2 5 2 5" xfId="12554" xr:uid="{207210CC-CC75-44EE-AD56-14682498DAD9}"/>
    <cellStyle name="20% - Accent4 2 2 2 5 3" xfId="6185" xr:uid="{00000000-0005-0000-0000-0000F4010000}"/>
    <cellStyle name="20% - Accent4 2 2 2 5 3 2" xfId="23068" xr:uid="{D6DE1C55-D031-4518-B94D-6414183D1A35}"/>
    <cellStyle name="20% - Accent4 2 2 2 5 3 3" xfId="31514" xr:uid="{492EEBAF-1198-4C41-BCD7-9BA3C10BA783}"/>
    <cellStyle name="20% - Accent4 2 2 2 5 3 4" xfId="14627" xr:uid="{EE28CCAD-F413-4402-8B21-A861F673AB15}"/>
    <cellStyle name="20% - Accent4 2 2 2 5 4" xfId="18850" xr:uid="{A0FA39DC-E978-4D4F-9312-0C6EBA3E915C}"/>
    <cellStyle name="20% - Accent4 2 2 2 5 5" xfId="27295" xr:uid="{ECAD6D35-4798-494A-9D79-331B79A34299}"/>
    <cellStyle name="20% - Accent4 2 2 2 5 6" xfId="10409" xr:uid="{4FB91114-ED31-4EFB-9A16-F6064BA0F6ED}"/>
    <cellStyle name="20% - Accent4 2 2 2 6" xfId="2291" xr:uid="{00000000-0005-0000-0000-0000F5010000}"/>
    <cellStyle name="20% - Accent4 2 2 2 6 2" xfId="6598" xr:uid="{00000000-0005-0000-0000-0000F6010000}"/>
    <cellStyle name="20% - Accent4 2 2 2 6 2 2" xfId="23481" xr:uid="{C371E74D-60D0-4E8F-B362-9FB6D76E4748}"/>
    <cellStyle name="20% - Accent4 2 2 2 6 2 3" xfId="31927" xr:uid="{0851BF75-3A87-4793-89EA-1979A529DDF2}"/>
    <cellStyle name="20% - Accent4 2 2 2 6 2 4" xfId="15040" xr:uid="{747D95EF-246F-4692-80EF-5E0837D9BE7D}"/>
    <cellStyle name="20% - Accent4 2 2 2 6 3" xfId="19263" xr:uid="{6E2647F2-B9E0-4E31-9D32-0B46C0DEC13B}"/>
    <cellStyle name="20% - Accent4 2 2 2 6 4" xfId="27708" xr:uid="{9C8D2172-2B12-4045-8F0C-E5FBFB63AEC6}"/>
    <cellStyle name="20% - Accent4 2 2 2 6 5" xfId="10822" xr:uid="{B7A877F9-63E0-4967-815A-79FA304EC620}"/>
    <cellStyle name="20% - Accent4 2 2 2 7" xfId="4532" xr:uid="{00000000-0005-0000-0000-0000F7010000}"/>
    <cellStyle name="20% - Accent4 2 2 2 7 2" xfId="21415" xr:uid="{E70C5C5B-1B9A-4B74-88C8-6708A2C90EB5}"/>
    <cellStyle name="20% - Accent4 2 2 2 7 3" xfId="29861" xr:uid="{ECEA4F4E-98DE-442D-B978-B26E87A9D27F}"/>
    <cellStyle name="20% - Accent4 2 2 2 7 4" xfId="12974" xr:uid="{BA027858-54A6-4005-A3B6-EC04209D6604}"/>
    <cellStyle name="20% - Accent4 2 2 2 8" xfId="17197" xr:uid="{74B1D02D-35BB-4792-B198-5E0092ABF580}"/>
    <cellStyle name="20% - Accent4 2 2 2 9" xfId="25639" xr:uid="{17CCEA36-3C38-4049-ABAF-6B5880177D2F}"/>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23973" xr:uid="{C48A2E82-F3A0-4EBD-9A71-70EA8F5DEEAB}"/>
    <cellStyle name="20% - Accent4 2 2 3 2 2 3" xfId="32419" xr:uid="{2CE82D0A-C3A9-4778-BC7A-8AD1D4C72CDB}"/>
    <cellStyle name="20% - Accent4 2 2 3 2 2 4" xfId="15532" xr:uid="{851AA503-B4C1-4B22-A45A-9EBC91F9179C}"/>
    <cellStyle name="20% - Accent4 2 2 3 2 3" xfId="19755" xr:uid="{CBD6CBD0-C2E3-4350-B4EE-497944776345}"/>
    <cellStyle name="20% - Accent4 2 2 3 2 4" xfId="28202" xr:uid="{8E497D00-986D-4CDD-822C-785BD30D6A00}"/>
    <cellStyle name="20% - Accent4 2 2 3 2 5" xfId="11314" xr:uid="{D3552634-B990-4703-91A2-7AB41A72383E}"/>
    <cellStyle name="20% - Accent4 2 2 3 3" xfId="4945" xr:uid="{00000000-0005-0000-0000-0000FB010000}"/>
    <cellStyle name="20% - Accent4 2 2 3 3 2" xfId="21828" xr:uid="{9C2052B1-5B97-452B-9DF7-4C74F418E51F}"/>
    <cellStyle name="20% - Accent4 2 2 3 3 3" xfId="30274" xr:uid="{848F8900-DA53-4384-85F0-0859CE59E3C9}"/>
    <cellStyle name="20% - Accent4 2 2 3 3 4" xfId="13387" xr:uid="{7EB9424B-09A4-4F65-B92F-527169AD3D24}"/>
    <cellStyle name="20% - Accent4 2 2 3 4" xfId="17610" xr:uid="{73E31EA1-6771-4186-9987-DE63FF52AABD}"/>
    <cellStyle name="20% - Accent4 2 2 3 5" xfId="26055" xr:uid="{A48C7B89-74CF-48DC-8D44-0FD1AC44D107}"/>
    <cellStyle name="20% - Accent4 2 2 3 6" xfId="9169" xr:uid="{101DCD25-AFF4-4BD5-8A19-9ED7C7ADAC72}"/>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24386" xr:uid="{5CA68415-A13D-4F71-B811-9AD72073E9F7}"/>
    <cellStyle name="20% - Accent4 2 2 4 2 2 3" xfId="32832" xr:uid="{9D6EDC90-7F3A-42C5-BF0E-80890F5F03FC}"/>
    <cellStyle name="20% - Accent4 2 2 4 2 2 4" xfId="15945" xr:uid="{7A962865-3A0B-4F9C-B0FE-4F9501148E80}"/>
    <cellStyle name="20% - Accent4 2 2 4 2 3" xfId="20168" xr:uid="{7BE8B42A-57C6-42EF-8A6C-F1CCF57D685A}"/>
    <cellStyle name="20% - Accent4 2 2 4 2 4" xfId="28615" xr:uid="{BF9D8FF6-A7B5-4D04-BD69-E68DBF112D24}"/>
    <cellStyle name="20% - Accent4 2 2 4 2 5" xfId="11727" xr:uid="{12203FDC-B522-47E7-86B8-2A0E6624EFC7}"/>
    <cellStyle name="20% - Accent4 2 2 4 3" xfId="5358" xr:uid="{00000000-0005-0000-0000-0000FF010000}"/>
    <cellStyle name="20% - Accent4 2 2 4 3 2" xfId="22241" xr:uid="{B094A1C4-A7ED-487E-9716-DD5991D9FE83}"/>
    <cellStyle name="20% - Accent4 2 2 4 3 3" xfId="30687" xr:uid="{D43EB4BC-D60C-4A6E-AC55-096037578413}"/>
    <cellStyle name="20% - Accent4 2 2 4 3 4" xfId="13800" xr:uid="{9A2D5B85-ABC5-4955-90CD-B0DFEDF9BE6D}"/>
    <cellStyle name="20% - Accent4 2 2 4 4" xfId="18023" xr:uid="{F5FEB246-9C50-436C-A573-91334F8599F8}"/>
    <cellStyle name="20% - Accent4 2 2 4 5" xfId="26468" xr:uid="{1671B355-62F2-49FA-A80D-4D9FE68BD82B}"/>
    <cellStyle name="20% - Accent4 2 2 4 6" xfId="9582" xr:uid="{DDE05790-2556-4D98-90CE-5F577E7347CF}"/>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24799" xr:uid="{DFD39753-B8B7-4F1B-AFF2-DD6D34009EAA}"/>
    <cellStyle name="20% - Accent4 2 2 5 2 2 3" xfId="33245" xr:uid="{B01D6E4A-B7B2-4897-92A2-63109BC1B22B}"/>
    <cellStyle name="20% - Accent4 2 2 5 2 2 4" xfId="16358" xr:uid="{9753B900-37F9-4AE0-9EF6-77B08DE1DCE4}"/>
    <cellStyle name="20% - Accent4 2 2 5 2 3" xfId="20581" xr:uid="{C4F04621-F493-4F04-8DF3-4A025D711DFE}"/>
    <cellStyle name="20% - Accent4 2 2 5 2 4" xfId="29028" xr:uid="{6987AFD4-25E8-4AA2-800E-6401D3D681C7}"/>
    <cellStyle name="20% - Accent4 2 2 5 2 5" xfId="12140" xr:uid="{11026A29-46B0-4045-A8E4-9C4FA1159356}"/>
    <cellStyle name="20% - Accent4 2 2 5 3" xfId="5771" xr:uid="{00000000-0005-0000-0000-000003020000}"/>
    <cellStyle name="20% - Accent4 2 2 5 3 2" xfId="22654" xr:uid="{6B179740-6BBA-4D19-BF9F-F5D1C92D3636}"/>
    <cellStyle name="20% - Accent4 2 2 5 3 3" xfId="31100" xr:uid="{77DD697A-5097-47EA-9E62-26D927FD98E1}"/>
    <cellStyle name="20% - Accent4 2 2 5 3 4" xfId="14213" xr:uid="{8A7DB987-470E-4A4E-B87C-ECAD85D4CEF7}"/>
    <cellStyle name="20% - Accent4 2 2 5 4" xfId="18436" xr:uid="{0A9943B9-CF8F-43E3-963D-D7FD16549E47}"/>
    <cellStyle name="20% - Accent4 2 2 5 5" xfId="26881" xr:uid="{C82C02B7-95CB-4BDA-8CFB-C6D555DE9378}"/>
    <cellStyle name="20% - Accent4 2 2 5 6" xfId="9995" xr:uid="{5F11D773-AD90-403A-ACDA-96BD6EC4CAF2}"/>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25212" xr:uid="{F5A2722F-CEA5-48BB-9ABC-08CDB8536E3B}"/>
    <cellStyle name="20% - Accent4 2 2 6 2 2 3" xfId="33658" xr:uid="{14E0AE47-4160-4D3F-91EB-325444668C03}"/>
    <cellStyle name="20% - Accent4 2 2 6 2 2 4" xfId="16771" xr:uid="{4CBFFA3C-3145-4131-A100-52AC576D9B84}"/>
    <cellStyle name="20% - Accent4 2 2 6 2 3" xfId="20994" xr:uid="{0262AC66-4F67-44A8-924B-4E282F992767}"/>
    <cellStyle name="20% - Accent4 2 2 6 2 4" xfId="29441" xr:uid="{8F9257B3-5D6D-4366-8F53-AAB4F0486A5D}"/>
    <cellStyle name="20% - Accent4 2 2 6 2 5" xfId="12553" xr:uid="{DF2B7EC2-9091-4C43-90C6-1CFF8496BD01}"/>
    <cellStyle name="20% - Accent4 2 2 6 3" xfId="6184" xr:uid="{00000000-0005-0000-0000-000007020000}"/>
    <cellStyle name="20% - Accent4 2 2 6 3 2" xfId="23067" xr:uid="{8C82AE7C-BAF9-416A-9B08-62D397BCD94A}"/>
    <cellStyle name="20% - Accent4 2 2 6 3 3" xfId="31513" xr:uid="{141140CC-4768-49CD-8C80-8272B1F74CE1}"/>
    <cellStyle name="20% - Accent4 2 2 6 3 4" xfId="14626" xr:uid="{FEB71332-1711-4DBA-8F24-1EC5B7D11D2B}"/>
    <cellStyle name="20% - Accent4 2 2 6 4" xfId="18849" xr:uid="{3D07326E-5327-4DDA-A53A-598C510B7D55}"/>
    <cellStyle name="20% - Accent4 2 2 6 5" xfId="27294" xr:uid="{F3B9E612-27C2-4A4B-9E4F-876B14940F60}"/>
    <cellStyle name="20% - Accent4 2 2 6 6" xfId="10408" xr:uid="{F7F9F35D-7EC7-447D-98FA-3A944035E4E1}"/>
    <cellStyle name="20% - Accent4 2 2 7" xfId="2290" xr:uid="{00000000-0005-0000-0000-000008020000}"/>
    <cellStyle name="20% - Accent4 2 2 7 2" xfId="6597" xr:uid="{00000000-0005-0000-0000-000009020000}"/>
    <cellStyle name="20% - Accent4 2 2 7 2 2" xfId="23480" xr:uid="{E6C7EBF2-A351-46EE-807D-730A87F2E880}"/>
    <cellStyle name="20% - Accent4 2 2 7 2 3" xfId="31926" xr:uid="{3B26C7AB-4527-4D3D-8064-A76D80F7D514}"/>
    <cellStyle name="20% - Accent4 2 2 7 2 4" xfId="15039" xr:uid="{887EAEAC-410C-45BC-9291-0652F5E79E31}"/>
    <cellStyle name="20% - Accent4 2 2 7 3" xfId="19262" xr:uid="{17C42CDD-424B-44BE-B14A-54AD41FDE267}"/>
    <cellStyle name="20% - Accent4 2 2 7 4" xfId="27707" xr:uid="{E35541AB-4A84-4BB2-BE1D-07D3301848A2}"/>
    <cellStyle name="20% - Accent4 2 2 7 5" xfId="10821" xr:uid="{40226096-9832-4951-B4BC-0DD1ACE8577E}"/>
    <cellStyle name="20% - Accent4 2 2 8" xfId="4531" xr:uid="{00000000-0005-0000-0000-00000A020000}"/>
    <cellStyle name="20% - Accent4 2 2 8 2" xfId="21414" xr:uid="{957BEE88-BA82-44B3-94D1-41B0C3E7DEFD}"/>
    <cellStyle name="20% - Accent4 2 2 8 3" xfId="29860" xr:uid="{BC44742E-EE15-4066-8A42-526BAC303B25}"/>
    <cellStyle name="20% - Accent4 2 2 8 4" xfId="12973" xr:uid="{3551D191-DE65-4091-A450-DD194514E560}"/>
    <cellStyle name="20% - Accent4 2 2 9" xfId="17196" xr:uid="{2E5C18C7-4B2B-4E21-AA7C-49C79335239A}"/>
    <cellStyle name="20% - Accent4 2 3" xfId="29" xr:uid="{00000000-0005-0000-0000-00000B020000}"/>
    <cellStyle name="20% - Accent4 2 3 10" xfId="8757" xr:uid="{FA1A3EED-9FB9-478E-8BEA-75CD179D4568}"/>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23975" xr:uid="{44B71EE8-F77C-4DEC-BDE6-6A3B152F7762}"/>
    <cellStyle name="20% - Accent4 2 3 2 2 2 3" xfId="32421" xr:uid="{0165D862-DFCC-4A82-B68D-F2A548424A47}"/>
    <cellStyle name="20% - Accent4 2 3 2 2 2 4" xfId="15534" xr:uid="{6329B4C3-13D0-47F8-BEF1-B0EAC21F6769}"/>
    <cellStyle name="20% - Accent4 2 3 2 2 3" xfId="19757" xr:uid="{93DA411D-BE5B-4046-80A3-9B748EE79193}"/>
    <cellStyle name="20% - Accent4 2 3 2 2 4" xfId="28204" xr:uid="{A716AC1C-CEFD-460D-B21F-74F2A2D87DD2}"/>
    <cellStyle name="20% - Accent4 2 3 2 2 5" xfId="11316" xr:uid="{F5227BE6-B03E-4259-ABC0-38228197F71E}"/>
    <cellStyle name="20% - Accent4 2 3 2 3" xfId="4947" xr:uid="{00000000-0005-0000-0000-00000F020000}"/>
    <cellStyle name="20% - Accent4 2 3 2 3 2" xfId="21830" xr:uid="{F81D47EB-5BCB-4701-9B01-C679AC4B1B4C}"/>
    <cellStyle name="20% - Accent4 2 3 2 3 3" xfId="30276" xr:uid="{43C27CF7-8B59-4DE8-9C3C-E69C279A4925}"/>
    <cellStyle name="20% - Accent4 2 3 2 3 4" xfId="13389" xr:uid="{31B575EF-9BE8-49EF-8D91-A4F74FC26FDD}"/>
    <cellStyle name="20% - Accent4 2 3 2 4" xfId="17612" xr:uid="{5611BED7-E80D-49BE-AA36-1FD825FFD95B}"/>
    <cellStyle name="20% - Accent4 2 3 2 5" xfId="26057" xr:uid="{C3C05F91-FA89-4730-9215-D4D053D18D94}"/>
    <cellStyle name="20% - Accent4 2 3 2 6" xfId="9171" xr:uid="{EFAFCE52-05E1-4993-86AE-9361A3755A45}"/>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24388" xr:uid="{25D7D3F4-FB4C-4FD9-B2E9-57B812A656C0}"/>
    <cellStyle name="20% - Accent4 2 3 3 2 2 3" xfId="32834" xr:uid="{C8589522-F75B-425B-94B1-1AB7076F5984}"/>
    <cellStyle name="20% - Accent4 2 3 3 2 2 4" xfId="15947" xr:uid="{26FAE9F6-0890-4CED-B1BF-321BF27AF786}"/>
    <cellStyle name="20% - Accent4 2 3 3 2 3" xfId="20170" xr:uid="{AE748E4A-0DAC-48F9-AECE-3AB48306F74A}"/>
    <cellStyle name="20% - Accent4 2 3 3 2 4" xfId="28617" xr:uid="{5E6F8F16-A1B7-4053-808F-3C29F46B4F1E}"/>
    <cellStyle name="20% - Accent4 2 3 3 2 5" xfId="11729" xr:uid="{07A17FFD-2298-4704-A904-DFD55F08844D}"/>
    <cellStyle name="20% - Accent4 2 3 3 3" xfId="5360" xr:uid="{00000000-0005-0000-0000-000013020000}"/>
    <cellStyle name="20% - Accent4 2 3 3 3 2" xfId="22243" xr:uid="{EC0358C0-A088-48B1-97C0-6C43B75FD70B}"/>
    <cellStyle name="20% - Accent4 2 3 3 3 3" xfId="30689" xr:uid="{8BDFB35C-602B-4679-BFBA-2BF79F911ED6}"/>
    <cellStyle name="20% - Accent4 2 3 3 3 4" xfId="13802" xr:uid="{DA4A95FD-26D7-4114-B1BB-5B8C551A3384}"/>
    <cellStyle name="20% - Accent4 2 3 3 4" xfId="18025" xr:uid="{0EAFD27B-749F-44B1-9204-E46BC71531E2}"/>
    <cellStyle name="20% - Accent4 2 3 3 5" xfId="26470" xr:uid="{CA1CFAEA-A06B-4F6A-897C-3189DA360916}"/>
    <cellStyle name="20% - Accent4 2 3 3 6" xfId="9584" xr:uid="{A998D02A-12EE-48B6-AD63-CCE120B4710F}"/>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24801" xr:uid="{DF37B58C-48B8-46D1-85BA-04A9F70064C7}"/>
    <cellStyle name="20% - Accent4 2 3 4 2 2 3" xfId="33247" xr:uid="{CAFCD674-60F9-44B9-BBC1-08BBA3BC861A}"/>
    <cellStyle name="20% - Accent4 2 3 4 2 2 4" xfId="16360" xr:uid="{3DDCAA84-D52E-4EA8-94D1-8DE08289FA5F}"/>
    <cellStyle name="20% - Accent4 2 3 4 2 3" xfId="20583" xr:uid="{0B552A98-96F6-478F-85FA-1B2CD4A3ECBF}"/>
    <cellStyle name="20% - Accent4 2 3 4 2 4" xfId="29030" xr:uid="{3C371937-FEA0-4E93-BCA6-AD122E7A383F}"/>
    <cellStyle name="20% - Accent4 2 3 4 2 5" xfId="12142" xr:uid="{52ADCE68-3B88-4047-9CD4-BFF4C9987D43}"/>
    <cellStyle name="20% - Accent4 2 3 4 3" xfId="5773" xr:uid="{00000000-0005-0000-0000-000017020000}"/>
    <cellStyle name="20% - Accent4 2 3 4 3 2" xfId="22656" xr:uid="{F4D244A5-5F89-4747-B3B0-429C924B1814}"/>
    <cellStyle name="20% - Accent4 2 3 4 3 3" xfId="31102" xr:uid="{EF81458E-C5BC-40B1-824C-2350BF93D414}"/>
    <cellStyle name="20% - Accent4 2 3 4 3 4" xfId="14215" xr:uid="{6CC9CFE7-78AF-4175-B121-AB457D581E35}"/>
    <cellStyle name="20% - Accent4 2 3 4 4" xfId="18438" xr:uid="{EADC7684-EACC-42AF-B79D-D2E993B8322C}"/>
    <cellStyle name="20% - Accent4 2 3 4 5" xfId="26883" xr:uid="{A1889090-07F2-47BF-A362-688BF8CBC325}"/>
    <cellStyle name="20% - Accent4 2 3 4 6" xfId="9997" xr:uid="{CC22B6DA-AE84-4E7A-9AC5-B7282911B93A}"/>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25214" xr:uid="{90AADA82-4F38-4B72-B3E2-BC227FC03AA5}"/>
    <cellStyle name="20% - Accent4 2 3 5 2 2 3" xfId="33660" xr:uid="{B0B20270-DDAA-48B3-AA30-9D74B2C156E2}"/>
    <cellStyle name="20% - Accent4 2 3 5 2 2 4" xfId="16773" xr:uid="{6EB15FCD-71CC-48EE-B009-0D8BD58468A0}"/>
    <cellStyle name="20% - Accent4 2 3 5 2 3" xfId="20996" xr:uid="{E800B88A-1984-4C6B-9E2B-A8FBD2664274}"/>
    <cellStyle name="20% - Accent4 2 3 5 2 4" xfId="29443" xr:uid="{E8CB728F-4647-4052-A6BE-98E0CE3DB02D}"/>
    <cellStyle name="20% - Accent4 2 3 5 2 5" xfId="12555" xr:uid="{EA6104AC-6B80-41E6-9E92-A051D870F708}"/>
    <cellStyle name="20% - Accent4 2 3 5 3" xfId="6186" xr:uid="{00000000-0005-0000-0000-00001B020000}"/>
    <cellStyle name="20% - Accent4 2 3 5 3 2" xfId="23069" xr:uid="{D82E2EE6-205A-428D-8C7A-A1EE1D589026}"/>
    <cellStyle name="20% - Accent4 2 3 5 3 3" xfId="31515" xr:uid="{1DC00AAE-FD51-4131-BA13-99A2DF916E4F}"/>
    <cellStyle name="20% - Accent4 2 3 5 3 4" xfId="14628" xr:uid="{29A90EA4-CBC6-42DD-8A53-17EEA15893D3}"/>
    <cellStyle name="20% - Accent4 2 3 5 4" xfId="18851" xr:uid="{94569231-1864-4A60-932D-1C6587C4A5B8}"/>
    <cellStyle name="20% - Accent4 2 3 5 5" xfId="27296" xr:uid="{E2DC4A99-E758-4823-9DEA-40B5E255AAD7}"/>
    <cellStyle name="20% - Accent4 2 3 5 6" xfId="10410" xr:uid="{6FABA7DF-200D-411A-A5F3-805EEE1B3DAE}"/>
    <cellStyle name="20% - Accent4 2 3 6" xfId="2292" xr:uid="{00000000-0005-0000-0000-00001C020000}"/>
    <cellStyle name="20% - Accent4 2 3 6 2" xfId="6599" xr:uid="{00000000-0005-0000-0000-00001D020000}"/>
    <cellStyle name="20% - Accent4 2 3 6 2 2" xfId="23482" xr:uid="{9971DDC2-A3FC-4BA3-937E-F1BC87044907}"/>
    <cellStyle name="20% - Accent4 2 3 6 2 3" xfId="31928" xr:uid="{AD7C7CA5-2F35-4AE9-AA6C-EA0A4505250E}"/>
    <cellStyle name="20% - Accent4 2 3 6 2 4" xfId="15041" xr:uid="{9A64EE39-D6F2-4A10-97BD-22D7982F5915}"/>
    <cellStyle name="20% - Accent4 2 3 6 3" xfId="19264" xr:uid="{FA46F4A3-0569-4D15-953A-DF1337F650BB}"/>
    <cellStyle name="20% - Accent4 2 3 6 4" xfId="27709" xr:uid="{A1BA0A24-8E9A-4D77-BCB0-5EA5EF18574D}"/>
    <cellStyle name="20% - Accent4 2 3 6 5" xfId="10823" xr:uid="{AE444EBD-52E4-4653-A3E8-1723272B9FCD}"/>
    <cellStyle name="20% - Accent4 2 3 7" xfId="4533" xr:uid="{00000000-0005-0000-0000-00001E020000}"/>
    <cellStyle name="20% - Accent4 2 3 7 2" xfId="21416" xr:uid="{708BD550-C92E-4B14-8463-7070CF5D03EC}"/>
    <cellStyle name="20% - Accent4 2 3 7 3" xfId="29862" xr:uid="{E8EE373D-4B3E-4858-8ABB-293E58A777C8}"/>
    <cellStyle name="20% - Accent4 2 3 7 4" xfId="12975" xr:uid="{7329B54D-69F4-41B1-B3F6-4B1C936F3A36}"/>
    <cellStyle name="20% - Accent4 2 3 8" xfId="17198" xr:uid="{B1152AFD-71CD-46B0-8B01-BC4EDF8CB8F6}"/>
    <cellStyle name="20% - Accent4 2 3 9" xfId="25640" xr:uid="{E6FB862E-4598-4AF3-A7B0-B9B449B0A0E4}"/>
    <cellStyle name="20% - Accent4 2 4" xfId="595" xr:uid="{00000000-0005-0000-0000-00001F020000}"/>
    <cellStyle name="20% - Accent4 2 4 2" xfId="2866" xr:uid="{00000000-0005-0000-0000-000020020000}"/>
    <cellStyle name="20% - Accent4 2 4 2 2" xfId="7089" xr:uid="{00000000-0005-0000-0000-000021020000}"/>
    <cellStyle name="20% - Accent4 2 4 2 2 2" xfId="23972" xr:uid="{56CF98D0-F804-49F3-91F8-EA51BCEABA6A}"/>
    <cellStyle name="20% - Accent4 2 4 2 2 3" xfId="32418" xr:uid="{158B2044-634E-4550-87DE-165F0F5D01B6}"/>
    <cellStyle name="20% - Accent4 2 4 2 2 4" xfId="15531" xr:uid="{6014BFE2-0F00-4F9E-941A-15C0C2A81F9F}"/>
    <cellStyle name="20% - Accent4 2 4 2 3" xfId="19754" xr:uid="{6AE36B43-6FE6-46F6-88CB-BF6AA8D711F7}"/>
    <cellStyle name="20% - Accent4 2 4 2 4" xfId="28201" xr:uid="{C7575CD0-A0F8-4782-812A-31165425B7C5}"/>
    <cellStyle name="20% - Accent4 2 4 2 5" xfId="11313" xr:uid="{E1838B78-02BD-4D70-9A65-C6C509962164}"/>
    <cellStyle name="20% - Accent4 2 4 3" xfId="4944" xr:uid="{00000000-0005-0000-0000-000022020000}"/>
    <cellStyle name="20% - Accent4 2 4 3 2" xfId="21827" xr:uid="{984F2490-AA64-4CCC-9786-901D96C41D0F}"/>
    <cellStyle name="20% - Accent4 2 4 3 3" xfId="30273" xr:uid="{8392474F-28BC-466F-9CA1-CC175A742327}"/>
    <cellStyle name="20% - Accent4 2 4 3 4" xfId="13386" xr:uid="{DABB7021-B204-4ACA-B0EB-F88E7B70A46E}"/>
    <cellStyle name="20% - Accent4 2 4 4" xfId="17609" xr:uid="{991BA49B-1325-4753-AE4B-3B9A95C8C310}"/>
    <cellStyle name="20% - Accent4 2 4 5" xfId="26054" xr:uid="{FA31675B-C415-4B71-AE48-19A75236EDDD}"/>
    <cellStyle name="20% - Accent4 2 4 6" xfId="9168" xr:uid="{11603808-31F4-405A-8E07-0D67080044A0}"/>
    <cellStyle name="20% - Accent4 2 5" xfId="1048" xr:uid="{00000000-0005-0000-0000-000023020000}"/>
    <cellStyle name="20% - Accent4 2 5 2" xfId="3279" xr:uid="{00000000-0005-0000-0000-000024020000}"/>
    <cellStyle name="20% - Accent4 2 5 2 2" xfId="7502" xr:uid="{00000000-0005-0000-0000-000025020000}"/>
    <cellStyle name="20% - Accent4 2 5 2 2 2" xfId="24385" xr:uid="{C7507DD7-FD95-487D-AFAE-C32AB8F98F35}"/>
    <cellStyle name="20% - Accent4 2 5 2 2 3" xfId="32831" xr:uid="{2163F210-498E-4088-A234-945B2E2B9A96}"/>
    <cellStyle name="20% - Accent4 2 5 2 2 4" xfId="15944" xr:uid="{A02DB026-38D8-4B62-82BE-A895493B1832}"/>
    <cellStyle name="20% - Accent4 2 5 2 3" xfId="20167" xr:uid="{4249E6BB-F718-4BC7-9963-0871DC8088C9}"/>
    <cellStyle name="20% - Accent4 2 5 2 4" xfId="28614" xr:uid="{7BD6B1AF-A210-4DC4-A19A-018F8C048231}"/>
    <cellStyle name="20% - Accent4 2 5 2 5" xfId="11726" xr:uid="{D6FE3628-D57F-49CF-B479-BE7064460496}"/>
    <cellStyle name="20% - Accent4 2 5 3" xfId="5357" xr:uid="{00000000-0005-0000-0000-000026020000}"/>
    <cellStyle name="20% - Accent4 2 5 3 2" xfId="22240" xr:uid="{EADE3FD6-FD1F-4632-A852-FE484F5062C2}"/>
    <cellStyle name="20% - Accent4 2 5 3 3" xfId="30686" xr:uid="{B78E65A3-4038-428A-8249-2DEF42FFABC9}"/>
    <cellStyle name="20% - Accent4 2 5 3 4" xfId="13799" xr:uid="{AC480878-B57F-473A-8335-E3D9FC927214}"/>
    <cellStyle name="20% - Accent4 2 5 4" xfId="18022" xr:uid="{703270A0-F286-4375-A235-9DDDB51C6AD1}"/>
    <cellStyle name="20% - Accent4 2 5 5" xfId="26467" xr:uid="{6DF4EA68-8A04-4ACC-9CC5-71A4F8D0892F}"/>
    <cellStyle name="20% - Accent4 2 5 6" xfId="9581" xr:uid="{7F756608-2768-47B2-875B-40C8CE41B952}"/>
    <cellStyle name="20% - Accent4 2 6" xfId="1462" xr:uid="{00000000-0005-0000-0000-000027020000}"/>
    <cellStyle name="20% - Accent4 2 6 2" xfId="3692" xr:uid="{00000000-0005-0000-0000-000028020000}"/>
    <cellStyle name="20% - Accent4 2 6 2 2" xfId="7915" xr:uid="{00000000-0005-0000-0000-000029020000}"/>
    <cellStyle name="20% - Accent4 2 6 2 2 2" xfId="24798" xr:uid="{F46B2729-670D-46CC-9673-72A9ADC704D3}"/>
    <cellStyle name="20% - Accent4 2 6 2 2 3" xfId="33244" xr:uid="{970CB664-9491-42A9-8735-E97FECA73F63}"/>
    <cellStyle name="20% - Accent4 2 6 2 2 4" xfId="16357" xr:uid="{1F96FB68-AF0F-4AF2-8C55-8928C3680A5A}"/>
    <cellStyle name="20% - Accent4 2 6 2 3" xfId="20580" xr:uid="{EBB6605D-EF5E-4C81-99E3-EABD433C5A2D}"/>
    <cellStyle name="20% - Accent4 2 6 2 4" xfId="29027" xr:uid="{A4CCF0AD-7BD5-4094-AD2D-B0E361354AF8}"/>
    <cellStyle name="20% - Accent4 2 6 2 5" xfId="12139" xr:uid="{A9C65945-3109-4147-B355-0F66C80A4A14}"/>
    <cellStyle name="20% - Accent4 2 6 3" xfId="5770" xr:uid="{00000000-0005-0000-0000-00002A020000}"/>
    <cellStyle name="20% - Accent4 2 6 3 2" xfId="22653" xr:uid="{1A3EF850-D6CE-4164-97B7-C445FF4A0B51}"/>
    <cellStyle name="20% - Accent4 2 6 3 3" xfId="31099" xr:uid="{B25887DD-1FDF-489E-B74A-B4692B7EF8C2}"/>
    <cellStyle name="20% - Accent4 2 6 3 4" xfId="14212" xr:uid="{2F1F65EA-6ECD-426E-A5C1-E781A72D5626}"/>
    <cellStyle name="20% - Accent4 2 6 4" xfId="18435" xr:uid="{3F58444C-2C1E-4BE1-BB13-D07E2BE74459}"/>
    <cellStyle name="20% - Accent4 2 6 5" xfId="26880" xr:uid="{09F049C5-7C3E-4167-AECE-0D0401B19E26}"/>
    <cellStyle name="20% - Accent4 2 6 6" xfId="9994" xr:uid="{AD64D69B-4113-4858-A818-61697E899802}"/>
    <cellStyle name="20% - Accent4 2 7" xfId="1876" xr:uid="{00000000-0005-0000-0000-00002B020000}"/>
    <cellStyle name="20% - Accent4 2 7 2" xfId="4105" xr:uid="{00000000-0005-0000-0000-00002C020000}"/>
    <cellStyle name="20% - Accent4 2 7 2 2" xfId="8328" xr:uid="{00000000-0005-0000-0000-00002D020000}"/>
    <cellStyle name="20% - Accent4 2 7 2 2 2" xfId="25211" xr:uid="{281513B9-848D-4232-BE72-D89387F1BC68}"/>
    <cellStyle name="20% - Accent4 2 7 2 2 3" xfId="33657" xr:uid="{080B17F3-ACDD-41E8-A54C-0FAF597ADD72}"/>
    <cellStyle name="20% - Accent4 2 7 2 2 4" xfId="16770" xr:uid="{74DD3A38-54EF-4A45-A11C-354A89741DB9}"/>
    <cellStyle name="20% - Accent4 2 7 2 3" xfId="20993" xr:uid="{D123F85A-018A-4FCF-87CE-1C4AB63DA7B3}"/>
    <cellStyle name="20% - Accent4 2 7 2 4" xfId="29440" xr:uid="{DF7A3432-97E9-4CC7-806B-83FFCC717D79}"/>
    <cellStyle name="20% - Accent4 2 7 2 5" xfId="12552" xr:uid="{CE0C8D46-1FCA-4CE7-936C-2B67E2B8C45C}"/>
    <cellStyle name="20% - Accent4 2 7 3" xfId="6183" xr:uid="{00000000-0005-0000-0000-00002E020000}"/>
    <cellStyle name="20% - Accent4 2 7 3 2" xfId="23066" xr:uid="{087F5166-05B0-41DB-BBAC-C0E7F86EDF2A}"/>
    <cellStyle name="20% - Accent4 2 7 3 3" xfId="31512" xr:uid="{F9D2A14F-7D86-4601-8C43-FA5185D0630E}"/>
    <cellStyle name="20% - Accent4 2 7 3 4" xfId="14625" xr:uid="{942C0025-579A-4B25-8657-D9926BCF3F96}"/>
    <cellStyle name="20% - Accent4 2 7 4" xfId="18848" xr:uid="{AC3B61EF-E7B6-4FD6-94FD-388D13C4A0D5}"/>
    <cellStyle name="20% - Accent4 2 7 5" xfId="27293" xr:uid="{90312495-77F0-40C7-97DA-8FF9BB186E38}"/>
    <cellStyle name="20% - Accent4 2 7 6" xfId="10407" xr:uid="{8A7E0561-CF60-4C2E-9FF5-622FE9127997}"/>
    <cellStyle name="20% - Accent4 2 8" xfId="2289" xr:uid="{00000000-0005-0000-0000-00002F020000}"/>
    <cellStyle name="20% - Accent4 2 8 2" xfId="6596" xr:uid="{00000000-0005-0000-0000-000030020000}"/>
    <cellStyle name="20% - Accent4 2 8 2 2" xfId="23479" xr:uid="{1636BC89-F485-4468-94A4-F9518949D26C}"/>
    <cellStyle name="20% - Accent4 2 8 2 3" xfId="31925" xr:uid="{16D5A2C2-AA5B-4360-AC7B-F330654599D4}"/>
    <cellStyle name="20% - Accent4 2 8 2 4" xfId="15038" xr:uid="{E5DD8C80-F18E-4DC8-B032-B5D4C165E996}"/>
    <cellStyle name="20% - Accent4 2 8 3" xfId="19261" xr:uid="{1AC47518-2DAA-4A7E-A936-CCA5E064BF37}"/>
    <cellStyle name="20% - Accent4 2 8 4" xfId="27706" xr:uid="{5EB67930-FB87-4682-9442-5BBC151E4F82}"/>
    <cellStyle name="20% - Accent4 2 8 5" xfId="10820" xr:uid="{81062871-8CF4-4A4B-80A8-67706DECB02F}"/>
    <cellStyle name="20% - Accent4 2 9" xfId="4530" xr:uid="{00000000-0005-0000-0000-000031020000}"/>
    <cellStyle name="20% - Accent4 2 9 2" xfId="21413" xr:uid="{5CAE32FC-4495-49A4-82C8-C176F8638D4F}"/>
    <cellStyle name="20% - Accent4 2 9 3" xfId="29859" xr:uid="{88B38717-A937-4160-968D-B32505BE0F53}"/>
    <cellStyle name="20% - Accent4 2 9 4" xfId="12972" xr:uid="{5A5CDF5F-94B2-4517-A4A9-F90CCD4F1481}"/>
    <cellStyle name="20% - Accent4 3" xfId="30" xr:uid="{00000000-0005-0000-0000-000032020000}"/>
    <cellStyle name="20% - Accent4 3 10" xfId="25641" xr:uid="{A269A6EC-306A-4462-B09A-0136382E643C}"/>
    <cellStyle name="20% - Accent4 3 11" xfId="8758" xr:uid="{641333FD-9D0E-447A-A4CB-914960F9188F}"/>
    <cellStyle name="20% - Accent4 3 2" xfId="31" xr:uid="{00000000-0005-0000-0000-000033020000}"/>
    <cellStyle name="20% - Accent4 3 2 10" xfId="8759" xr:uid="{696962ED-75D4-4DEA-AAFE-36FA26425DFF}"/>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23977" xr:uid="{673CC373-DA0A-4B91-93E8-F046F02700F7}"/>
    <cellStyle name="20% - Accent4 3 2 2 2 2 3" xfId="32423" xr:uid="{5BB11818-0EAF-45A0-A8F2-C1657F50A523}"/>
    <cellStyle name="20% - Accent4 3 2 2 2 2 4" xfId="15536" xr:uid="{9DE9A330-A88E-4B03-8DF0-41ED73C0DD5E}"/>
    <cellStyle name="20% - Accent4 3 2 2 2 3" xfId="19759" xr:uid="{58FC3B84-F000-415A-8BF6-BA5513C56852}"/>
    <cellStyle name="20% - Accent4 3 2 2 2 4" xfId="28206" xr:uid="{BD4A4E53-2B45-4D3C-855D-E3E6766F37D6}"/>
    <cellStyle name="20% - Accent4 3 2 2 2 5" xfId="11318" xr:uid="{4A90E867-A0F9-43B4-B82F-8679AF3EB35E}"/>
    <cellStyle name="20% - Accent4 3 2 2 3" xfId="4949" xr:uid="{00000000-0005-0000-0000-000037020000}"/>
    <cellStyle name="20% - Accent4 3 2 2 3 2" xfId="21832" xr:uid="{5942463C-5BEF-42E8-BCE9-A9184554B16A}"/>
    <cellStyle name="20% - Accent4 3 2 2 3 3" xfId="30278" xr:uid="{45A8D8DD-EBF7-4D88-855D-87532EDE85BF}"/>
    <cellStyle name="20% - Accent4 3 2 2 3 4" xfId="13391" xr:uid="{F2DC2CD6-C996-4EE1-8D48-9C8F1D72BF9E}"/>
    <cellStyle name="20% - Accent4 3 2 2 4" xfId="17614" xr:uid="{CCA84B90-7951-4A6C-806C-030D8371B4B6}"/>
    <cellStyle name="20% - Accent4 3 2 2 5" xfId="26059" xr:uid="{0D93A4C5-ED5F-4D0C-BCB9-CB7BACDDA6BE}"/>
    <cellStyle name="20% - Accent4 3 2 2 6" xfId="9173" xr:uid="{41FA76C5-9CA2-4361-9651-ADE4FDD287D7}"/>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24390" xr:uid="{A9C0B2B3-BEC5-49DF-BC81-2DB7A230A768}"/>
    <cellStyle name="20% - Accent4 3 2 3 2 2 3" xfId="32836" xr:uid="{227B0A2B-2151-4633-933E-A2A4B9DBF797}"/>
    <cellStyle name="20% - Accent4 3 2 3 2 2 4" xfId="15949" xr:uid="{C7991729-9676-4724-90F8-18054DD73237}"/>
    <cellStyle name="20% - Accent4 3 2 3 2 3" xfId="20172" xr:uid="{BBEA8686-3D3F-4A3D-8E1D-824649CB159A}"/>
    <cellStyle name="20% - Accent4 3 2 3 2 4" xfId="28619" xr:uid="{31E0AF2F-DD20-4222-867C-2E47B7864FC1}"/>
    <cellStyle name="20% - Accent4 3 2 3 2 5" xfId="11731" xr:uid="{954FEEE0-198B-44F4-A1D3-57C5C498D7BA}"/>
    <cellStyle name="20% - Accent4 3 2 3 3" xfId="5362" xr:uid="{00000000-0005-0000-0000-00003B020000}"/>
    <cellStyle name="20% - Accent4 3 2 3 3 2" xfId="22245" xr:uid="{8ED75A62-BA28-4353-B8AA-63FEE226EC8E}"/>
    <cellStyle name="20% - Accent4 3 2 3 3 3" xfId="30691" xr:uid="{3664A45D-63A0-4646-AE75-83D2315D31A5}"/>
    <cellStyle name="20% - Accent4 3 2 3 3 4" xfId="13804" xr:uid="{AF51E481-F902-463E-9C95-B1A23D458AA2}"/>
    <cellStyle name="20% - Accent4 3 2 3 4" xfId="18027" xr:uid="{C34D4D22-B26C-4604-83B2-3B778FC51B3B}"/>
    <cellStyle name="20% - Accent4 3 2 3 5" xfId="26472" xr:uid="{E1FAE4DB-ABCD-4147-8F30-C17B90D160B4}"/>
    <cellStyle name="20% - Accent4 3 2 3 6" xfId="9586" xr:uid="{871AB572-EA3A-4FCD-8F96-2340C7BF2CDE}"/>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24803" xr:uid="{4FDF2937-1BA4-4C64-870C-52AB2367BF2B}"/>
    <cellStyle name="20% - Accent4 3 2 4 2 2 3" xfId="33249" xr:uid="{14DBE760-A7E9-4466-A24D-FD3D2A215057}"/>
    <cellStyle name="20% - Accent4 3 2 4 2 2 4" xfId="16362" xr:uid="{32E8F602-7A53-4A02-96F2-FA323C5B8F4F}"/>
    <cellStyle name="20% - Accent4 3 2 4 2 3" xfId="20585" xr:uid="{3587C46D-E309-452F-BD7F-B88BFCF1FA8A}"/>
    <cellStyle name="20% - Accent4 3 2 4 2 4" xfId="29032" xr:uid="{B71893ED-A24F-4E85-A277-FFE0B79B04FD}"/>
    <cellStyle name="20% - Accent4 3 2 4 2 5" xfId="12144" xr:uid="{080B7D17-B016-4E45-8F4E-F67E8F792BBF}"/>
    <cellStyle name="20% - Accent4 3 2 4 3" xfId="5775" xr:uid="{00000000-0005-0000-0000-00003F020000}"/>
    <cellStyle name="20% - Accent4 3 2 4 3 2" xfId="22658" xr:uid="{9200C835-AD22-4B16-8D69-6AACD7A62638}"/>
    <cellStyle name="20% - Accent4 3 2 4 3 3" xfId="31104" xr:uid="{B87D92C8-FE06-4BF5-BFCC-D59B1CAA7B1B}"/>
    <cellStyle name="20% - Accent4 3 2 4 3 4" xfId="14217" xr:uid="{AFCFB244-370D-40CB-93A8-73A3119259D5}"/>
    <cellStyle name="20% - Accent4 3 2 4 4" xfId="18440" xr:uid="{F5B06EE0-40B8-446D-94B9-67F9723D9F54}"/>
    <cellStyle name="20% - Accent4 3 2 4 5" xfId="26885" xr:uid="{36FDDA45-9296-4719-9A8E-17A3D07CED08}"/>
    <cellStyle name="20% - Accent4 3 2 4 6" xfId="9999" xr:uid="{6309E30C-7306-4767-913A-FD40323FF54C}"/>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25216" xr:uid="{6D521E79-6482-421C-A374-B0570B5B22BF}"/>
    <cellStyle name="20% - Accent4 3 2 5 2 2 3" xfId="33662" xr:uid="{57C11D1D-496C-4642-8884-7435B2F53D7B}"/>
    <cellStyle name="20% - Accent4 3 2 5 2 2 4" xfId="16775" xr:uid="{41B8011C-21AD-4557-ACC7-8B22ACEA0D49}"/>
    <cellStyle name="20% - Accent4 3 2 5 2 3" xfId="20998" xr:uid="{6435B8D4-B7C7-4C5E-9012-E44AB9C6929B}"/>
    <cellStyle name="20% - Accent4 3 2 5 2 4" xfId="29445" xr:uid="{15BCD02D-A2CE-4421-9989-959DF64EDEDB}"/>
    <cellStyle name="20% - Accent4 3 2 5 2 5" xfId="12557" xr:uid="{880E98D5-4A5E-4C4A-BD8B-CB9845140693}"/>
    <cellStyle name="20% - Accent4 3 2 5 3" xfId="6188" xr:uid="{00000000-0005-0000-0000-000043020000}"/>
    <cellStyle name="20% - Accent4 3 2 5 3 2" xfId="23071" xr:uid="{C0744E86-3D5D-4351-912F-80B8BC1C5B6F}"/>
    <cellStyle name="20% - Accent4 3 2 5 3 3" xfId="31517" xr:uid="{92572287-D638-4790-B924-53976CF1B64C}"/>
    <cellStyle name="20% - Accent4 3 2 5 3 4" xfId="14630" xr:uid="{22D22D79-97BF-4DA6-B16A-F2836DCCE9FC}"/>
    <cellStyle name="20% - Accent4 3 2 5 4" xfId="18853" xr:uid="{D42141B7-369C-4142-A66B-2432D7AF9D13}"/>
    <cellStyle name="20% - Accent4 3 2 5 5" xfId="27298" xr:uid="{75B5C49E-A046-44C7-BA68-CAED1C02ECD7}"/>
    <cellStyle name="20% - Accent4 3 2 5 6" xfId="10412" xr:uid="{3CAB8149-FC82-4173-BFFF-6C023ED9C9D4}"/>
    <cellStyle name="20% - Accent4 3 2 6" xfId="2294" xr:uid="{00000000-0005-0000-0000-000044020000}"/>
    <cellStyle name="20% - Accent4 3 2 6 2" xfId="6601" xr:uid="{00000000-0005-0000-0000-000045020000}"/>
    <cellStyle name="20% - Accent4 3 2 6 2 2" xfId="23484" xr:uid="{E8CC6718-E47C-4B22-9E25-28DDE9132C51}"/>
    <cellStyle name="20% - Accent4 3 2 6 2 3" xfId="31930" xr:uid="{3614E2BA-BB95-42E5-9A07-264F2AAB9C33}"/>
    <cellStyle name="20% - Accent4 3 2 6 2 4" xfId="15043" xr:uid="{64DBC37F-B0DA-45B0-9F4D-EB1599719F89}"/>
    <cellStyle name="20% - Accent4 3 2 6 3" xfId="19266" xr:uid="{74A29B01-561B-44AD-90C1-855B1AC9EB76}"/>
    <cellStyle name="20% - Accent4 3 2 6 4" xfId="27711" xr:uid="{B0A4DF65-7EF5-4F55-B826-7F50B52D5030}"/>
    <cellStyle name="20% - Accent4 3 2 6 5" xfId="10825" xr:uid="{822EF353-8389-43E4-B470-C7E1C9E7A2FF}"/>
    <cellStyle name="20% - Accent4 3 2 7" xfId="4535" xr:uid="{00000000-0005-0000-0000-000046020000}"/>
    <cellStyle name="20% - Accent4 3 2 7 2" xfId="21418" xr:uid="{6B4550C0-58A8-4709-9F57-DDBE215C05B0}"/>
    <cellStyle name="20% - Accent4 3 2 7 3" xfId="29864" xr:uid="{9DD2AF76-514E-4526-9523-206A0E7244C1}"/>
    <cellStyle name="20% - Accent4 3 2 7 4" xfId="12977" xr:uid="{46F52BD2-4663-46B3-9F39-03A4F94C7A08}"/>
    <cellStyle name="20% - Accent4 3 2 8" xfId="17200" xr:uid="{5B095851-4BBA-497D-AD7D-04801ACD9031}"/>
    <cellStyle name="20% - Accent4 3 2 9" xfId="25642" xr:uid="{4EB7CAFC-8AFC-47B3-ABAC-49DEE28DF4AA}"/>
    <cellStyle name="20% - Accent4 3 3" xfId="599" xr:uid="{00000000-0005-0000-0000-000047020000}"/>
    <cellStyle name="20% - Accent4 3 3 2" xfId="2870" xr:uid="{00000000-0005-0000-0000-000048020000}"/>
    <cellStyle name="20% - Accent4 3 3 2 2" xfId="7093" xr:uid="{00000000-0005-0000-0000-000049020000}"/>
    <cellStyle name="20% - Accent4 3 3 2 2 2" xfId="23976" xr:uid="{1D899594-6B51-4F64-B4EA-4EEA4BC43352}"/>
    <cellStyle name="20% - Accent4 3 3 2 2 3" xfId="32422" xr:uid="{2EBCCAC5-F16B-4E3B-B6CC-8FE94C1934CE}"/>
    <cellStyle name="20% - Accent4 3 3 2 2 4" xfId="15535" xr:uid="{A5787C2A-DC45-426D-A123-F64368F1FD5D}"/>
    <cellStyle name="20% - Accent4 3 3 2 3" xfId="19758" xr:uid="{9A0E07F7-BFA2-482B-BB25-4CD7E945AD5E}"/>
    <cellStyle name="20% - Accent4 3 3 2 4" xfId="28205" xr:uid="{11DE8FF2-0C1D-47D1-92D1-C091417B30F1}"/>
    <cellStyle name="20% - Accent4 3 3 2 5" xfId="11317" xr:uid="{1D0F8599-1549-4746-BA42-DA77CED66E08}"/>
    <cellStyle name="20% - Accent4 3 3 3" xfId="4948" xr:uid="{00000000-0005-0000-0000-00004A020000}"/>
    <cellStyle name="20% - Accent4 3 3 3 2" xfId="21831" xr:uid="{8058E39E-66E9-4F4A-A50F-ADB15613986A}"/>
    <cellStyle name="20% - Accent4 3 3 3 3" xfId="30277" xr:uid="{633699C5-34E4-42A9-BFCD-0D02E22BDB6A}"/>
    <cellStyle name="20% - Accent4 3 3 3 4" xfId="13390" xr:uid="{8C7E03A9-C431-4431-8C62-F78682DD28A5}"/>
    <cellStyle name="20% - Accent4 3 3 4" xfId="17613" xr:uid="{F9C171C4-0184-45E2-B88A-31174EE50675}"/>
    <cellStyle name="20% - Accent4 3 3 5" xfId="26058" xr:uid="{6DAD3EE6-6F05-4A64-A2A4-5CA287EE8C38}"/>
    <cellStyle name="20% - Accent4 3 3 6" xfId="9172" xr:uid="{4EA69275-F10F-4EB8-AB2F-BF7C4FD45BC3}"/>
    <cellStyle name="20% - Accent4 3 4" xfId="1052" xr:uid="{00000000-0005-0000-0000-00004B020000}"/>
    <cellStyle name="20% - Accent4 3 4 2" xfId="3283" xr:uid="{00000000-0005-0000-0000-00004C020000}"/>
    <cellStyle name="20% - Accent4 3 4 2 2" xfId="7506" xr:uid="{00000000-0005-0000-0000-00004D020000}"/>
    <cellStyle name="20% - Accent4 3 4 2 2 2" xfId="24389" xr:uid="{7B73200F-8392-4715-B86D-C3C81609958A}"/>
    <cellStyle name="20% - Accent4 3 4 2 2 3" xfId="32835" xr:uid="{F5F3D2BE-6DCD-47FD-BA8A-D5FF34EC4056}"/>
    <cellStyle name="20% - Accent4 3 4 2 2 4" xfId="15948" xr:uid="{1446E838-0226-43BD-BF7B-3EB4A70713F0}"/>
    <cellStyle name="20% - Accent4 3 4 2 3" xfId="20171" xr:uid="{00361E59-F6AF-4602-8888-7E4682E9C441}"/>
    <cellStyle name="20% - Accent4 3 4 2 4" xfId="28618" xr:uid="{F3530C3C-9FD2-4757-B589-2B9C342A8872}"/>
    <cellStyle name="20% - Accent4 3 4 2 5" xfId="11730" xr:uid="{A3DAE057-5322-412F-BA8B-FB1CD723ECF6}"/>
    <cellStyle name="20% - Accent4 3 4 3" xfId="5361" xr:uid="{00000000-0005-0000-0000-00004E020000}"/>
    <cellStyle name="20% - Accent4 3 4 3 2" xfId="22244" xr:uid="{DFE3D362-63E9-449E-B2DA-7612165C6F61}"/>
    <cellStyle name="20% - Accent4 3 4 3 3" xfId="30690" xr:uid="{6EE0FCCF-CE80-48CD-9856-8DB839E0687E}"/>
    <cellStyle name="20% - Accent4 3 4 3 4" xfId="13803" xr:uid="{7990AC98-ABA0-4B31-B525-F39BC8E7FC69}"/>
    <cellStyle name="20% - Accent4 3 4 4" xfId="18026" xr:uid="{667CCA41-7321-403E-A4B8-747B02650AB7}"/>
    <cellStyle name="20% - Accent4 3 4 5" xfId="26471" xr:uid="{FD6DC3DB-FE36-4A10-9A61-300FF40B5F21}"/>
    <cellStyle name="20% - Accent4 3 4 6" xfId="9585" xr:uid="{32A9F6D1-F58E-4062-95DE-9DEA0F8B1CDE}"/>
    <cellStyle name="20% - Accent4 3 5" xfId="1466" xr:uid="{00000000-0005-0000-0000-00004F020000}"/>
    <cellStyle name="20% - Accent4 3 5 2" xfId="3696" xr:uid="{00000000-0005-0000-0000-000050020000}"/>
    <cellStyle name="20% - Accent4 3 5 2 2" xfId="7919" xr:uid="{00000000-0005-0000-0000-000051020000}"/>
    <cellStyle name="20% - Accent4 3 5 2 2 2" xfId="24802" xr:uid="{8718E0DB-696E-42AA-9264-08ACF8A02D05}"/>
    <cellStyle name="20% - Accent4 3 5 2 2 3" xfId="33248" xr:uid="{C984D22A-F0D2-4252-9C9F-4F5C13F5B453}"/>
    <cellStyle name="20% - Accent4 3 5 2 2 4" xfId="16361" xr:uid="{246BEE6E-5875-4B4A-8E74-23924E2C1512}"/>
    <cellStyle name="20% - Accent4 3 5 2 3" xfId="20584" xr:uid="{F5E8DD84-C252-4E23-B17D-66CC1CE2C08B}"/>
    <cellStyle name="20% - Accent4 3 5 2 4" xfId="29031" xr:uid="{8589F00B-FB0A-42FE-810D-1E1367E69981}"/>
    <cellStyle name="20% - Accent4 3 5 2 5" xfId="12143" xr:uid="{6D98847E-9AE2-49DE-BF91-B90FB46B76E3}"/>
    <cellStyle name="20% - Accent4 3 5 3" xfId="5774" xr:uid="{00000000-0005-0000-0000-000052020000}"/>
    <cellStyle name="20% - Accent4 3 5 3 2" xfId="22657" xr:uid="{76E011B9-6C39-467D-9F7A-EC09DC7D51E4}"/>
    <cellStyle name="20% - Accent4 3 5 3 3" xfId="31103" xr:uid="{4F323746-7D02-41A2-8D31-AC5BD8B71C76}"/>
    <cellStyle name="20% - Accent4 3 5 3 4" xfId="14216" xr:uid="{2883E039-F7AD-4803-989A-91F8C554A285}"/>
    <cellStyle name="20% - Accent4 3 5 4" xfId="18439" xr:uid="{07FB10C5-988F-49C9-956F-E3E954EE69E6}"/>
    <cellStyle name="20% - Accent4 3 5 5" xfId="26884" xr:uid="{AE8234B0-5BE7-4367-A52D-B5C8DE907672}"/>
    <cellStyle name="20% - Accent4 3 5 6" xfId="9998" xr:uid="{A8DFA410-67C0-4B3D-B58C-29E792B060A9}"/>
    <cellStyle name="20% - Accent4 3 6" xfId="1880" xr:uid="{00000000-0005-0000-0000-000053020000}"/>
    <cellStyle name="20% - Accent4 3 6 2" xfId="4109" xr:uid="{00000000-0005-0000-0000-000054020000}"/>
    <cellStyle name="20% - Accent4 3 6 2 2" xfId="8332" xr:uid="{00000000-0005-0000-0000-000055020000}"/>
    <cellStyle name="20% - Accent4 3 6 2 2 2" xfId="25215" xr:uid="{0F28546C-D313-4D8F-8E67-229158856763}"/>
    <cellStyle name="20% - Accent4 3 6 2 2 3" xfId="33661" xr:uid="{7BAB4697-5829-4EF2-A18E-28609A819977}"/>
    <cellStyle name="20% - Accent4 3 6 2 2 4" xfId="16774" xr:uid="{56B8C409-A6CA-4A6F-B053-B8F5C28D43D7}"/>
    <cellStyle name="20% - Accent4 3 6 2 3" xfId="20997" xr:uid="{F1302571-9EE6-4798-BA45-C42E4533AD0E}"/>
    <cellStyle name="20% - Accent4 3 6 2 4" xfId="29444" xr:uid="{086AB758-453E-436B-B1A5-DE7646BB9159}"/>
    <cellStyle name="20% - Accent4 3 6 2 5" xfId="12556" xr:uid="{BB7D25CC-FD80-4913-89AB-115B17C14282}"/>
    <cellStyle name="20% - Accent4 3 6 3" xfId="6187" xr:uid="{00000000-0005-0000-0000-000056020000}"/>
    <cellStyle name="20% - Accent4 3 6 3 2" xfId="23070" xr:uid="{62FAE4A5-20FB-4757-AAA8-9B774BF1560D}"/>
    <cellStyle name="20% - Accent4 3 6 3 3" xfId="31516" xr:uid="{824D960A-1BF4-402D-823A-F04FA5407CD9}"/>
    <cellStyle name="20% - Accent4 3 6 3 4" xfId="14629" xr:uid="{14FE8B8E-79C0-4538-A837-A56594264C66}"/>
    <cellStyle name="20% - Accent4 3 6 4" xfId="18852" xr:uid="{8F8761AA-5AA9-4A18-ABE9-422F523BD56E}"/>
    <cellStyle name="20% - Accent4 3 6 5" xfId="27297" xr:uid="{3B4A32AF-3D5F-4F5F-A5C7-5B18BBF5DA17}"/>
    <cellStyle name="20% - Accent4 3 6 6" xfId="10411" xr:uid="{93F5F60B-E7E7-4BFB-810B-4BFDB3DE3F31}"/>
    <cellStyle name="20% - Accent4 3 7" xfId="2293" xr:uid="{00000000-0005-0000-0000-000057020000}"/>
    <cellStyle name="20% - Accent4 3 7 2" xfId="6600" xr:uid="{00000000-0005-0000-0000-000058020000}"/>
    <cellStyle name="20% - Accent4 3 7 2 2" xfId="23483" xr:uid="{89B6A207-7690-4788-9BAB-2BC4EBD100EF}"/>
    <cellStyle name="20% - Accent4 3 7 2 3" xfId="31929" xr:uid="{6BAFCAD2-C5ED-4ACD-8FD6-EC830B9B8792}"/>
    <cellStyle name="20% - Accent4 3 7 2 4" xfId="15042" xr:uid="{EE83781D-DEF8-4A9B-8958-1022D5BD1736}"/>
    <cellStyle name="20% - Accent4 3 7 3" xfId="19265" xr:uid="{913BDCAF-58A1-4266-AFEE-ACFE7FD8FE05}"/>
    <cellStyle name="20% - Accent4 3 7 4" xfId="27710" xr:uid="{5077241F-4B55-4F66-9C2E-BB2E36D9C941}"/>
    <cellStyle name="20% - Accent4 3 7 5" xfId="10824" xr:uid="{13B4086A-573B-4097-87DF-25CD4B0735D9}"/>
    <cellStyle name="20% - Accent4 3 8" xfId="4534" xr:uid="{00000000-0005-0000-0000-000059020000}"/>
    <cellStyle name="20% - Accent4 3 8 2" xfId="21417" xr:uid="{37DAE2E1-6B20-467B-89C1-12805B8C30F3}"/>
    <cellStyle name="20% - Accent4 3 8 3" xfId="29863" xr:uid="{34C3B1D6-2D51-4842-ADD6-F257E211CC36}"/>
    <cellStyle name="20% - Accent4 3 8 4" xfId="12976" xr:uid="{9D6CE5D7-0602-41EC-B23D-F1425BA63466}"/>
    <cellStyle name="20% - Accent4 3 9" xfId="17199" xr:uid="{5D663471-739B-4A1B-B1F2-088CC3E5838B}"/>
    <cellStyle name="20% - Accent4 4" xfId="32" xr:uid="{00000000-0005-0000-0000-00005A020000}"/>
    <cellStyle name="20% - Accent4 4 10" xfId="8760" xr:uid="{620443D3-211F-4F9E-B309-36AC4D2DA144}"/>
    <cellStyle name="20% - Accent4 4 2" xfId="601" xr:uid="{00000000-0005-0000-0000-00005B020000}"/>
    <cellStyle name="20% - Accent4 4 2 2" xfId="2872" xr:uid="{00000000-0005-0000-0000-00005C020000}"/>
    <cellStyle name="20% - Accent4 4 2 2 2" xfId="7095" xr:uid="{00000000-0005-0000-0000-00005D020000}"/>
    <cellStyle name="20% - Accent4 4 2 2 2 2" xfId="23978" xr:uid="{FE5C2472-58BA-47ED-A004-C6BE97BBC915}"/>
    <cellStyle name="20% - Accent4 4 2 2 2 3" xfId="32424" xr:uid="{CA3E38E0-93DC-42A6-879A-B9E90CAC3835}"/>
    <cellStyle name="20% - Accent4 4 2 2 2 4" xfId="15537" xr:uid="{5FAA9759-220A-4968-8896-F15262DD4A5B}"/>
    <cellStyle name="20% - Accent4 4 2 2 3" xfId="19760" xr:uid="{B515C6F5-B122-4B8E-A33E-34E9B397E0FA}"/>
    <cellStyle name="20% - Accent4 4 2 2 4" xfId="28207" xr:uid="{9409DFDE-3A47-4DB1-B5C3-8605EDCA4C1D}"/>
    <cellStyle name="20% - Accent4 4 2 2 5" xfId="11319" xr:uid="{303A9F8A-2B48-4ACC-A2FA-E3BE701E8173}"/>
    <cellStyle name="20% - Accent4 4 2 3" xfId="4950" xr:uid="{00000000-0005-0000-0000-00005E020000}"/>
    <cellStyle name="20% - Accent4 4 2 3 2" xfId="21833" xr:uid="{AC76B748-9CD5-41AA-B75A-C3E715BF7036}"/>
    <cellStyle name="20% - Accent4 4 2 3 3" xfId="30279" xr:uid="{D7B5538F-5BF1-4D87-B4E7-3947DE6A0655}"/>
    <cellStyle name="20% - Accent4 4 2 3 4" xfId="13392" xr:uid="{8AB2FCC1-9F5C-4411-88AC-D323EBF5196D}"/>
    <cellStyle name="20% - Accent4 4 2 4" xfId="17615" xr:uid="{F4BA70F7-140B-473E-BB48-0A3955660C1F}"/>
    <cellStyle name="20% - Accent4 4 2 5" xfId="26060" xr:uid="{68B8A8AF-3775-4E23-BEFB-B3E430F735CF}"/>
    <cellStyle name="20% - Accent4 4 2 6" xfId="9174" xr:uid="{68E27B02-2622-4081-87C2-12C6E95A5C7D}"/>
    <cellStyle name="20% - Accent4 4 3" xfId="1054" xr:uid="{00000000-0005-0000-0000-00005F020000}"/>
    <cellStyle name="20% - Accent4 4 3 2" xfId="3285" xr:uid="{00000000-0005-0000-0000-000060020000}"/>
    <cellStyle name="20% - Accent4 4 3 2 2" xfId="7508" xr:uid="{00000000-0005-0000-0000-000061020000}"/>
    <cellStyle name="20% - Accent4 4 3 2 2 2" xfId="24391" xr:uid="{310C5137-45B6-44EB-8CA5-AB7F540F2613}"/>
    <cellStyle name="20% - Accent4 4 3 2 2 3" xfId="32837" xr:uid="{2EC043F8-841C-4B35-A512-67C60221971C}"/>
    <cellStyle name="20% - Accent4 4 3 2 2 4" xfId="15950" xr:uid="{C9F17719-B681-4D32-A592-FE07447CAFD2}"/>
    <cellStyle name="20% - Accent4 4 3 2 3" xfId="20173" xr:uid="{A4E5AC92-CC73-4AC3-B7A5-A1376FF111EB}"/>
    <cellStyle name="20% - Accent4 4 3 2 4" xfId="28620" xr:uid="{C5A0F052-1140-4427-A371-687DBE4128FA}"/>
    <cellStyle name="20% - Accent4 4 3 2 5" xfId="11732" xr:uid="{08263504-02F4-4ADD-8B3C-18732581191D}"/>
    <cellStyle name="20% - Accent4 4 3 3" xfId="5363" xr:uid="{00000000-0005-0000-0000-000062020000}"/>
    <cellStyle name="20% - Accent4 4 3 3 2" xfId="22246" xr:uid="{B98C6E36-4FE7-47A1-AD66-886CBB9D0EAF}"/>
    <cellStyle name="20% - Accent4 4 3 3 3" xfId="30692" xr:uid="{A6A6D21C-253D-4302-A638-4EA9A799C203}"/>
    <cellStyle name="20% - Accent4 4 3 3 4" xfId="13805" xr:uid="{671E0964-AB62-4148-AAE5-A2E47A7E813C}"/>
    <cellStyle name="20% - Accent4 4 3 4" xfId="18028" xr:uid="{8BC3B6AC-1ADC-4B93-A8C4-0E8C4C77546A}"/>
    <cellStyle name="20% - Accent4 4 3 5" xfId="26473" xr:uid="{DF36099E-06E2-43EE-B964-3F419CB19199}"/>
    <cellStyle name="20% - Accent4 4 3 6" xfId="9587" xr:uid="{C63681A2-B891-43BA-813F-E3D4E1BC5275}"/>
    <cellStyle name="20% - Accent4 4 4" xfId="1468" xr:uid="{00000000-0005-0000-0000-000063020000}"/>
    <cellStyle name="20% - Accent4 4 4 2" xfId="3698" xr:uid="{00000000-0005-0000-0000-000064020000}"/>
    <cellStyle name="20% - Accent4 4 4 2 2" xfId="7921" xr:uid="{00000000-0005-0000-0000-000065020000}"/>
    <cellStyle name="20% - Accent4 4 4 2 2 2" xfId="24804" xr:uid="{04B3635B-563E-44E2-BA5E-0E15AC6AF6F6}"/>
    <cellStyle name="20% - Accent4 4 4 2 2 3" xfId="33250" xr:uid="{AC72E5D3-C91F-4881-99CA-6CA1B1C8D32C}"/>
    <cellStyle name="20% - Accent4 4 4 2 2 4" xfId="16363" xr:uid="{8455F59B-136A-4771-A7BF-DFFBBBFC5862}"/>
    <cellStyle name="20% - Accent4 4 4 2 3" xfId="20586" xr:uid="{9DB0E0A0-476D-4E8A-A55D-B2875424FAE0}"/>
    <cellStyle name="20% - Accent4 4 4 2 4" xfId="29033" xr:uid="{499A8D78-08B7-4EE3-A218-1AA728F9FC3B}"/>
    <cellStyle name="20% - Accent4 4 4 2 5" xfId="12145" xr:uid="{822EAC09-E806-4842-85B2-762B723289E2}"/>
    <cellStyle name="20% - Accent4 4 4 3" xfId="5776" xr:uid="{00000000-0005-0000-0000-000066020000}"/>
    <cellStyle name="20% - Accent4 4 4 3 2" xfId="22659" xr:uid="{06D5A5BE-29F0-4EB9-8E18-CB92B2155065}"/>
    <cellStyle name="20% - Accent4 4 4 3 3" xfId="31105" xr:uid="{E6B8EB46-82F5-4911-BBC6-0D9BA81EC6D6}"/>
    <cellStyle name="20% - Accent4 4 4 3 4" xfId="14218" xr:uid="{03F12D87-3C3C-4833-94E6-55A2E862F663}"/>
    <cellStyle name="20% - Accent4 4 4 4" xfId="18441" xr:uid="{7462EFB1-594A-4788-924F-17CD953336C7}"/>
    <cellStyle name="20% - Accent4 4 4 5" xfId="26886" xr:uid="{53E518D8-F7F3-47F1-B571-4E194A108B19}"/>
    <cellStyle name="20% - Accent4 4 4 6" xfId="10000" xr:uid="{EB8BBACE-C97D-42B4-8F45-B26A42ADDBDD}"/>
    <cellStyle name="20% - Accent4 4 5" xfId="1882" xr:uid="{00000000-0005-0000-0000-000067020000}"/>
    <cellStyle name="20% - Accent4 4 5 2" xfId="4111" xr:uid="{00000000-0005-0000-0000-000068020000}"/>
    <cellStyle name="20% - Accent4 4 5 2 2" xfId="8334" xr:uid="{00000000-0005-0000-0000-000069020000}"/>
    <cellStyle name="20% - Accent4 4 5 2 2 2" xfId="25217" xr:uid="{C0F49D9F-A016-499D-8357-E2576E129073}"/>
    <cellStyle name="20% - Accent4 4 5 2 2 3" xfId="33663" xr:uid="{DDF185DF-9FC8-4D26-A545-0E8E80DF9FC5}"/>
    <cellStyle name="20% - Accent4 4 5 2 2 4" xfId="16776" xr:uid="{E1A58F56-BB25-43E5-A8CB-BD78054E19DB}"/>
    <cellStyle name="20% - Accent4 4 5 2 3" xfId="20999" xr:uid="{20AF7164-4690-4CBB-AFF8-D7B6FA0010E9}"/>
    <cellStyle name="20% - Accent4 4 5 2 4" xfId="29446" xr:uid="{207E786F-BDA5-4BE9-9A18-652D10A98D33}"/>
    <cellStyle name="20% - Accent4 4 5 2 5" xfId="12558" xr:uid="{F2425F40-9850-4DCE-B41B-3965B40F0A9A}"/>
    <cellStyle name="20% - Accent4 4 5 3" xfId="6189" xr:uid="{00000000-0005-0000-0000-00006A020000}"/>
    <cellStyle name="20% - Accent4 4 5 3 2" xfId="23072" xr:uid="{FC608617-8359-4261-899A-57DCF2D6EEAC}"/>
    <cellStyle name="20% - Accent4 4 5 3 3" xfId="31518" xr:uid="{B1CAA5A3-9DA6-4915-94CA-EDD478EDF751}"/>
    <cellStyle name="20% - Accent4 4 5 3 4" xfId="14631" xr:uid="{9AF76D66-BC91-4018-99CC-6D2B41A82A82}"/>
    <cellStyle name="20% - Accent4 4 5 4" xfId="18854" xr:uid="{7051E96E-5077-4F98-BB25-73F237500E58}"/>
    <cellStyle name="20% - Accent4 4 5 5" xfId="27299" xr:uid="{AFCA386B-55DC-4401-8C50-4E67588FBA97}"/>
    <cellStyle name="20% - Accent4 4 5 6" xfId="10413" xr:uid="{B1A799D6-0778-4B46-8944-8370AD32A1E5}"/>
    <cellStyle name="20% - Accent4 4 6" xfId="2295" xr:uid="{00000000-0005-0000-0000-00006B020000}"/>
    <cellStyle name="20% - Accent4 4 6 2" xfId="6602" xr:uid="{00000000-0005-0000-0000-00006C020000}"/>
    <cellStyle name="20% - Accent4 4 6 2 2" xfId="23485" xr:uid="{6AF21034-C3E2-429C-AF5F-27A16F9AE5CD}"/>
    <cellStyle name="20% - Accent4 4 6 2 3" xfId="31931" xr:uid="{6E61A728-46D1-4967-A74E-7BBD06B02B83}"/>
    <cellStyle name="20% - Accent4 4 6 2 4" xfId="15044" xr:uid="{2A667671-7E0F-422F-A754-C7DDEBAD7BA6}"/>
    <cellStyle name="20% - Accent4 4 6 3" xfId="19267" xr:uid="{32BAD7C1-3DBD-42D7-B838-8818863EC62E}"/>
    <cellStyle name="20% - Accent4 4 6 4" xfId="27712" xr:uid="{D620989D-4D9E-473B-9F4E-9CAC5A595089}"/>
    <cellStyle name="20% - Accent4 4 6 5" xfId="10826" xr:uid="{C5B2DC0F-CE0B-450A-A0A5-9B3B76F893B0}"/>
    <cellStyle name="20% - Accent4 4 7" xfId="4536" xr:uid="{00000000-0005-0000-0000-00006D020000}"/>
    <cellStyle name="20% - Accent4 4 7 2" xfId="21419" xr:uid="{9542EBC8-A701-41CB-82ED-2EB05EA52B16}"/>
    <cellStyle name="20% - Accent4 4 7 3" xfId="29865" xr:uid="{6F1ED0D5-668D-4A49-B130-1F57B5FF6705}"/>
    <cellStyle name="20% - Accent4 4 7 4" xfId="12978" xr:uid="{462BB17B-A8E0-481D-8500-B90DDF230D08}"/>
    <cellStyle name="20% - Accent4 4 8" xfId="17201" xr:uid="{FEF8C553-E737-4C7A-B55F-59EB9AE1A1F0}"/>
    <cellStyle name="20% - Accent4 4 9" xfId="25643" xr:uid="{DB9965FA-6225-44FA-853A-8AF83CDBC370}"/>
    <cellStyle name="20% - Accent4 5" xfId="594" xr:uid="{00000000-0005-0000-0000-00006E020000}"/>
    <cellStyle name="20% - Accent4 5 2" xfId="2865" xr:uid="{00000000-0005-0000-0000-00006F020000}"/>
    <cellStyle name="20% - Accent4 5 2 2" xfId="7088" xr:uid="{00000000-0005-0000-0000-000070020000}"/>
    <cellStyle name="20% - Accent4 5 2 2 2" xfId="23971" xr:uid="{6E67CD91-1FA1-4548-A0CF-00EBFB4949DE}"/>
    <cellStyle name="20% - Accent4 5 2 2 3" xfId="32417" xr:uid="{F44D4890-9102-44FF-B371-CAB417462C98}"/>
    <cellStyle name="20% - Accent4 5 2 2 4" xfId="15530" xr:uid="{0A4BAD00-EAC3-480C-9128-08A03FB3550C}"/>
    <cellStyle name="20% - Accent4 5 2 3" xfId="19753" xr:uid="{2AE14551-603E-4194-A4F4-866002CE6723}"/>
    <cellStyle name="20% - Accent4 5 2 4" xfId="28200" xr:uid="{1D2C2A1C-7632-43BE-9FA4-DCCE308BE438}"/>
    <cellStyle name="20% - Accent4 5 2 5" xfId="11312" xr:uid="{738B850E-1A97-49FC-9BA3-B1B2EE7E184D}"/>
    <cellStyle name="20% - Accent4 5 3" xfId="4943" xr:uid="{00000000-0005-0000-0000-000071020000}"/>
    <cellStyle name="20% - Accent4 5 3 2" xfId="21826" xr:uid="{B6722D08-3E92-4875-9D88-AF51EC92F7F0}"/>
    <cellStyle name="20% - Accent4 5 3 3" xfId="30272" xr:uid="{B01D4D22-5DBA-4CF5-91D6-EB73FC68DD5D}"/>
    <cellStyle name="20% - Accent4 5 3 4" xfId="13385" xr:uid="{809FF0DA-A5C4-4106-A635-04B5880DA10D}"/>
    <cellStyle name="20% - Accent4 5 4" xfId="17608" xr:uid="{F982B4A2-F1AB-46B2-B0FE-C0B4FA8DAC5E}"/>
    <cellStyle name="20% - Accent4 5 5" xfId="26053" xr:uid="{00F817C8-46CA-4452-B7F0-12E64C3577B3}"/>
    <cellStyle name="20% - Accent4 5 6" xfId="9167" xr:uid="{D7E745C6-CCD9-47A5-A635-026830C99E9E}"/>
    <cellStyle name="20% - Accent4 6" xfId="1047" xr:uid="{00000000-0005-0000-0000-000072020000}"/>
    <cellStyle name="20% - Accent4 6 2" xfId="3278" xr:uid="{00000000-0005-0000-0000-000073020000}"/>
    <cellStyle name="20% - Accent4 6 2 2" xfId="7501" xr:uid="{00000000-0005-0000-0000-000074020000}"/>
    <cellStyle name="20% - Accent4 6 2 2 2" xfId="24384" xr:uid="{938D7FB2-EDB6-498A-8B54-F1255D979790}"/>
    <cellStyle name="20% - Accent4 6 2 2 3" xfId="32830" xr:uid="{D2FC0D21-5F33-45FA-93FF-1E4B22A6D06D}"/>
    <cellStyle name="20% - Accent4 6 2 2 4" xfId="15943" xr:uid="{5B4A338A-8FEC-493F-9DAB-EB61DCF11E8F}"/>
    <cellStyle name="20% - Accent4 6 2 3" xfId="20166" xr:uid="{3B041097-8263-4379-BD3C-8C6E991F124F}"/>
    <cellStyle name="20% - Accent4 6 2 4" xfId="28613" xr:uid="{8EF2889E-398E-4641-A022-263A6A4A17CB}"/>
    <cellStyle name="20% - Accent4 6 2 5" xfId="11725" xr:uid="{8A418AF6-A5A1-424B-A791-67BC6E1B3EE8}"/>
    <cellStyle name="20% - Accent4 6 3" xfId="5356" xr:uid="{00000000-0005-0000-0000-000075020000}"/>
    <cellStyle name="20% - Accent4 6 3 2" xfId="22239" xr:uid="{53E34D0A-0074-461E-9720-F3CAAAB6689D}"/>
    <cellStyle name="20% - Accent4 6 3 3" xfId="30685" xr:uid="{0279F1C0-EE26-484C-A465-89215D30533E}"/>
    <cellStyle name="20% - Accent4 6 3 4" xfId="13798" xr:uid="{1F0AD870-3250-4DB4-B346-1B4A9A6DC696}"/>
    <cellStyle name="20% - Accent4 6 4" xfId="18021" xr:uid="{ABAAA323-FB5D-4A97-BF64-9BADD9A4569A}"/>
    <cellStyle name="20% - Accent4 6 5" xfId="26466" xr:uid="{0D849247-83E9-4216-8B18-53E6E7EB1306}"/>
    <cellStyle name="20% - Accent4 6 6" xfId="9580" xr:uid="{F4F7CBCF-04A9-47E3-95E2-B4B7D7EF2E3E}"/>
    <cellStyle name="20% - Accent4 7" xfId="1461" xr:uid="{00000000-0005-0000-0000-000076020000}"/>
    <cellStyle name="20% - Accent4 7 2" xfId="3691" xr:uid="{00000000-0005-0000-0000-000077020000}"/>
    <cellStyle name="20% - Accent4 7 2 2" xfId="7914" xr:uid="{00000000-0005-0000-0000-000078020000}"/>
    <cellStyle name="20% - Accent4 7 2 2 2" xfId="24797" xr:uid="{FBE151B9-6CFB-4961-B777-ED291A0C25EC}"/>
    <cellStyle name="20% - Accent4 7 2 2 3" xfId="33243" xr:uid="{0684ECFC-C659-469B-9515-C5D3C9C8D785}"/>
    <cellStyle name="20% - Accent4 7 2 2 4" xfId="16356" xr:uid="{1897B9C8-817C-40DB-93E4-91B8D0145DFE}"/>
    <cellStyle name="20% - Accent4 7 2 3" xfId="20579" xr:uid="{7FE5C609-CD97-4FF3-900A-E4B8B714B9E7}"/>
    <cellStyle name="20% - Accent4 7 2 4" xfId="29026" xr:uid="{591BE312-332C-4D14-9210-1A9DD7127F98}"/>
    <cellStyle name="20% - Accent4 7 2 5" xfId="12138" xr:uid="{77D3A5F4-B467-4D6A-8892-D8F36FB93628}"/>
    <cellStyle name="20% - Accent4 7 3" xfId="5769" xr:uid="{00000000-0005-0000-0000-000079020000}"/>
    <cellStyle name="20% - Accent4 7 3 2" xfId="22652" xr:uid="{8E2D5AEB-F6C9-4071-8A1A-E23AF3D90A2E}"/>
    <cellStyle name="20% - Accent4 7 3 3" xfId="31098" xr:uid="{00C7A0A3-8683-4501-B571-2298ABB69E5D}"/>
    <cellStyle name="20% - Accent4 7 3 4" xfId="14211" xr:uid="{C836AD8B-9B27-4321-A6F4-F4446BD95B2C}"/>
    <cellStyle name="20% - Accent4 7 4" xfId="18434" xr:uid="{49B909C8-8284-4B6F-8AFB-CCF1325C02E4}"/>
    <cellStyle name="20% - Accent4 7 5" xfId="26879" xr:uid="{8856EF09-5290-47A7-BFC0-2ED8944F7F16}"/>
    <cellStyle name="20% - Accent4 7 6" xfId="9993" xr:uid="{27C7ABA2-B36A-41A6-9B8E-7A8E5F009602}"/>
    <cellStyle name="20% - Accent4 8" xfId="1875" xr:uid="{00000000-0005-0000-0000-00007A020000}"/>
    <cellStyle name="20% - Accent4 8 2" xfId="4104" xr:uid="{00000000-0005-0000-0000-00007B020000}"/>
    <cellStyle name="20% - Accent4 8 2 2" xfId="8327" xr:uid="{00000000-0005-0000-0000-00007C020000}"/>
    <cellStyle name="20% - Accent4 8 2 2 2" xfId="25210" xr:uid="{D83B12A3-41B6-4436-8728-FBCD564127A8}"/>
    <cellStyle name="20% - Accent4 8 2 2 3" xfId="33656" xr:uid="{3D7B999F-27E9-4C9E-94CF-FD394DB76A19}"/>
    <cellStyle name="20% - Accent4 8 2 2 4" xfId="16769" xr:uid="{60D0B8BD-B6CB-4FFB-AE12-452A54FE7D71}"/>
    <cellStyle name="20% - Accent4 8 2 3" xfId="20992" xr:uid="{56C4BEDA-F936-4671-B114-CDB6A5B38FFD}"/>
    <cellStyle name="20% - Accent4 8 2 4" xfId="29439" xr:uid="{AB7F7D98-0B15-40D7-9A8D-7F9B5A5F5E9F}"/>
    <cellStyle name="20% - Accent4 8 2 5" xfId="12551" xr:uid="{7AE883AB-9B27-4449-9C04-DCA1611D3CE0}"/>
    <cellStyle name="20% - Accent4 8 3" xfId="6182" xr:uid="{00000000-0005-0000-0000-00007D020000}"/>
    <cellStyle name="20% - Accent4 8 3 2" xfId="23065" xr:uid="{9DA98E22-3C27-44AC-98C5-350EF6837D05}"/>
    <cellStyle name="20% - Accent4 8 3 3" xfId="31511" xr:uid="{D0185261-FF21-4225-B338-6CF83E7B87A8}"/>
    <cellStyle name="20% - Accent4 8 3 4" xfId="14624" xr:uid="{F06B73C1-E98F-49AB-849D-EC444C9919F6}"/>
    <cellStyle name="20% - Accent4 8 4" xfId="18847" xr:uid="{B0620B44-9A28-4D39-B652-999F4BAF2CD0}"/>
    <cellStyle name="20% - Accent4 8 5" xfId="27292" xr:uid="{FC749EA9-AE94-464A-86B6-D391471DD127}"/>
    <cellStyle name="20% - Accent4 8 6" xfId="10406" xr:uid="{3955F666-144B-459C-B905-5630E6BD54A8}"/>
    <cellStyle name="20% - Accent4 9" xfId="2288" xr:uid="{00000000-0005-0000-0000-00007E020000}"/>
    <cellStyle name="20% - Accent4 9 2" xfId="6595" xr:uid="{00000000-0005-0000-0000-00007F020000}"/>
    <cellStyle name="20% - Accent4 9 2 2" xfId="23478" xr:uid="{069AC067-BC1A-413B-8DE7-993F967AB4E4}"/>
    <cellStyle name="20% - Accent4 9 2 3" xfId="31924" xr:uid="{4760899D-C8F7-4EED-BC7E-A0A520E54657}"/>
    <cellStyle name="20% - Accent4 9 2 4" xfId="15037" xr:uid="{D7100EDC-AED2-408D-BC40-1CE726189553}"/>
    <cellStyle name="20% - Accent4 9 3" xfId="19260" xr:uid="{46A899CF-3552-4FB1-977D-C3717FCEB2BC}"/>
    <cellStyle name="20% - Accent4 9 4" xfId="27705" xr:uid="{C26EC6EF-B7FC-4CBD-B757-7C1E1382B74D}"/>
    <cellStyle name="20% - Accent4 9 5" xfId="10819" xr:uid="{D4155C1C-C22B-4444-B5C9-EAAAB7DD311F}"/>
    <cellStyle name="20% - Accent5" xfId="33" builtinId="46" customBuiltin="1"/>
    <cellStyle name="20% - Accent5 10" xfId="4537" xr:uid="{00000000-0005-0000-0000-000081020000}"/>
    <cellStyle name="20% - Accent5 10 2" xfId="21420" xr:uid="{8CE39583-33F9-4AE2-B202-79D1A0670E59}"/>
    <cellStyle name="20% - Accent5 10 3" xfId="29866" xr:uid="{A3D9FB7D-F838-44E6-A9C8-C612C9DB4BA6}"/>
    <cellStyle name="20% - Accent5 10 4" xfId="12979" xr:uid="{06C0FEF8-90C9-40A6-89E8-E3636E64310E}"/>
    <cellStyle name="20% - Accent5 11" xfId="17202" xr:uid="{F6DFAF21-9E18-4F7B-AD64-0B4D95630443}"/>
    <cellStyle name="20% - Accent5 12" xfId="25644" xr:uid="{EA149998-814A-42D8-976C-331F91E2DD21}"/>
    <cellStyle name="20% - Accent5 13" xfId="8761" xr:uid="{C32F1287-946A-4D93-94AA-57FB14FFF4E6}"/>
    <cellStyle name="20% - Accent5 2" xfId="34" xr:uid="{00000000-0005-0000-0000-000082020000}"/>
    <cellStyle name="20% - Accent5 2 10" xfId="17203" xr:uid="{D9615B52-5D3D-4808-8B82-0A53F3094E8A}"/>
    <cellStyle name="20% - Accent5 2 11" xfId="25645" xr:uid="{7C54AC10-B16A-44D4-BD50-A6B27C8E8839}"/>
    <cellStyle name="20% - Accent5 2 12" xfId="8762" xr:uid="{083196B5-0367-411B-870F-C161B427BC09}"/>
    <cellStyle name="20% - Accent5 2 2" xfId="35" xr:uid="{00000000-0005-0000-0000-000083020000}"/>
    <cellStyle name="20% - Accent5 2 2 10" xfId="25646" xr:uid="{4FDE42CD-F0E2-4890-833A-602970D6D887}"/>
    <cellStyle name="20% - Accent5 2 2 11" xfId="8763" xr:uid="{805CDD36-9E13-44F7-9C67-5DCADB44C974}"/>
    <cellStyle name="20% - Accent5 2 2 2" xfId="36" xr:uid="{00000000-0005-0000-0000-000084020000}"/>
    <cellStyle name="20% - Accent5 2 2 2 10" xfId="8764" xr:uid="{3FE76596-C7BE-4128-84B0-D2B78275F1E7}"/>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23982" xr:uid="{48857028-C22B-44B3-A657-FEB782CE20FC}"/>
    <cellStyle name="20% - Accent5 2 2 2 2 2 2 3" xfId="32428" xr:uid="{258CDA46-8B3C-4F94-95B0-865A0ABDD7D2}"/>
    <cellStyle name="20% - Accent5 2 2 2 2 2 2 4" xfId="15541" xr:uid="{E9F5D550-B40F-4832-BDA3-0934C47704B1}"/>
    <cellStyle name="20% - Accent5 2 2 2 2 2 3" xfId="19764" xr:uid="{0F4D93C9-EE7A-405A-AE22-E9F130A06CA6}"/>
    <cellStyle name="20% - Accent5 2 2 2 2 2 4" xfId="28211" xr:uid="{5F60C575-BA8D-46AD-8D1A-8219DEE7BC21}"/>
    <cellStyle name="20% - Accent5 2 2 2 2 2 5" xfId="11323" xr:uid="{A68AD214-4697-47DF-905D-BEF5DF27460D}"/>
    <cellStyle name="20% - Accent5 2 2 2 2 3" xfId="4954" xr:uid="{00000000-0005-0000-0000-000088020000}"/>
    <cellStyle name="20% - Accent5 2 2 2 2 3 2" xfId="21837" xr:uid="{F04ADFDE-A3A0-4807-A822-BEC507BA0C3C}"/>
    <cellStyle name="20% - Accent5 2 2 2 2 3 3" xfId="30283" xr:uid="{4F8284D7-9E02-45FD-B6E7-EA8C4BEC72F2}"/>
    <cellStyle name="20% - Accent5 2 2 2 2 3 4" xfId="13396" xr:uid="{5A81B121-0274-452E-B8FD-82C201837158}"/>
    <cellStyle name="20% - Accent5 2 2 2 2 4" xfId="17619" xr:uid="{E7F6A5A2-9A3B-4D13-8111-6A213F352C2B}"/>
    <cellStyle name="20% - Accent5 2 2 2 2 5" xfId="26064" xr:uid="{649D8402-4EAD-41F2-9C71-1C1F261B58C4}"/>
    <cellStyle name="20% - Accent5 2 2 2 2 6" xfId="9178" xr:uid="{1BB10833-7981-4C9C-8928-C2BB6CE1FC09}"/>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24395" xr:uid="{3340F2A1-B58C-4FD4-B8D7-6B76B8B3CC73}"/>
    <cellStyle name="20% - Accent5 2 2 2 3 2 2 3" xfId="32841" xr:uid="{C8901489-581A-492B-B6A5-516AB0CCFC3A}"/>
    <cellStyle name="20% - Accent5 2 2 2 3 2 2 4" xfId="15954" xr:uid="{EAE61CAD-BF1A-4D51-9759-523014D19A06}"/>
    <cellStyle name="20% - Accent5 2 2 2 3 2 3" xfId="20177" xr:uid="{8451BF7A-B573-4AA4-A65D-3DDC6D46DF6E}"/>
    <cellStyle name="20% - Accent5 2 2 2 3 2 4" xfId="28624" xr:uid="{EE71EE2F-5A10-46DC-B5E5-D2CA51CEBE38}"/>
    <cellStyle name="20% - Accent5 2 2 2 3 2 5" xfId="11736" xr:uid="{0D5963B0-9AB2-4648-9460-A2AB5385D1F9}"/>
    <cellStyle name="20% - Accent5 2 2 2 3 3" xfId="5367" xr:uid="{00000000-0005-0000-0000-00008C020000}"/>
    <cellStyle name="20% - Accent5 2 2 2 3 3 2" xfId="22250" xr:uid="{FBF5DBFE-05BC-4FCA-A535-02D4D37F11CC}"/>
    <cellStyle name="20% - Accent5 2 2 2 3 3 3" xfId="30696" xr:uid="{14621060-93B7-4702-BF87-E9E73AAA7E81}"/>
    <cellStyle name="20% - Accent5 2 2 2 3 3 4" xfId="13809" xr:uid="{FFCB21D7-4814-41E2-9453-B3AD18721690}"/>
    <cellStyle name="20% - Accent5 2 2 2 3 4" xfId="18032" xr:uid="{8A1DF4A7-42A2-4DEE-A82E-C26E446E63F9}"/>
    <cellStyle name="20% - Accent5 2 2 2 3 5" xfId="26477" xr:uid="{523E95F2-1DB8-4714-B836-C02903C12592}"/>
    <cellStyle name="20% - Accent5 2 2 2 3 6" xfId="9591" xr:uid="{2702D195-785F-4A57-A771-D45956A3D8F2}"/>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24808" xr:uid="{B31FD329-9DC9-4984-B895-4E117ED40FA1}"/>
    <cellStyle name="20% - Accent5 2 2 2 4 2 2 3" xfId="33254" xr:uid="{FEFD6305-AF43-410F-9B13-A59172CA81D9}"/>
    <cellStyle name="20% - Accent5 2 2 2 4 2 2 4" xfId="16367" xr:uid="{6B3CA3F6-DF2B-43ED-A627-F99676E4131E}"/>
    <cellStyle name="20% - Accent5 2 2 2 4 2 3" xfId="20590" xr:uid="{8F407013-A370-4796-BBF6-B9FEC407C0CF}"/>
    <cellStyle name="20% - Accent5 2 2 2 4 2 4" xfId="29037" xr:uid="{173A5878-5F37-4E2C-8E1E-5E656C3E3737}"/>
    <cellStyle name="20% - Accent5 2 2 2 4 2 5" xfId="12149" xr:uid="{5250141C-8E1F-444D-A069-D300C7FECA05}"/>
    <cellStyle name="20% - Accent5 2 2 2 4 3" xfId="5780" xr:uid="{00000000-0005-0000-0000-000090020000}"/>
    <cellStyle name="20% - Accent5 2 2 2 4 3 2" xfId="22663" xr:uid="{C51DDCBF-001D-4759-A364-8A22E175BA29}"/>
    <cellStyle name="20% - Accent5 2 2 2 4 3 3" xfId="31109" xr:uid="{61939060-00B6-4951-A653-8ECD5C2C2819}"/>
    <cellStyle name="20% - Accent5 2 2 2 4 3 4" xfId="14222" xr:uid="{59AD69E3-67E5-467A-92EC-4525F8C5B7BD}"/>
    <cellStyle name="20% - Accent5 2 2 2 4 4" xfId="18445" xr:uid="{85F6B367-DE18-4EFE-BD57-0DD7E488D8D4}"/>
    <cellStyle name="20% - Accent5 2 2 2 4 5" xfId="26890" xr:uid="{1A6F3D8E-A812-4EE2-8C76-E545FE1E1B95}"/>
    <cellStyle name="20% - Accent5 2 2 2 4 6" xfId="10004" xr:uid="{5A67669B-59BF-4BEF-9383-075FB44B1637}"/>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25221" xr:uid="{2C8F5C34-E0FC-4D0E-928C-E45A506D422B}"/>
    <cellStyle name="20% - Accent5 2 2 2 5 2 2 3" xfId="33667" xr:uid="{91DF6751-2C82-4054-A0A2-72CF4AE795E9}"/>
    <cellStyle name="20% - Accent5 2 2 2 5 2 2 4" xfId="16780" xr:uid="{CF5C169F-1D77-4CBD-ADFA-4ED17743D1F8}"/>
    <cellStyle name="20% - Accent5 2 2 2 5 2 3" xfId="21003" xr:uid="{8764D46B-A1DF-48B6-B610-70FD53F43168}"/>
    <cellStyle name="20% - Accent5 2 2 2 5 2 4" xfId="29450" xr:uid="{4E476BE2-11E6-4C1A-BB0C-1B38DFFFB692}"/>
    <cellStyle name="20% - Accent5 2 2 2 5 2 5" xfId="12562" xr:uid="{D4604BDA-3E05-4C55-BF6A-9F2975596938}"/>
    <cellStyle name="20% - Accent5 2 2 2 5 3" xfId="6193" xr:uid="{00000000-0005-0000-0000-000094020000}"/>
    <cellStyle name="20% - Accent5 2 2 2 5 3 2" xfId="23076" xr:uid="{41E063C2-E3ED-41D3-995A-7480272C48BA}"/>
    <cellStyle name="20% - Accent5 2 2 2 5 3 3" xfId="31522" xr:uid="{BB3915AD-347A-43CA-AEF3-422BB7192AA5}"/>
    <cellStyle name="20% - Accent5 2 2 2 5 3 4" xfId="14635" xr:uid="{2BF36BBF-8758-4181-87A4-AC655E38257D}"/>
    <cellStyle name="20% - Accent5 2 2 2 5 4" xfId="18858" xr:uid="{3800B3FC-C46B-49C7-ABA3-6C094109CCCC}"/>
    <cellStyle name="20% - Accent5 2 2 2 5 5" xfId="27303" xr:uid="{6B663FA4-E2C2-43C4-8981-2E4FD883D32F}"/>
    <cellStyle name="20% - Accent5 2 2 2 5 6" xfId="10417" xr:uid="{D519895B-8EE7-4C50-ACAB-9916F2F408D4}"/>
    <cellStyle name="20% - Accent5 2 2 2 6" xfId="2299" xr:uid="{00000000-0005-0000-0000-000095020000}"/>
    <cellStyle name="20% - Accent5 2 2 2 6 2" xfId="6606" xr:uid="{00000000-0005-0000-0000-000096020000}"/>
    <cellStyle name="20% - Accent5 2 2 2 6 2 2" xfId="23489" xr:uid="{4F26EFFD-60D9-49CD-8CD8-22121B21EFE8}"/>
    <cellStyle name="20% - Accent5 2 2 2 6 2 3" xfId="31935" xr:uid="{6ECCE545-3813-4B55-AF37-6F14DDEF1E45}"/>
    <cellStyle name="20% - Accent5 2 2 2 6 2 4" xfId="15048" xr:uid="{187B9434-8F69-4366-862B-1DB0199A52D3}"/>
    <cellStyle name="20% - Accent5 2 2 2 6 3" xfId="19271" xr:uid="{FFCBA0F3-ACF3-4422-8F9A-0C1B0AD88B48}"/>
    <cellStyle name="20% - Accent5 2 2 2 6 4" xfId="27716" xr:uid="{B2A1A93F-8A5A-401D-8CEB-AADE4A533106}"/>
    <cellStyle name="20% - Accent5 2 2 2 6 5" xfId="10830" xr:uid="{DA99E978-60F8-4B66-9652-6BE9D89360E6}"/>
    <cellStyle name="20% - Accent5 2 2 2 7" xfId="4540" xr:uid="{00000000-0005-0000-0000-000097020000}"/>
    <cellStyle name="20% - Accent5 2 2 2 7 2" xfId="21423" xr:uid="{61E2A305-B2A6-435F-A5C1-002DD3220FA3}"/>
    <cellStyle name="20% - Accent5 2 2 2 7 3" xfId="29869" xr:uid="{BDF6C688-DEA6-4651-9044-CDCD1F524374}"/>
    <cellStyle name="20% - Accent5 2 2 2 7 4" xfId="12982" xr:uid="{7EF86A1A-7805-488E-AD4A-9A15982DF5A8}"/>
    <cellStyle name="20% - Accent5 2 2 2 8" xfId="17205" xr:uid="{B181E0E2-A454-44EF-8757-0D94B7776820}"/>
    <cellStyle name="20% - Accent5 2 2 2 9" xfId="25647" xr:uid="{004F62AD-CA9E-4B8B-AB1C-E79F6A132FA1}"/>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23981" xr:uid="{E098B156-AED3-4222-8DB4-9FA43C2C057C}"/>
    <cellStyle name="20% - Accent5 2 2 3 2 2 3" xfId="32427" xr:uid="{0D93C843-5F92-49D4-9007-9555D9680011}"/>
    <cellStyle name="20% - Accent5 2 2 3 2 2 4" xfId="15540" xr:uid="{33246992-884E-4807-BA20-1D2BAB666548}"/>
    <cellStyle name="20% - Accent5 2 2 3 2 3" xfId="19763" xr:uid="{C5367864-B0D2-4D4C-AB6A-2EF12D004715}"/>
    <cellStyle name="20% - Accent5 2 2 3 2 4" xfId="28210" xr:uid="{AC31F260-9D87-4BC3-BB9E-9F60E790BB19}"/>
    <cellStyle name="20% - Accent5 2 2 3 2 5" xfId="11322" xr:uid="{6386DE42-AB00-4CD6-85D6-BC6B41130A89}"/>
    <cellStyle name="20% - Accent5 2 2 3 3" xfId="4953" xr:uid="{00000000-0005-0000-0000-00009B020000}"/>
    <cellStyle name="20% - Accent5 2 2 3 3 2" xfId="21836" xr:uid="{31DA6990-DF67-4862-8EA6-8F6DEC141FA8}"/>
    <cellStyle name="20% - Accent5 2 2 3 3 3" xfId="30282" xr:uid="{A487ADED-5E29-4A7D-BE3B-0E616D59AEF9}"/>
    <cellStyle name="20% - Accent5 2 2 3 3 4" xfId="13395" xr:uid="{0A62CC11-2A7A-44F8-A34E-51CA6D7EBF14}"/>
    <cellStyle name="20% - Accent5 2 2 3 4" xfId="17618" xr:uid="{03E47FC0-84ED-439F-9BC5-C907C89A725C}"/>
    <cellStyle name="20% - Accent5 2 2 3 5" xfId="26063" xr:uid="{3FE473E8-5490-456B-BE87-908FDBE7BB70}"/>
    <cellStyle name="20% - Accent5 2 2 3 6" xfId="9177" xr:uid="{AED72C6B-2977-449A-BF5C-D37EBA539453}"/>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24394" xr:uid="{6AC47665-40A5-4C7D-8923-63B4A5F449B7}"/>
    <cellStyle name="20% - Accent5 2 2 4 2 2 3" xfId="32840" xr:uid="{8B4746F8-3AA1-4950-B45D-A245A7B90411}"/>
    <cellStyle name="20% - Accent5 2 2 4 2 2 4" xfId="15953" xr:uid="{F98B6052-78B5-41F0-9F32-C2C7B2F551C7}"/>
    <cellStyle name="20% - Accent5 2 2 4 2 3" xfId="20176" xr:uid="{6F944F1E-A828-4415-B18A-448011535364}"/>
    <cellStyle name="20% - Accent5 2 2 4 2 4" xfId="28623" xr:uid="{B839C2A6-D652-46CF-ADCA-76A8E6D9591C}"/>
    <cellStyle name="20% - Accent5 2 2 4 2 5" xfId="11735" xr:uid="{A9116752-351F-400A-8D49-3339022D0E9E}"/>
    <cellStyle name="20% - Accent5 2 2 4 3" xfId="5366" xr:uid="{00000000-0005-0000-0000-00009F020000}"/>
    <cellStyle name="20% - Accent5 2 2 4 3 2" xfId="22249" xr:uid="{5771B1D2-D3FE-4F9D-892C-A0F24AA7CBF2}"/>
    <cellStyle name="20% - Accent5 2 2 4 3 3" xfId="30695" xr:uid="{D4A346ED-1FDB-4172-8DA2-0870D3023361}"/>
    <cellStyle name="20% - Accent5 2 2 4 3 4" xfId="13808" xr:uid="{B5BFD1C1-1014-43C3-A9B6-B381E5620233}"/>
    <cellStyle name="20% - Accent5 2 2 4 4" xfId="18031" xr:uid="{59ADFEFC-F1CF-4995-8F8D-C6F6511125B5}"/>
    <cellStyle name="20% - Accent5 2 2 4 5" xfId="26476" xr:uid="{9044742D-265B-4FA6-AEE9-60BC9810212B}"/>
    <cellStyle name="20% - Accent5 2 2 4 6" xfId="9590" xr:uid="{5F148E2B-FD5C-4E70-BD17-BCB27C30BF5E}"/>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24807" xr:uid="{7957973F-A40B-4309-9E14-B7766442A2A6}"/>
    <cellStyle name="20% - Accent5 2 2 5 2 2 3" xfId="33253" xr:uid="{91E7B7A1-0480-4864-9E2B-7A9F193E60BD}"/>
    <cellStyle name="20% - Accent5 2 2 5 2 2 4" xfId="16366" xr:uid="{01C25C8A-7718-4B1C-B716-7A3458B895F0}"/>
    <cellStyle name="20% - Accent5 2 2 5 2 3" xfId="20589" xr:uid="{9B6B224D-A51B-4892-AFDE-BCC58E8CE673}"/>
    <cellStyle name="20% - Accent5 2 2 5 2 4" xfId="29036" xr:uid="{D0FB833D-271A-4A0B-972B-0219930A7A8C}"/>
    <cellStyle name="20% - Accent5 2 2 5 2 5" xfId="12148" xr:uid="{0D9B6D39-ACF8-4CA0-9430-864F32ECF0B5}"/>
    <cellStyle name="20% - Accent5 2 2 5 3" xfId="5779" xr:uid="{00000000-0005-0000-0000-0000A3020000}"/>
    <cellStyle name="20% - Accent5 2 2 5 3 2" xfId="22662" xr:uid="{E666F108-9AA4-45D6-8394-E6A40ED6E616}"/>
    <cellStyle name="20% - Accent5 2 2 5 3 3" xfId="31108" xr:uid="{A55F7485-AE75-4F9C-BC5B-145528DD1807}"/>
    <cellStyle name="20% - Accent5 2 2 5 3 4" xfId="14221" xr:uid="{5DC016A2-EDA3-46CA-A59B-B46D32AF136C}"/>
    <cellStyle name="20% - Accent5 2 2 5 4" xfId="18444" xr:uid="{0E565B92-B676-40D7-B902-914D61B6A1CB}"/>
    <cellStyle name="20% - Accent5 2 2 5 5" xfId="26889" xr:uid="{4F6E4337-1C58-4E22-8ED1-EF737BE09B83}"/>
    <cellStyle name="20% - Accent5 2 2 5 6" xfId="10003" xr:uid="{9AC1D294-F2DB-42E4-B0A7-4ED64B678024}"/>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25220" xr:uid="{70337431-3B35-408A-BCC9-D86FF38655CA}"/>
    <cellStyle name="20% - Accent5 2 2 6 2 2 3" xfId="33666" xr:uid="{F2B6A0F0-BBAD-423A-BB26-0D38040E82C6}"/>
    <cellStyle name="20% - Accent5 2 2 6 2 2 4" xfId="16779" xr:uid="{146038C3-3949-451D-9917-F337E4ACAD2F}"/>
    <cellStyle name="20% - Accent5 2 2 6 2 3" xfId="21002" xr:uid="{DBF8B02C-0C2E-4AAA-B129-787E6925C032}"/>
    <cellStyle name="20% - Accent5 2 2 6 2 4" xfId="29449" xr:uid="{0022E713-B678-41A7-8701-000096142473}"/>
    <cellStyle name="20% - Accent5 2 2 6 2 5" xfId="12561" xr:uid="{17C2608B-2B54-47B8-97A7-655D134D5E41}"/>
    <cellStyle name="20% - Accent5 2 2 6 3" xfId="6192" xr:uid="{00000000-0005-0000-0000-0000A7020000}"/>
    <cellStyle name="20% - Accent5 2 2 6 3 2" xfId="23075" xr:uid="{07163FC3-6352-438F-BEE3-A31F17E8D8B7}"/>
    <cellStyle name="20% - Accent5 2 2 6 3 3" xfId="31521" xr:uid="{D23090A2-DB99-4196-8239-7AF2B53D920F}"/>
    <cellStyle name="20% - Accent5 2 2 6 3 4" xfId="14634" xr:uid="{F3C629A0-28DA-4CC8-8FC6-00AA0887FA16}"/>
    <cellStyle name="20% - Accent5 2 2 6 4" xfId="18857" xr:uid="{DBBB1C9E-8C2E-4E2D-AFB1-F9597ACD8F99}"/>
    <cellStyle name="20% - Accent5 2 2 6 5" xfId="27302" xr:uid="{457FDC89-52B9-459A-95F4-AA99682B02C8}"/>
    <cellStyle name="20% - Accent5 2 2 6 6" xfId="10416" xr:uid="{BEE2C19E-2295-43B1-8D18-46EE65A1F3B9}"/>
    <cellStyle name="20% - Accent5 2 2 7" xfId="2298" xr:uid="{00000000-0005-0000-0000-0000A8020000}"/>
    <cellStyle name="20% - Accent5 2 2 7 2" xfId="6605" xr:uid="{00000000-0005-0000-0000-0000A9020000}"/>
    <cellStyle name="20% - Accent5 2 2 7 2 2" xfId="23488" xr:uid="{AC0B61E2-4B0A-4EF2-8F04-944C05ABADA8}"/>
    <cellStyle name="20% - Accent5 2 2 7 2 3" xfId="31934" xr:uid="{06B0DF19-6F65-4611-96C8-E025754F0A7A}"/>
    <cellStyle name="20% - Accent5 2 2 7 2 4" xfId="15047" xr:uid="{75CF8791-554E-4042-8383-B529D7B14BB4}"/>
    <cellStyle name="20% - Accent5 2 2 7 3" xfId="19270" xr:uid="{0E7A6D84-0948-4DE7-89B5-99A13482C7E9}"/>
    <cellStyle name="20% - Accent5 2 2 7 4" xfId="27715" xr:uid="{3F34C4F3-E4D5-4A8A-95DB-7C25A61A8DBB}"/>
    <cellStyle name="20% - Accent5 2 2 7 5" xfId="10829" xr:uid="{BD6BD7A1-8245-4D97-9CFE-31673B5CDB8A}"/>
    <cellStyle name="20% - Accent5 2 2 8" xfId="4539" xr:uid="{00000000-0005-0000-0000-0000AA020000}"/>
    <cellStyle name="20% - Accent5 2 2 8 2" xfId="21422" xr:uid="{C9130F5E-3477-4C7F-BC90-6FCE933C19BB}"/>
    <cellStyle name="20% - Accent5 2 2 8 3" xfId="29868" xr:uid="{89D32228-0C50-43F4-AFD1-EE62A3007FB1}"/>
    <cellStyle name="20% - Accent5 2 2 8 4" xfId="12981" xr:uid="{A7B93DD6-7DB4-42F7-8919-C73F129AF2A6}"/>
    <cellStyle name="20% - Accent5 2 2 9" xfId="17204" xr:uid="{650288AA-CA2A-4E4D-B45B-174687924CD3}"/>
    <cellStyle name="20% - Accent5 2 3" xfId="37" xr:uid="{00000000-0005-0000-0000-0000AB020000}"/>
    <cellStyle name="20% - Accent5 2 3 10" xfId="8765" xr:uid="{0CEA56CB-AE78-41B6-A79B-112C110B867F}"/>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23983" xr:uid="{5D9132EE-0CB0-40A4-9EDA-18D286856B5D}"/>
    <cellStyle name="20% - Accent5 2 3 2 2 2 3" xfId="32429" xr:uid="{06670363-F20A-4E01-BA96-D844994255C9}"/>
    <cellStyle name="20% - Accent5 2 3 2 2 2 4" xfId="15542" xr:uid="{8C6B7789-A555-4E19-9435-592053AC9F02}"/>
    <cellStyle name="20% - Accent5 2 3 2 2 3" xfId="19765" xr:uid="{16125414-ADAB-4009-B819-5253E0D180BF}"/>
    <cellStyle name="20% - Accent5 2 3 2 2 4" xfId="28212" xr:uid="{7E707F6B-344B-4132-9FE8-B4A0B6CA3EFE}"/>
    <cellStyle name="20% - Accent5 2 3 2 2 5" xfId="11324" xr:uid="{E2F24848-B11A-4667-BC7D-EC94C1074398}"/>
    <cellStyle name="20% - Accent5 2 3 2 3" xfId="4955" xr:uid="{00000000-0005-0000-0000-0000AF020000}"/>
    <cellStyle name="20% - Accent5 2 3 2 3 2" xfId="21838" xr:uid="{2D9E0D7A-0068-4FCF-A9A8-FEBD4790726F}"/>
    <cellStyle name="20% - Accent5 2 3 2 3 3" xfId="30284" xr:uid="{8AF2A1AA-5E87-4DF0-B6D0-1EFF7345FB56}"/>
    <cellStyle name="20% - Accent5 2 3 2 3 4" xfId="13397" xr:uid="{C32A9AFF-A180-4EA8-88BE-3A0E22DCC66C}"/>
    <cellStyle name="20% - Accent5 2 3 2 4" xfId="17620" xr:uid="{50A492D2-E0DD-4803-B3F2-BB29129C29AD}"/>
    <cellStyle name="20% - Accent5 2 3 2 5" xfId="26065" xr:uid="{FF54F8D0-1B2C-4B0A-8A70-08AA4E2684F5}"/>
    <cellStyle name="20% - Accent5 2 3 2 6" xfId="9179" xr:uid="{8175052B-3A60-44CC-BD83-90A66484D300}"/>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24396" xr:uid="{1BE3F51E-D7F8-450A-A34F-EAAEFEB15F3C}"/>
    <cellStyle name="20% - Accent5 2 3 3 2 2 3" xfId="32842" xr:uid="{4BAFCE40-156C-43C3-B970-B4981D678663}"/>
    <cellStyle name="20% - Accent5 2 3 3 2 2 4" xfId="15955" xr:uid="{F038BBE7-3D5B-44C3-935C-59771BD76300}"/>
    <cellStyle name="20% - Accent5 2 3 3 2 3" xfId="20178" xr:uid="{1A40BE00-0E6B-4EB3-9E1B-5D464BAE736F}"/>
    <cellStyle name="20% - Accent5 2 3 3 2 4" xfId="28625" xr:uid="{998E2049-D123-401A-A212-8FBA0A14CC0B}"/>
    <cellStyle name="20% - Accent5 2 3 3 2 5" xfId="11737" xr:uid="{67C2023D-03C8-4D78-B12B-88F388CC3FA2}"/>
    <cellStyle name="20% - Accent5 2 3 3 3" xfId="5368" xr:uid="{00000000-0005-0000-0000-0000B3020000}"/>
    <cellStyle name="20% - Accent5 2 3 3 3 2" xfId="22251" xr:uid="{BAF0F9BF-4558-4666-BCE5-4DC3DBF85B88}"/>
    <cellStyle name="20% - Accent5 2 3 3 3 3" xfId="30697" xr:uid="{9AC2EAB7-3C9C-4A3D-A16F-EA73ADDB9D75}"/>
    <cellStyle name="20% - Accent5 2 3 3 3 4" xfId="13810" xr:uid="{89C6BAA4-4AAD-449C-997A-8B6D4A947C7A}"/>
    <cellStyle name="20% - Accent5 2 3 3 4" xfId="18033" xr:uid="{40D9CF2C-9BBE-480F-A0C5-3B83AF6B7C0E}"/>
    <cellStyle name="20% - Accent5 2 3 3 5" xfId="26478" xr:uid="{EC2FCB91-0809-4124-992C-BE786F68AD49}"/>
    <cellStyle name="20% - Accent5 2 3 3 6" xfId="9592" xr:uid="{9CD2A1CD-75FD-43D3-B717-69E7A0BC38ED}"/>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24809" xr:uid="{1A82FCC1-506E-4336-83BD-2D59D81B6379}"/>
    <cellStyle name="20% - Accent5 2 3 4 2 2 3" xfId="33255" xr:uid="{10D91ACE-50DB-488B-920C-84E7C308F27F}"/>
    <cellStyle name="20% - Accent5 2 3 4 2 2 4" xfId="16368" xr:uid="{EDDAB325-2D52-4B2D-9453-28540416DF93}"/>
    <cellStyle name="20% - Accent5 2 3 4 2 3" xfId="20591" xr:uid="{45800906-5689-41E6-87F4-A870B2B15115}"/>
    <cellStyle name="20% - Accent5 2 3 4 2 4" xfId="29038" xr:uid="{DB9EA780-C763-4B77-B95F-6E6FDDB929FB}"/>
    <cellStyle name="20% - Accent5 2 3 4 2 5" xfId="12150" xr:uid="{065C7A1D-A052-4D00-BDA0-6031EAD616F4}"/>
    <cellStyle name="20% - Accent5 2 3 4 3" xfId="5781" xr:uid="{00000000-0005-0000-0000-0000B7020000}"/>
    <cellStyle name="20% - Accent5 2 3 4 3 2" xfId="22664" xr:uid="{60F5C8D6-9452-4817-BF70-A4FD513528DB}"/>
    <cellStyle name="20% - Accent5 2 3 4 3 3" xfId="31110" xr:uid="{078BC2F2-DA4B-403E-BC90-97D2E21C91B0}"/>
    <cellStyle name="20% - Accent5 2 3 4 3 4" xfId="14223" xr:uid="{68E7A8B0-6367-492E-9B14-E80A71BE8EBF}"/>
    <cellStyle name="20% - Accent5 2 3 4 4" xfId="18446" xr:uid="{D8F7E31D-616A-46E8-A733-A332A168928D}"/>
    <cellStyle name="20% - Accent5 2 3 4 5" xfId="26891" xr:uid="{1F841D5A-76F4-4F8A-9A5A-21F69B10A130}"/>
    <cellStyle name="20% - Accent5 2 3 4 6" xfId="10005" xr:uid="{1E679509-030E-4A1F-8E24-77AB9E729B2E}"/>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25222" xr:uid="{0D03E60B-6CCF-4B34-894D-8DABA6A57753}"/>
    <cellStyle name="20% - Accent5 2 3 5 2 2 3" xfId="33668" xr:uid="{E8262F6D-B55E-4845-B24B-ABFBEF1E457D}"/>
    <cellStyle name="20% - Accent5 2 3 5 2 2 4" xfId="16781" xr:uid="{B87DE58F-F43D-48E9-80DF-29C3E3B062FA}"/>
    <cellStyle name="20% - Accent5 2 3 5 2 3" xfId="21004" xr:uid="{ED44F28D-78C5-47A5-B592-84AB0731EBA5}"/>
    <cellStyle name="20% - Accent5 2 3 5 2 4" xfId="29451" xr:uid="{2A071B93-BD8B-4BE0-95F4-C3A108FC75F6}"/>
    <cellStyle name="20% - Accent5 2 3 5 2 5" xfId="12563" xr:uid="{CD444D3B-3DFF-4995-A530-E85CA67C2FDB}"/>
    <cellStyle name="20% - Accent5 2 3 5 3" xfId="6194" xr:uid="{00000000-0005-0000-0000-0000BB020000}"/>
    <cellStyle name="20% - Accent5 2 3 5 3 2" xfId="23077" xr:uid="{B38001BF-AAC0-4708-A2E0-4173C3FEA0D8}"/>
    <cellStyle name="20% - Accent5 2 3 5 3 3" xfId="31523" xr:uid="{5FB956AA-1BA0-46DD-9889-EE0175EB792A}"/>
    <cellStyle name="20% - Accent5 2 3 5 3 4" xfId="14636" xr:uid="{64F9D00B-574C-4F14-8F26-CE5930A0D936}"/>
    <cellStyle name="20% - Accent5 2 3 5 4" xfId="18859" xr:uid="{7C3F7C72-E011-44B5-B405-52D48E33DAC4}"/>
    <cellStyle name="20% - Accent5 2 3 5 5" xfId="27304" xr:uid="{780A2456-B51A-4AF7-A85F-6855083D1F76}"/>
    <cellStyle name="20% - Accent5 2 3 5 6" xfId="10418" xr:uid="{4CE90CAC-96B6-48E8-8CC8-97BD326CC0FE}"/>
    <cellStyle name="20% - Accent5 2 3 6" xfId="2300" xr:uid="{00000000-0005-0000-0000-0000BC020000}"/>
    <cellStyle name="20% - Accent5 2 3 6 2" xfId="6607" xr:uid="{00000000-0005-0000-0000-0000BD020000}"/>
    <cellStyle name="20% - Accent5 2 3 6 2 2" xfId="23490" xr:uid="{9C11CFD3-5DAA-4CAA-8B66-4B08E4A6E972}"/>
    <cellStyle name="20% - Accent5 2 3 6 2 3" xfId="31936" xr:uid="{90888CB7-0A6F-481D-9715-014B1FAA24CF}"/>
    <cellStyle name="20% - Accent5 2 3 6 2 4" xfId="15049" xr:uid="{41B3A9B9-345F-4F1C-9431-E31B62DA8FFE}"/>
    <cellStyle name="20% - Accent5 2 3 6 3" xfId="19272" xr:uid="{254C7BA9-22D5-4191-85CF-24A7EEE94B1D}"/>
    <cellStyle name="20% - Accent5 2 3 6 4" xfId="27717" xr:uid="{EEB64E65-4766-4F44-9A9D-A133B1FFD741}"/>
    <cellStyle name="20% - Accent5 2 3 6 5" xfId="10831" xr:uid="{BF2AB931-F70C-4847-B892-3E8507340EE4}"/>
    <cellStyle name="20% - Accent5 2 3 7" xfId="4541" xr:uid="{00000000-0005-0000-0000-0000BE020000}"/>
    <cellStyle name="20% - Accent5 2 3 7 2" xfId="21424" xr:uid="{3C1E0550-8423-4AFD-81B0-057EE5E2F59D}"/>
    <cellStyle name="20% - Accent5 2 3 7 3" xfId="29870" xr:uid="{71D3D005-4B72-47D4-AE0E-E76988581CDE}"/>
    <cellStyle name="20% - Accent5 2 3 7 4" xfId="12983" xr:uid="{F3BBEA6B-4B1B-4BBA-86C6-93BECF80C9A0}"/>
    <cellStyle name="20% - Accent5 2 3 8" xfId="17206" xr:uid="{4FDCFB71-6887-43DF-9C43-40F03C32EABC}"/>
    <cellStyle name="20% - Accent5 2 3 9" xfId="25648" xr:uid="{06E6CC4A-4DDC-4D86-B5AA-1095B3AF2F4A}"/>
    <cellStyle name="20% - Accent5 2 4" xfId="603" xr:uid="{00000000-0005-0000-0000-0000BF020000}"/>
    <cellStyle name="20% - Accent5 2 4 2" xfId="2874" xr:uid="{00000000-0005-0000-0000-0000C0020000}"/>
    <cellStyle name="20% - Accent5 2 4 2 2" xfId="7097" xr:uid="{00000000-0005-0000-0000-0000C1020000}"/>
    <cellStyle name="20% - Accent5 2 4 2 2 2" xfId="23980" xr:uid="{944E172A-6AB9-44B9-9FC5-145E42BE8442}"/>
    <cellStyle name="20% - Accent5 2 4 2 2 3" xfId="32426" xr:uid="{7D674972-2426-4A79-B028-F3A8EB53EC5D}"/>
    <cellStyle name="20% - Accent5 2 4 2 2 4" xfId="15539" xr:uid="{638F1039-FB5F-4B36-ADFA-BAAAFCD7ABD6}"/>
    <cellStyle name="20% - Accent5 2 4 2 3" xfId="19762" xr:uid="{02098EC7-63FD-49D6-99B9-105C390C04FB}"/>
    <cellStyle name="20% - Accent5 2 4 2 4" xfId="28209" xr:uid="{1981C2C2-5496-4655-8A2B-40DADA977014}"/>
    <cellStyle name="20% - Accent5 2 4 2 5" xfId="11321" xr:uid="{4FB43E3E-CDD2-40C5-B18E-729BECEB2AF9}"/>
    <cellStyle name="20% - Accent5 2 4 3" xfId="4952" xr:uid="{00000000-0005-0000-0000-0000C2020000}"/>
    <cellStyle name="20% - Accent5 2 4 3 2" xfId="21835" xr:uid="{39FB210E-E407-46F7-BC18-AA47053FA162}"/>
    <cellStyle name="20% - Accent5 2 4 3 3" xfId="30281" xr:uid="{2BBAF9F4-84BA-4152-9E72-61864B226C5C}"/>
    <cellStyle name="20% - Accent5 2 4 3 4" xfId="13394" xr:uid="{257F31B2-2638-4484-BB60-4690D4DD2468}"/>
    <cellStyle name="20% - Accent5 2 4 4" xfId="17617" xr:uid="{00555B5E-136E-4A93-B9A8-3D066FA6A8ED}"/>
    <cellStyle name="20% - Accent5 2 4 5" xfId="26062" xr:uid="{9726680A-471B-4FAA-899A-65C0BE9B5E75}"/>
    <cellStyle name="20% - Accent5 2 4 6" xfId="9176" xr:uid="{636C010E-AD08-4F60-A9FA-BED8D9704ABA}"/>
    <cellStyle name="20% - Accent5 2 5" xfId="1056" xr:uid="{00000000-0005-0000-0000-0000C3020000}"/>
    <cellStyle name="20% - Accent5 2 5 2" xfId="3287" xr:uid="{00000000-0005-0000-0000-0000C4020000}"/>
    <cellStyle name="20% - Accent5 2 5 2 2" xfId="7510" xr:uid="{00000000-0005-0000-0000-0000C5020000}"/>
    <cellStyle name="20% - Accent5 2 5 2 2 2" xfId="24393" xr:uid="{FC0EB3EA-1459-425C-BE3A-5E2ED54D9AB7}"/>
    <cellStyle name="20% - Accent5 2 5 2 2 3" xfId="32839" xr:uid="{6AD63A46-C6E5-4B24-BAC0-15308E16FE3E}"/>
    <cellStyle name="20% - Accent5 2 5 2 2 4" xfId="15952" xr:uid="{EFFDC0DF-137B-4A3B-9BB6-92D35A959D49}"/>
    <cellStyle name="20% - Accent5 2 5 2 3" xfId="20175" xr:uid="{88ABD3BB-0FBA-4C6F-8826-72AF9B26E644}"/>
    <cellStyle name="20% - Accent5 2 5 2 4" xfId="28622" xr:uid="{DAB52B87-FA4D-4D23-B54C-0205CF7C32E7}"/>
    <cellStyle name="20% - Accent5 2 5 2 5" xfId="11734" xr:uid="{052DA3DC-B227-443C-A459-0B4F2616AA0C}"/>
    <cellStyle name="20% - Accent5 2 5 3" xfId="5365" xr:uid="{00000000-0005-0000-0000-0000C6020000}"/>
    <cellStyle name="20% - Accent5 2 5 3 2" xfId="22248" xr:uid="{EC2F8300-3B5F-4B81-A47B-BFC5D4E24EAA}"/>
    <cellStyle name="20% - Accent5 2 5 3 3" xfId="30694" xr:uid="{032C5875-8E27-4B2C-A27C-694CD9B10016}"/>
    <cellStyle name="20% - Accent5 2 5 3 4" xfId="13807" xr:uid="{F7C2086A-34CA-481C-B22D-B4A2D558B919}"/>
    <cellStyle name="20% - Accent5 2 5 4" xfId="18030" xr:uid="{95945693-670F-4BE3-9114-344070EC6CBC}"/>
    <cellStyle name="20% - Accent5 2 5 5" xfId="26475" xr:uid="{CB30EA5E-5780-44F8-B145-689C9E6E602B}"/>
    <cellStyle name="20% - Accent5 2 5 6" xfId="9589" xr:uid="{4E0E708E-0342-466F-8A7F-E3845F952FC5}"/>
    <cellStyle name="20% - Accent5 2 6" xfId="1470" xr:uid="{00000000-0005-0000-0000-0000C7020000}"/>
    <cellStyle name="20% - Accent5 2 6 2" xfId="3700" xr:uid="{00000000-0005-0000-0000-0000C8020000}"/>
    <cellStyle name="20% - Accent5 2 6 2 2" xfId="7923" xr:uid="{00000000-0005-0000-0000-0000C9020000}"/>
    <cellStyle name="20% - Accent5 2 6 2 2 2" xfId="24806" xr:uid="{2CBB3007-336F-43D6-AED1-9DABB41A966F}"/>
    <cellStyle name="20% - Accent5 2 6 2 2 3" xfId="33252" xr:uid="{474B1309-7B0B-489C-BC92-3D878182B025}"/>
    <cellStyle name="20% - Accent5 2 6 2 2 4" xfId="16365" xr:uid="{A84EAFFB-6D78-4ED3-8C85-146750DB9FA7}"/>
    <cellStyle name="20% - Accent5 2 6 2 3" xfId="20588" xr:uid="{8464AB74-8781-43C6-B70A-6EA41D075604}"/>
    <cellStyle name="20% - Accent5 2 6 2 4" xfId="29035" xr:uid="{170BF005-85E9-4649-9D68-A681118EA188}"/>
    <cellStyle name="20% - Accent5 2 6 2 5" xfId="12147" xr:uid="{27BBD7F4-6D49-4FE6-A5E3-80677FE51E68}"/>
    <cellStyle name="20% - Accent5 2 6 3" xfId="5778" xr:uid="{00000000-0005-0000-0000-0000CA020000}"/>
    <cellStyle name="20% - Accent5 2 6 3 2" xfId="22661" xr:uid="{835B6CBD-FE69-41C0-8513-57F7F9873C93}"/>
    <cellStyle name="20% - Accent5 2 6 3 3" xfId="31107" xr:uid="{1991FEF6-DC0B-42C1-AEDB-27EA76AF3593}"/>
    <cellStyle name="20% - Accent5 2 6 3 4" xfId="14220" xr:uid="{0DC859AD-08DB-42AF-8049-0B2994DA789B}"/>
    <cellStyle name="20% - Accent5 2 6 4" xfId="18443" xr:uid="{50FCB15C-8876-4B40-B17E-39ED208CFDEC}"/>
    <cellStyle name="20% - Accent5 2 6 5" xfId="26888" xr:uid="{121BBE13-26D2-4B60-86F2-CB78AC10FDD7}"/>
    <cellStyle name="20% - Accent5 2 6 6" xfId="10002" xr:uid="{427CDBE4-36C3-445C-A9D6-B1B1EE529E74}"/>
    <cellStyle name="20% - Accent5 2 7" xfId="1884" xr:uid="{00000000-0005-0000-0000-0000CB020000}"/>
    <cellStyle name="20% - Accent5 2 7 2" xfId="4113" xr:uid="{00000000-0005-0000-0000-0000CC020000}"/>
    <cellStyle name="20% - Accent5 2 7 2 2" xfId="8336" xr:uid="{00000000-0005-0000-0000-0000CD020000}"/>
    <cellStyle name="20% - Accent5 2 7 2 2 2" xfId="25219" xr:uid="{1079D826-A9A1-481B-BC51-6195ACFE79DB}"/>
    <cellStyle name="20% - Accent5 2 7 2 2 3" xfId="33665" xr:uid="{878D462C-4C2F-4836-A93D-9C9F320CFE48}"/>
    <cellStyle name="20% - Accent5 2 7 2 2 4" xfId="16778" xr:uid="{F6512FD7-F4AD-4EC5-8B02-15E0E507FD2C}"/>
    <cellStyle name="20% - Accent5 2 7 2 3" xfId="21001" xr:uid="{134751E2-BFCE-477D-9E0F-C9DADC7A95C6}"/>
    <cellStyle name="20% - Accent5 2 7 2 4" xfId="29448" xr:uid="{BE41412A-2E3F-4DFD-9194-A9B3CB91B691}"/>
    <cellStyle name="20% - Accent5 2 7 2 5" xfId="12560" xr:uid="{623EB655-481E-4112-A911-EDB47F1D99CE}"/>
    <cellStyle name="20% - Accent5 2 7 3" xfId="6191" xr:uid="{00000000-0005-0000-0000-0000CE020000}"/>
    <cellStyle name="20% - Accent5 2 7 3 2" xfId="23074" xr:uid="{D8AA121A-47A8-46EE-841F-8FB8D770988D}"/>
    <cellStyle name="20% - Accent5 2 7 3 3" xfId="31520" xr:uid="{F4806394-8CFE-48BA-B951-A7E7665143D1}"/>
    <cellStyle name="20% - Accent5 2 7 3 4" xfId="14633" xr:uid="{67403F42-F980-4E52-822D-70366CA5B922}"/>
    <cellStyle name="20% - Accent5 2 7 4" xfId="18856" xr:uid="{0D638D6A-347D-4132-B211-AEA13699414D}"/>
    <cellStyle name="20% - Accent5 2 7 5" xfId="27301" xr:uid="{645DCE73-618E-4669-8D4F-2ABB35DA8999}"/>
    <cellStyle name="20% - Accent5 2 7 6" xfId="10415" xr:uid="{071F5B28-FCF1-4042-AEC2-6FA10E651F72}"/>
    <cellStyle name="20% - Accent5 2 8" xfId="2297" xr:uid="{00000000-0005-0000-0000-0000CF020000}"/>
    <cellStyle name="20% - Accent5 2 8 2" xfId="6604" xr:uid="{00000000-0005-0000-0000-0000D0020000}"/>
    <cellStyle name="20% - Accent5 2 8 2 2" xfId="23487" xr:uid="{3A175626-36B3-4EAA-A916-37448D5527A7}"/>
    <cellStyle name="20% - Accent5 2 8 2 3" xfId="31933" xr:uid="{E8DB8957-918B-479D-AA05-3B51E46089A2}"/>
    <cellStyle name="20% - Accent5 2 8 2 4" xfId="15046" xr:uid="{72CB4B73-EDA9-4F4B-B136-371FBE628197}"/>
    <cellStyle name="20% - Accent5 2 8 3" xfId="19269" xr:uid="{4685C0D0-950F-4EDF-8981-64DA3799BE87}"/>
    <cellStyle name="20% - Accent5 2 8 4" xfId="27714" xr:uid="{BE1DCAC4-3CEE-4073-97F1-543D2CAC967C}"/>
    <cellStyle name="20% - Accent5 2 8 5" xfId="10828" xr:uid="{7692671D-4C27-4270-9986-2E753FAA0BE1}"/>
    <cellStyle name="20% - Accent5 2 9" xfId="4538" xr:uid="{00000000-0005-0000-0000-0000D1020000}"/>
    <cellStyle name="20% - Accent5 2 9 2" xfId="21421" xr:uid="{41AA272D-0CC2-4ECF-BD20-FDE0A27E4596}"/>
    <cellStyle name="20% - Accent5 2 9 3" xfId="29867" xr:uid="{2AE2DE48-76C3-48F2-9316-024E32209479}"/>
    <cellStyle name="20% - Accent5 2 9 4" xfId="12980" xr:uid="{E050548C-8BE9-4725-A06B-A1AA3F80FCB6}"/>
    <cellStyle name="20% - Accent5 3" xfId="38" xr:uid="{00000000-0005-0000-0000-0000D2020000}"/>
    <cellStyle name="20% - Accent5 3 10" xfId="25649" xr:uid="{1ECA202E-CC45-4235-8A96-5FADF644AB81}"/>
    <cellStyle name="20% - Accent5 3 11" xfId="8766" xr:uid="{14060826-526E-497A-A19B-7E5B80B12F95}"/>
    <cellStyle name="20% - Accent5 3 2" xfId="39" xr:uid="{00000000-0005-0000-0000-0000D3020000}"/>
    <cellStyle name="20% - Accent5 3 2 10" xfId="8767" xr:uid="{39E06B91-E1EB-4D0E-B022-D622D16EA30E}"/>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23985" xr:uid="{5F14C034-D452-4F69-8705-A23712E1369C}"/>
    <cellStyle name="20% - Accent5 3 2 2 2 2 3" xfId="32431" xr:uid="{605E4918-B183-4A04-BD60-B605983DE06A}"/>
    <cellStyle name="20% - Accent5 3 2 2 2 2 4" xfId="15544" xr:uid="{D52CAA33-72AE-491B-92F5-D96FEBC24BEB}"/>
    <cellStyle name="20% - Accent5 3 2 2 2 3" xfId="19767" xr:uid="{C2A877D2-E6CA-4A90-BA1C-92683ABBEFB7}"/>
    <cellStyle name="20% - Accent5 3 2 2 2 4" xfId="28214" xr:uid="{AF594805-100D-4A87-9825-E6B20035EA9F}"/>
    <cellStyle name="20% - Accent5 3 2 2 2 5" xfId="11326" xr:uid="{38C15214-0F29-4E20-B3B5-CEEA0A29D1BD}"/>
    <cellStyle name="20% - Accent5 3 2 2 3" xfId="4957" xr:uid="{00000000-0005-0000-0000-0000D7020000}"/>
    <cellStyle name="20% - Accent5 3 2 2 3 2" xfId="21840" xr:uid="{3C9A0B8E-2032-4CE3-BB17-32AC37A11382}"/>
    <cellStyle name="20% - Accent5 3 2 2 3 3" xfId="30286" xr:uid="{079E64EB-044E-4326-A7E2-8E32A79705C3}"/>
    <cellStyle name="20% - Accent5 3 2 2 3 4" xfId="13399" xr:uid="{A04024C5-C806-4176-89A8-D0C4D23760D3}"/>
    <cellStyle name="20% - Accent5 3 2 2 4" xfId="17622" xr:uid="{5D7213C8-843B-443A-9CE1-C5AA8CFDBCF4}"/>
    <cellStyle name="20% - Accent5 3 2 2 5" xfId="26067" xr:uid="{31685A29-CF07-47D1-AAA5-88040B292CFA}"/>
    <cellStyle name="20% - Accent5 3 2 2 6" xfId="9181" xr:uid="{337AEDEB-C2CC-4DC3-9AC1-29005390617A}"/>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24398" xr:uid="{830D7223-9C14-423B-86D2-34D47B8B1CA3}"/>
    <cellStyle name="20% - Accent5 3 2 3 2 2 3" xfId="32844" xr:uid="{57830865-41F6-4980-BA98-DA811DD44056}"/>
    <cellStyle name="20% - Accent5 3 2 3 2 2 4" xfId="15957" xr:uid="{22555936-B819-46EF-BA4F-6655266F9A0B}"/>
    <cellStyle name="20% - Accent5 3 2 3 2 3" xfId="20180" xr:uid="{E46E7728-A1AF-43D6-9BF3-B948608935CC}"/>
    <cellStyle name="20% - Accent5 3 2 3 2 4" xfId="28627" xr:uid="{72255636-69FF-4EE3-AF62-5CDFC8ED3843}"/>
    <cellStyle name="20% - Accent5 3 2 3 2 5" xfId="11739" xr:uid="{3F373CDF-D6E9-4D55-9846-780FB265A54F}"/>
    <cellStyle name="20% - Accent5 3 2 3 3" xfId="5370" xr:uid="{00000000-0005-0000-0000-0000DB020000}"/>
    <cellStyle name="20% - Accent5 3 2 3 3 2" xfId="22253" xr:uid="{8C2E71D4-E8E1-4AAF-A910-097BA390167E}"/>
    <cellStyle name="20% - Accent5 3 2 3 3 3" xfId="30699" xr:uid="{9F39AD4C-5F38-4B3B-A91E-D3DF3302CD65}"/>
    <cellStyle name="20% - Accent5 3 2 3 3 4" xfId="13812" xr:uid="{66E49448-D29D-43A0-86D7-FC95B91BFA51}"/>
    <cellStyle name="20% - Accent5 3 2 3 4" xfId="18035" xr:uid="{E265A6B8-CF3E-4357-8EF0-06A59FAE0176}"/>
    <cellStyle name="20% - Accent5 3 2 3 5" xfId="26480" xr:uid="{6DC848AC-2969-400F-B131-4B98707DBE5C}"/>
    <cellStyle name="20% - Accent5 3 2 3 6" xfId="9594" xr:uid="{35BC4495-9AC5-4015-8BBF-1CF359AD7519}"/>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24811" xr:uid="{3733A03E-74B7-4DFC-8E3F-3E6C60B19081}"/>
    <cellStyle name="20% - Accent5 3 2 4 2 2 3" xfId="33257" xr:uid="{E17C6FE3-A45F-4158-9104-477F7D0FEF3F}"/>
    <cellStyle name="20% - Accent5 3 2 4 2 2 4" xfId="16370" xr:uid="{AB90C2B9-E183-431B-B832-87B9FE4228D0}"/>
    <cellStyle name="20% - Accent5 3 2 4 2 3" xfId="20593" xr:uid="{D062E7DD-FA90-4AFE-B2AF-333658331057}"/>
    <cellStyle name="20% - Accent5 3 2 4 2 4" xfId="29040" xr:uid="{D4AD9823-8C25-4BF6-A6DC-DD5DD3E87FF9}"/>
    <cellStyle name="20% - Accent5 3 2 4 2 5" xfId="12152" xr:uid="{89CD3521-0D2F-47F3-B29A-DD98C20F2401}"/>
    <cellStyle name="20% - Accent5 3 2 4 3" xfId="5783" xr:uid="{00000000-0005-0000-0000-0000DF020000}"/>
    <cellStyle name="20% - Accent5 3 2 4 3 2" xfId="22666" xr:uid="{3C307E3B-9559-4C3B-97FC-58F311CE9FAF}"/>
    <cellStyle name="20% - Accent5 3 2 4 3 3" xfId="31112" xr:uid="{AC96D70B-E178-4813-8387-697BCD1B9B4A}"/>
    <cellStyle name="20% - Accent5 3 2 4 3 4" xfId="14225" xr:uid="{C1A1A17B-5E62-48C6-9FAD-AA6E9C7A73BB}"/>
    <cellStyle name="20% - Accent5 3 2 4 4" xfId="18448" xr:uid="{91404E70-BC9D-40B9-A5EE-FAF35ADF97FA}"/>
    <cellStyle name="20% - Accent5 3 2 4 5" xfId="26893" xr:uid="{9BE4ABFF-B847-48A9-A909-3176FF7EF781}"/>
    <cellStyle name="20% - Accent5 3 2 4 6" xfId="10007" xr:uid="{08897D2B-92D7-4180-8802-C6A13C4D0725}"/>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25224" xr:uid="{838BA1C0-4A8A-4AE1-970A-8383B3432203}"/>
    <cellStyle name="20% - Accent5 3 2 5 2 2 3" xfId="33670" xr:uid="{E92D607F-9351-4132-A2F4-DAC1453C941D}"/>
    <cellStyle name="20% - Accent5 3 2 5 2 2 4" xfId="16783" xr:uid="{5D03BDA5-5EA2-40FE-BE66-5E54BF1D5D0F}"/>
    <cellStyle name="20% - Accent5 3 2 5 2 3" xfId="21006" xr:uid="{C892973C-85AD-4052-8EF8-4771EBB409B1}"/>
    <cellStyle name="20% - Accent5 3 2 5 2 4" xfId="29453" xr:uid="{75C33F69-52FE-49E5-BE28-47F9359CA808}"/>
    <cellStyle name="20% - Accent5 3 2 5 2 5" xfId="12565" xr:uid="{3AFA0CD1-82DC-4AC1-913D-E2A2DF78A1B7}"/>
    <cellStyle name="20% - Accent5 3 2 5 3" xfId="6196" xr:uid="{00000000-0005-0000-0000-0000E3020000}"/>
    <cellStyle name="20% - Accent5 3 2 5 3 2" xfId="23079" xr:uid="{F236EDE2-D7BA-48C3-A2A6-132A0F5E3182}"/>
    <cellStyle name="20% - Accent5 3 2 5 3 3" xfId="31525" xr:uid="{2E7CF5A7-7491-46DA-825F-850A3F399F43}"/>
    <cellStyle name="20% - Accent5 3 2 5 3 4" xfId="14638" xr:uid="{0E61D013-4CE6-44C6-AC94-E81C8DC2C4A5}"/>
    <cellStyle name="20% - Accent5 3 2 5 4" xfId="18861" xr:uid="{1D396FCB-485C-48AD-8B8B-82C3030D059F}"/>
    <cellStyle name="20% - Accent5 3 2 5 5" xfId="27306" xr:uid="{8EB2CFA8-793A-40DB-9850-03E719D0D60C}"/>
    <cellStyle name="20% - Accent5 3 2 5 6" xfId="10420" xr:uid="{0C267377-2A87-43E9-96EC-6187B69B51B5}"/>
    <cellStyle name="20% - Accent5 3 2 6" xfId="2302" xr:uid="{00000000-0005-0000-0000-0000E4020000}"/>
    <cellStyle name="20% - Accent5 3 2 6 2" xfId="6609" xr:uid="{00000000-0005-0000-0000-0000E5020000}"/>
    <cellStyle name="20% - Accent5 3 2 6 2 2" xfId="23492" xr:uid="{C43E4AD7-6A0D-4BDC-9E13-68999A955EF2}"/>
    <cellStyle name="20% - Accent5 3 2 6 2 3" xfId="31938" xr:uid="{0874E41D-9288-4A44-BEFE-E5CAAE72A02F}"/>
    <cellStyle name="20% - Accent5 3 2 6 2 4" xfId="15051" xr:uid="{BB7FF2C3-C67F-4A38-8268-EB94580EC638}"/>
    <cellStyle name="20% - Accent5 3 2 6 3" xfId="19274" xr:uid="{2FD7DEE9-45F2-4C7E-9923-429CBD3DCB12}"/>
    <cellStyle name="20% - Accent5 3 2 6 4" xfId="27719" xr:uid="{812FAFD2-1F88-4473-9A4F-0D0163C2B468}"/>
    <cellStyle name="20% - Accent5 3 2 6 5" xfId="10833" xr:uid="{92926029-98E1-4BC7-B67D-EDD2B60CD183}"/>
    <cellStyle name="20% - Accent5 3 2 7" xfId="4543" xr:uid="{00000000-0005-0000-0000-0000E6020000}"/>
    <cellStyle name="20% - Accent5 3 2 7 2" xfId="21426" xr:uid="{C40D15D4-3D2D-4DDC-B663-7E7BCDAC0245}"/>
    <cellStyle name="20% - Accent5 3 2 7 3" xfId="29872" xr:uid="{F61AE9AB-B755-47E5-BFC6-B3AA92C8071A}"/>
    <cellStyle name="20% - Accent5 3 2 7 4" xfId="12985" xr:uid="{44501E3E-3F48-4A37-B45C-F5E56B8A7A22}"/>
    <cellStyle name="20% - Accent5 3 2 8" xfId="17208" xr:uid="{78FAECBF-7FD5-4D6C-A5DD-203FAC2E9FFE}"/>
    <cellStyle name="20% - Accent5 3 2 9" xfId="25650" xr:uid="{F6209C06-FD27-43EC-814D-5F161BCED2CA}"/>
    <cellStyle name="20% - Accent5 3 3" xfId="607" xr:uid="{00000000-0005-0000-0000-0000E7020000}"/>
    <cellStyle name="20% - Accent5 3 3 2" xfId="2878" xr:uid="{00000000-0005-0000-0000-0000E8020000}"/>
    <cellStyle name="20% - Accent5 3 3 2 2" xfId="7101" xr:uid="{00000000-0005-0000-0000-0000E9020000}"/>
    <cellStyle name="20% - Accent5 3 3 2 2 2" xfId="23984" xr:uid="{C9303AB7-F16E-48CE-8FCF-E93BB560525C}"/>
    <cellStyle name="20% - Accent5 3 3 2 2 3" xfId="32430" xr:uid="{0FC80ACE-CA52-4F74-B21E-9F7987E8E0F8}"/>
    <cellStyle name="20% - Accent5 3 3 2 2 4" xfId="15543" xr:uid="{B013A184-2646-484F-8691-4A62B365F32A}"/>
    <cellStyle name="20% - Accent5 3 3 2 3" xfId="19766" xr:uid="{05D99836-3A44-4259-A7F0-3995921322F6}"/>
    <cellStyle name="20% - Accent5 3 3 2 4" xfId="28213" xr:uid="{507EE6F8-C30E-4251-8B58-AC9F82347B92}"/>
    <cellStyle name="20% - Accent5 3 3 2 5" xfId="11325" xr:uid="{A6DC8BAE-D7D4-4AD6-BE65-F0A5374653E4}"/>
    <cellStyle name="20% - Accent5 3 3 3" xfId="4956" xr:uid="{00000000-0005-0000-0000-0000EA020000}"/>
    <cellStyle name="20% - Accent5 3 3 3 2" xfId="21839" xr:uid="{351101B8-DB47-4507-BF01-6B3EDA8FA8A1}"/>
    <cellStyle name="20% - Accent5 3 3 3 3" xfId="30285" xr:uid="{407FB05F-9EFE-42BB-9394-20215ECC5730}"/>
    <cellStyle name="20% - Accent5 3 3 3 4" xfId="13398" xr:uid="{3C94AA37-8DD2-4951-92C8-8AD14D9918EF}"/>
    <cellStyle name="20% - Accent5 3 3 4" xfId="17621" xr:uid="{916CEF98-EF6D-4810-BBF9-1E1CE0655CBF}"/>
    <cellStyle name="20% - Accent5 3 3 5" xfId="26066" xr:uid="{9DA39AA1-EAF4-482A-B81E-59399480C40B}"/>
    <cellStyle name="20% - Accent5 3 3 6" xfId="9180" xr:uid="{339C0637-647C-414B-B421-C4C23F9EFE63}"/>
    <cellStyle name="20% - Accent5 3 4" xfId="1060" xr:uid="{00000000-0005-0000-0000-0000EB020000}"/>
    <cellStyle name="20% - Accent5 3 4 2" xfId="3291" xr:uid="{00000000-0005-0000-0000-0000EC020000}"/>
    <cellStyle name="20% - Accent5 3 4 2 2" xfId="7514" xr:uid="{00000000-0005-0000-0000-0000ED020000}"/>
    <cellStyle name="20% - Accent5 3 4 2 2 2" xfId="24397" xr:uid="{D9677DD4-7C8E-46C6-8EA5-713F842834A4}"/>
    <cellStyle name="20% - Accent5 3 4 2 2 3" xfId="32843" xr:uid="{70E5BD02-AA3D-446C-8790-7901E50775D3}"/>
    <cellStyle name="20% - Accent5 3 4 2 2 4" xfId="15956" xr:uid="{43C5564A-394E-4D02-927E-BB8B238F3B53}"/>
    <cellStyle name="20% - Accent5 3 4 2 3" xfId="20179" xr:uid="{F7605E5F-D2F4-4421-BE0F-5D74C9C10BE1}"/>
    <cellStyle name="20% - Accent5 3 4 2 4" xfId="28626" xr:uid="{14A02FB0-8B97-4835-823F-D649BC96ABCE}"/>
    <cellStyle name="20% - Accent5 3 4 2 5" xfId="11738" xr:uid="{55553B7C-8DD4-41E8-83D4-042780A517E2}"/>
    <cellStyle name="20% - Accent5 3 4 3" xfId="5369" xr:uid="{00000000-0005-0000-0000-0000EE020000}"/>
    <cellStyle name="20% - Accent5 3 4 3 2" xfId="22252" xr:uid="{45762E21-7676-4DB5-8935-2E068BCA6B53}"/>
    <cellStyle name="20% - Accent5 3 4 3 3" xfId="30698" xr:uid="{242791C5-212C-4ABE-B568-F86EED5EE010}"/>
    <cellStyle name="20% - Accent5 3 4 3 4" xfId="13811" xr:uid="{86699C34-4366-4AF6-81A3-5D0CCFE9F482}"/>
    <cellStyle name="20% - Accent5 3 4 4" xfId="18034" xr:uid="{5FC821F1-A27D-410D-B498-1A1243BC7E71}"/>
    <cellStyle name="20% - Accent5 3 4 5" xfId="26479" xr:uid="{AD39FDB1-88DB-4236-92C6-9CCC7DAC30C1}"/>
    <cellStyle name="20% - Accent5 3 4 6" xfId="9593" xr:uid="{1B6B4D51-5A3E-4E7F-BFCC-38FA1723DD50}"/>
    <cellStyle name="20% - Accent5 3 5" xfId="1474" xr:uid="{00000000-0005-0000-0000-0000EF020000}"/>
    <cellStyle name="20% - Accent5 3 5 2" xfId="3704" xr:uid="{00000000-0005-0000-0000-0000F0020000}"/>
    <cellStyle name="20% - Accent5 3 5 2 2" xfId="7927" xr:uid="{00000000-0005-0000-0000-0000F1020000}"/>
    <cellStyle name="20% - Accent5 3 5 2 2 2" xfId="24810" xr:uid="{382722BB-6F0D-4F81-9576-BA5CEAEADA86}"/>
    <cellStyle name="20% - Accent5 3 5 2 2 3" xfId="33256" xr:uid="{03B28AB5-4795-42B3-ABC2-E8B8AA800691}"/>
    <cellStyle name="20% - Accent5 3 5 2 2 4" xfId="16369" xr:uid="{CB4BE749-FA3B-4C04-A667-9623BF821C3A}"/>
    <cellStyle name="20% - Accent5 3 5 2 3" xfId="20592" xr:uid="{F514B5C5-DC00-4E3A-BBDB-8995A5E79AE7}"/>
    <cellStyle name="20% - Accent5 3 5 2 4" xfId="29039" xr:uid="{8E61C0E8-8B39-4A3A-A414-7DD9A9F32FAE}"/>
    <cellStyle name="20% - Accent5 3 5 2 5" xfId="12151" xr:uid="{32919B78-24D0-43CF-8DD5-F24648654154}"/>
    <cellStyle name="20% - Accent5 3 5 3" xfId="5782" xr:uid="{00000000-0005-0000-0000-0000F2020000}"/>
    <cellStyle name="20% - Accent5 3 5 3 2" xfId="22665" xr:uid="{98A2B7FD-1E92-446F-A70A-C391E83FC78C}"/>
    <cellStyle name="20% - Accent5 3 5 3 3" xfId="31111" xr:uid="{A1D4D5FA-AB45-40D9-BA5A-9E016886C3D2}"/>
    <cellStyle name="20% - Accent5 3 5 3 4" xfId="14224" xr:uid="{D30288D3-F0C8-408B-8E4F-EFC8D1E5659F}"/>
    <cellStyle name="20% - Accent5 3 5 4" xfId="18447" xr:uid="{7CDEB9D0-0907-4A0A-A072-B569CB2BEF99}"/>
    <cellStyle name="20% - Accent5 3 5 5" xfId="26892" xr:uid="{A3173900-BEAD-487D-B842-7D555C6BB512}"/>
    <cellStyle name="20% - Accent5 3 5 6" xfId="10006" xr:uid="{BB450D3A-AE62-466A-BDCB-00191B57B61E}"/>
    <cellStyle name="20% - Accent5 3 6" xfId="1888" xr:uid="{00000000-0005-0000-0000-0000F3020000}"/>
    <cellStyle name="20% - Accent5 3 6 2" xfId="4117" xr:uid="{00000000-0005-0000-0000-0000F4020000}"/>
    <cellStyle name="20% - Accent5 3 6 2 2" xfId="8340" xr:uid="{00000000-0005-0000-0000-0000F5020000}"/>
    <cellStyle name="20% - Accent5 3 6 2 2 2" xfId="25223" xr:uid="{6B6EF498-54DB-4623-AD01-57E08C9538AC}"/>
    <cellStyle name="20% - Accent5 3 6 2 2 3" xfId="33669" xr:uid="{351CCC73-24EE-4EE5-B25B-43F3FE5E506F}"/>
    <cellStyle name="20% - Accent5 3 6 2 2 4" xfId="16782" xr:uid="{2438D125-3C81-4A66-B59B-45D339107E59}"/>
    <cellStyle name="20% - Accent5 3 6 2 3" xfId="21005" xr:uid="{F0C14DAC-8559-4F5F-AEDA-014DBE5B0ABB}"/>
    <cellStyle name="20% - Accent5 3 6 2 4" xfId="29452" xr:uid="{1B3CE1EB-4D95-43C1-8582-7482DA7F99CA}"/>
    <cellStyle name="20% - Accent5 3 6 2 5" xfId="12564" xr:uid="{990B3957-3D70-466E-8C73-2948968F5329}"/>
    <cellStyle name="20% - Accent5 3 6 3" xfId="6195" xr:uid="{00000000-0005-0000-0000-0000F6020000}"/>
    <cellStyle name="20% - Accent5 3 6 3 2" xfId="23078" xr:uid="{EEE19BFB-9D60-49F3-9D62-1C1021BCB537}"/>
    <cellStyle name="20% - Accent5 3 6 3 3" xfId="31524" xr:uid="{EA08EBC3-3D45-4F8E-97BD-5A1DF78DFBDD}"/>
    <cellStyle name="20% - Accent5 3 6 3 4" xfId="14637" xr:uid="{DA9FD722-5295-4CF2-B8B8-442E8DB20118}"/>
    <cellStyle name="20% - Accent5 3 6 4" xfId="18860" xr:uid="{92F78D8A-CF6D-41A4-A274-E56EC11F4875}"/>
    <cellStyle name="20% - Accent5 3 6 5" xfId="27305" xr:uid="{D2426F30-B919-4BF9-9B17-A35276D559B9}"/>
    <cellStyle name="20% - Accent5 3 6 6" xfId="10419" xr:uid="{E54AFB80-9339-4A1B-9717-FE40697188D8}"/>
    <cellStyle name="20% - Accent5 3 7" xfId="2301" xr:uid="{00000000-0005-0000-0000-0000F7020000}"/>
    <cellStyle name="20% - Accent5 3 7 2" xfId="6608" xr:uid="{00000000-0005-0000-0000-0000F8020000}"/>
    <cellStyle name="20% - Accent5 3 7 2 2" xfId="23491" xr:uid="{C48B91D9-7F96-4536-8F55-9F44BA19CBA6}"/>
    <cellStyle name="20% - Accent5 3 7 2 3" xfId="31937" xr:uid="{DC24F617-5C92-45E3-9DCF-9014B9080DE5}"/>
    <cellStyle name="20% - Accent5 3 7 2 4" xfId="15050" xr:uid="{82A89E0A-50F8-4325-AD31-7B3C306F7AC8}"/>
    <cellStyle name="20% - Accent5 3 7 3" xfId="19273" xr:uid="{69671575-4F29-427F-92AF-BA6B5D740EF4}"/>
    <cellStyle name="20% - Accent5 3 7 4" xfId="27718" xr:uid="{28718BA2-955B-4CCF-BC5D-423F077CE0E1}"/>
    <cellStyle name="20% - Accent5 3 7 5" xfId="10832" xr:uid="{03B37DF1-2928-4662-8526-50B6EB617585}"/>
    <cellStyle name="20% - Accent5 3 8" xfId="4542" xr:uid="{00000000-0005-0000-0000-0000F9020000}"/>
    <cellStyle name="20% - Accent5 3 8 2" xfId="21425" xr:uid="{1AAABF1C-92C3-461B-9C25-8EFE411FA009}"/>
    <cellStyle name="20% - Accent5 3 8 3" xfId="29871" xr:uid="{AA0B16F9-C35B-4DBC-A345-9FFE259C4375}"/>
    <cellStyle name="20% - Accent5 3 8 4" xfId="12984" xr:uid="{3ED6E474-1047-48A1-8C9E-11E1F19CF466}"/>
    <cellStyle name="20% - Accent5 3 9" xfId="17207" xr:uid="{667D09FE-A28E-4177-AC25-CD54014C6C26}"/>
    <cellStyle name="20% - Accent5 4" xfId="40" xr:uid="{00000000-0005-0000-0000-0000FA020000}"/>
    <cellStyle name="20% - Accent5 4 10" xfId="8768" xr:uid="{CC4BAECE-174A-42E3-B269-C2EA1FF26D8D}"/>
    <cellStyle name="20% - Accent5 4 2" xfId="609" xr:uid="{00000000-0005-0000-0000-0000FB020000}"/>
    <cellStyle name="20% - Accent5 4 2 2" xfId="2880" xr:uid="{00000000-0005-0000-0000-0000FC020000}"/>
    <cellStyle name="20% - Accent5 4 2 2 2" xfId="7103" xr:uid="{00000000-0005-0000-0000-0000FD020000}"/>
    <cellStyle name="20% - Accent5 4 2 2 2 2" xfId="23986" xr:uid="{1A31F74A-CD79-4D8C-806E-AD7F47D7EC8C}"/>
    <cellStyle name="20% - Accent5 4 2 2 2 3" xfId="32432" xr:uid="{F72342F5-9A5C-4E2A-80E3-366E7359042F}"/>
    <cellStyle name="20% - Accent5 4 2 2 2 4" xfId="15545" xr:uid="{9DBCB989-9A2D-403F-B104-C036AA8CA0F1}"/>
    <cellStyle name="20% - Accent5 4 2 2 3" xfId="19768" xr:uid="{05488C31-D309-4242-876B-07C03B2B7178}"/>
    <cellStyle name="20% - Accent5 4 2 2 4" xfId="28215" xr:uid="{94C2925D-41D3-40CF-B18B-517F9D94C2C3}"/>
    <cellStyle name="20% - Accent5 4 2 2 5" xfId="11327" xr:uid="{198651DF-51B1-4A60-A896-9DAD2055FAD3}"/>
    <cellStyle name="20% - Accent5 4 2 3" xfId="4958" xr:uid="{00000000-0005-0000-0000-0000FE020000}"/>
    <cellStyle name="20% - Accent5 4 2 3 2" xfId="21841" xr:uid="{54A4D15B-4BF2-4BFD-B374-FCE8BADF0489}"/>
    <cellStyle name="20% - Accent5 4 2 3 3" xfId="30287" xr:uid="{BA064EB3-52AE-4497-AEEE-42CCDA087FCE}"/>
    <cellStyle name="20% - Accent5 4 2 3 4" xfId="13400" xr:uid="{4D1DF8CE-DFC5-46F4-A9C2-5C7874A070D8}"/>
    <cellStyle name="20% - Accent5 4 2 4" xfId="17623" xr:uid="{662BEB39-C4E7-43FA-A213-569E5E812414}"/>
    <cellStyle name="20% - Accent5 4 2 5" xfId="26068" xr:uid="{37FC6CD4-DFE3-4F75-B716-1475BD669C83}"/>
    <cellStyle name="20% - Accent5 4 2 6" xfId="9182" xr:uid="{79453D39-323D-4E96-B01B-C3D4EC93F8AD}"/>
    <cellStyle name="20% - Accent5 4 3" xfId="1062" xr:uid="{00000000-0005-0000-0000-0000FF020000}"/>
    <cellStyle name="20% - Accent5 4 3 2" xfId="3293" xr:uid="{00000000-0005-0000-0000-000000030000}"/>
    <cellStyle name="20% - Accent5 4 3 2 2" xfId="7516" xr:uid="{00000000-0005-0000-0000-000001030000}"/>
    <cellStyle name="20% - Accent5 4 3 2 2 2" xfId="24399" xr:uid="{5679D659-ADD1-47CF-9823-A1744D8ADAF9}"/>
    <cellStyle name="20% - Accent5 4 3 2 2 3" xfId="32845" xr:uid="{606D8FBB-696B-45C8-95E4-9FABB36FECEB}"/>
    <cellStyle name="20% - Accent5 4 3 2 2 4" xfId="15958" xr:uid="{E6EECACB-24FA-481F-80F8-A8AAE79E069D}"/>
    <cellStyle name="20% - Accent5 4 3 2 3" xfId="20181" xr:uid="{D5C6E713-A0B9-4D93-B19D-4CA94D2AE500}"/>
    <cellStyle name="20% - Accent5 4 3 2 4" xfId="28628" xr:uid="{34347A7D-EC11-4102-9A59-FFB63968E179}"/>
    <cellStyle name="20% - Accent5 4 3 2 5" xfId="11740" xr:uid="{E9762824-E3A4-4D44-820F-C09BE9F5A497}"/>
    <cellStyle name="20% - Accent5 4 3 3" xfId="5371" xr:uid="{00000000-0005-0000-0000-000002030000}"/>
    <cellStyle name="20% - Accent5 4 3 3 2" xfId="22254" xr:uid="{E4B05BBB-B13C-40A9-A628-449673419C78}"/>
    <cellStyle name="20% - Accent5 4 3 3 3" xfId="30700" xr:uid="{F8391578-8660-4B6F-8997-69F88B1E599C}"/>
    <cellStyle name="20% - Accent5 4 3 3 4" xfId="13813" xr:uid="{F89AB3B9-3B73-4D2F-8591-E211D8B2A44E}"/>
    <cellStyle name="20% - Accent5 4 3 4" xfId="18036" xr:uid="{164080C1-22CD-4FBD-A9E3-F798A10146DC}"/>
    <cellStyle name="20% - Accent5 4 3 5" xfId="26481" xr:uid="{EBD73B1C-4985-4186-B0F8-C661111E1418}"/>
    <cellStyle name="20% - Accent5 4 3 6" xfId="9595" xr:uid="{77AA367E-2287-44A0-85BE-43023E0A0A5F}"/>
    <cellStyle name="20% - Accent5 4 4" xfId="1476" xr:uid="{00000000-0005-0000-0000-000003030000}"/>
    <cellStyle name="20% - Accent5 4 4 2" xfId="3706" xr:uid="{00000000-0005-0000-0000-000004030000}"/>
    <cellStyle name="20% - Accent5 4 4 2 2" xfId="7929" xr:uid="{00000000-0005-0000-0000-000005030000}"/>
    <cellStyle name="20% - Accent5 4 4 2 2 2" xfId="24812" xr:uid="{B837725E-161B-42B5-A9DE-8CC75417FCFF}"/>
    <cellStyle name="20% - Accent5 4 4 2 2 3" xfId="33258" xr:uid="{778D5523-2E64-4D1D-8FB5-04DE243C04B7}"/>
    <cellStyle name="20% - Accent5 4 4 2 2 4" xfId="16371" xr:uid="{0059025D-9A04-472E-B2CC-EEF4DEDD83B0}"/>
    <cellStyle name="20% - Accent5 4 4 2 3" xfId="20594" xr:uid="{FBA50420-89F3-42AD-ADFF-17295E3B77AF}"/>
    <cellStyle name="20% - Accent5 4 4 2 4" xfId="29041" xr:uid="{CBD63BC8-251C-4163-B18B-91C22917DCFB}"/>
    <cellStyle name="20% - Accent5 4 4 2 5" xfId="12153" xr:uid="{1E8502A6-BADE-4F45-98CA-FDD79DEA451E}"/>
    <cellStyle name="20% - Accent5 4 4 3" xfId="5784" xr:uid="{00000000-0005-0000-0000-000006030000}"/>
    <cellStyle name="20% - Accent5 4 4 3 2" xfId="22667" xr:uid="{5B64D08A-ACE3-4886-8D70-F30FEF2AB6EE}"/>
    <cellStyle name="20% - Accent5 4 4 3 3" xfId="31113" xr:uid="{D284D15E-2F08-40D4-9039-FF3DA57AB748}"/>
    <cellStyle name="20% - Accent5 4 4 3 4" xfId="14226" xr:uid="{ACA75666-9750-4C29-9DA6-669621E69D91}"/>
    <cellStyle name="20% - Accent5 4 4 4" xfId="18449" xr:uid="{45860A99-CDE8-4E41-B7A6-AF7C9E109025}"/>
    <cellStyle name="20% - Accent5 4 4 5" xfId="26894" xr:uid="{AF585831-F2DC-45AB-A4C0-38B82EDA885D}"/>
    <cellStyle name="20% - Accent5 4 4 6" xfId="10008" xr:uid="{E3714384-DE8F-408B-BDE9-D4F25A1A82C2}"/>
    <cellStyle name="20% - Accent5 4 5" xfId="1890" xr:uid="{00000000-0005-0000-0000-000007030000}"/>
    <cellStyle name="20% - Accent5 4 5 2" xfId="4119" xr:uid="{00000000-0005-0000-0000-000008030000}"/>
    <cellStyle name="20% - Accent5 4 5 2 2" xfId="8342" xr:uid="{00000000-0005-0000-0000-000009030000}"/>
    <cellStyle name="20% - Accent5 4 5 2 2 2" xfId="25225" xr:uid="{1417825A-2CE6-45D0-BA5E-D78C6F6D9549}"/>
    <cellStyle name="20% - Accent5 4 5 2 2 3" xfId="33671" xr:uid="{4441DD05-2991-4705-A86C-4B1362792959}"/>
    <cellStyle name="20% - Accent5 4 5 2 2 4" xfId="16784" xr:uid="{24715C5A-9B65-46C6-B1E0-9B55FDE3D1F8}"/>
    <cellStyle name="20% - Accent5 4 5 2 3" xfId="21007" xr:uid="{BA50C8FE-AB9E-4740-B928-B5D37540B33D}"/>
    <cellStyle name="20% - Accent5 4 5 2 4" xfId="29454" xr:uid="{300B1E07-34A6-4A50-BFFE-F467088C9A15}"/>
    <cellStyle name="20% - Accent5 4 5 2 5" xfId="12566" xr:uid="{E1DF3681-4EB0-4EE8-B7F0-A4F2CCB764C8}"/>
    <cellStyle name="20% - Accent5 4 5 3" xfId="6197" xr:uid="{00000000-0005-0000-0000-00000A030000}"/>
    <cellStyle name="20% - Accent5 4 5 3 2" xfId="23080" xr:uid="{E6D91C6A-86DB-46AE-A9FD-777CEAC4BF15}"/>
    <cellStyle name="20% - Accent5 4 5 3 3" xfId="31526" xr:uid="{18AEEE8B-A034-48CF-8AF8-2EDE25F497DE}"/>
    <cellStyle name="20% - Accent5 4 5 3 4" xfId="14639" xr:uid="{D971C2D8-4896-486A-91DD-7CC1ED9FB19A}"/>
    <cellStyle name="20% - Accent5 4 5 4" xfId="18862" xr:uid="{1E75763D-4EB5-4612-AFC2-947080AE3A17}"/>
    <cellStyle name="20% - Accent5 4 5 5" xfId="27307" xr:uid="{C0EA1EF4-43ED-42D5-90E9-202543519EE3}"/>
    <cellStyle name="20% - Accent5 4 5 6" xfId="10421" xr:uid="{3E540F42-AA43-40FF-8516-E89468A50B6D}"/>
    <cellStyle name="20% - Accent5 4 6" xfId="2303" xr:uid="{00000000-0005-0000-0000-00000B030000}"/>
    <cellStyle name="20% - Accent5 4 6 2" xfId="6610" xr:uid="{00000000-0005-0000-0000-00000C030000}"/>
    <cellStyle name="20% - Accent5 4 6 2 2" xfId="23493" xr:uid="{876C9EA3-FFCF-44C3-A860-73379AD2C52B}"/>
    <cellStyle name="20% - Accent5 4 6 2 3" xfId="31939" xr:uid="{3A2A1119-DBD9-4F11-908E-6168829B5EA9}"/>
    <cellStyle name="20% - Accent5 4 6 2 4" xfId="15052" xr:uid="{8FF7A3C8-B864-44B5-BB48-35AF3AEB680B}"/>
    <cellStyle name="20% - Accent5 4 6 3" xfId="19275" xr:uid="{50467A8A-76C2-4619-911A-997635C754A8}"/>
    <cellStyle name="20% - Accent5 4 6 4" xfId="27720" xr:uid="{F4106045-349B-43FC-B544-9A4E2FB93C6B}"/>
    <cellStyle name="20% - Accent5 4 6 5" xfId="10834" xr:uid="{588BDC7A-E7B8-4157-8240-5DE9A8DBBE8F}"/>
    <cellStyle name="20% - Accent5 4 7" xfId="4544" xr:uid="{00000000-0005-0000-0000-00000D030000}"/>
    <cellStyle name="20% - Accent5 4 7 2" xfId="21427" xr:uid="{233C425B-74B5-4842-99FB-2A0B7BA4ACE5}"/>
    <cellStyle name="20% - Accent5 4 7 3" xfId="29873" xr:uid="{3956C009-BDDF-4E6F-AF06-82AE77E3AE5C}"/>
    <cellStyle name="20% - Accent5 4 7 4" xfId="12986" xr:uid="{DA337024-702F-4F14-BBA8-566313E8B57D}"/>
    <cellStyle name="20% - Accent5 4 8" xfId="17209" xr:uid="{613DEF52-FABF-40E5-B159-DE3DD4561A8D}"/>
    <cellStyle name="20% - Accent5 4 9" xfId="25651" xr:uid="{657E8DB1-2B56-40B8-8010-2BBA005C8EEA}"/>
    <cellStyle name="20% - Accent5 5" xfId="602" xr:uid="{00000000-0005-0000-0000-00000E030000}"/>
    <cellStyle name="20% - Accent5 5 2" xfId="2873" xr:uid="{00000000-0005-0000-0000-00000F030000}"/>
    <cellStyle name="20% - Accent5 5 2 2" xfId="7096" xr:uid="{00000000-0005-0000-0000-000010030000}"/>
    <cellStyle name="20% - Accent5 5 2 2 2" xfId="23979" xr:uid="{C5490DC2-0B3C-4B15-A088-282C085A624E}"/>
    <cellStyle name="20% - Accent5 5 2 2 3" xfId="32425" xr:uid="{F27FF148-DEE2-41C1-9FA0-F0CB8813493C}"/>
    <cellStyle name="20% - Accent5 5 2 2 4" xfId="15538" xr:uid="{D2FFF5C7-9D6E-4954-A284-9C63A5962DC0}"/>
    <cellStyle name="20% - Accent5 5 2 3" xfId="19761" xr:uid="{98747B0D-68DA-48CF-B1C6-91716219349A}"/>
    <cellStyle name="20% - Accent5 5 2 4" xfId="28208" xr:uid="{2FBFA626-B017-4EA3-BD0C-7915FA08D61B}"/>
    <cellStyle name="20% - Accent5 5 2 5" xfId="11320" xr:uid="{BBF0BDBC-C71A-4CF8-B0B4-809F406426AA}"/>
    <cellStyle name="20% - Accent5 5 3" xfId="4951" xr:uid="{00000000-0005-0000-0000-000011030000}"/>
    <cellStyle name="20% - Accent5 5 3 2" xfId="21834" xr:uid="{DCBEC156-F6EF-4A57-BAC4-EA492A29618E}"/>
    <cellStyle name="20% - Accent5 5 3 3" xfId="30280" xr:uid="{7EB76337-71D4-4193-89DF-B02139C41BA9}"/>
    <cellStyle name="20% - Accent5 5 3 4" xfId="13393" xr:uid="{C551A1A3-AED8-4889-95F6-6919151766AD}"/>
    <cellStyle name="20% - Accent5 5 4" xfId="17616" xr:uid="{8C0CF834-10E3-4362-837D-78342F0DD13D}"/>
    <cellStyle name="20% - Accent5 5 5" xfId="26061" xr:uid="{672E9D69-1D89-4733-B1D7-F7623F57D846}"/>
    <cellStyle name="20% - Accent5 5 6" xfId="9175" xr:uid="{85B93554-3493-40CE-99DF-0E2C5CC60FA5}"/>
    <cellStyle name="20% - Accent5 6" xfId="1055" xr:uid="{00000000-0005-0000-0000-000012030000}"/>
    <cellStyle name="20% - Accent5 6 2" xfId="3286" xr:uid="{00000000-0005-0000-0000-000013030000}"/>
    <cellStyle name="20% - Accent5 6 2 2" xfId="7509" xr:uid="{00000000-0005-0000-0000-000014030000}"/>
    <cellStyle name="20% - Accent5 6 2 2 2" xfId="24392" xr:uid="{5F49F2B3-BEA9-492D-8D8E-940E938A0733}"/>
    <cellStyle name="20% - Accent5 6 2 2 3" xfId="32838" xr:uid="{FB5E435E-A49B-4CB3-A76D-660301FA17DF}"/>
    <cellStyle name="20% - Accent5 6 2 2 4" xfId="15951" xr:uid="{0104F0AE-693D-4D4A-8C95-2A91D37CA78C}"/>
    <cellStyle name="20% - Accent5 6 2 3" xfId="20174" xr:uid="{A1CE8E3A-2CB8-4D71-AF04-A3314F6D4154}"/>
    <cellStyle name="20% - Accent5 6 2 4" xfId="28621" xr:uid="{104C0D9D-BFAC-41CE-973F-0CFCAFD7237F}"/>
    <cellStyle name="20% - Accent5 6 2 5" xfId="11733" xr:uid="{1D8DB7BF-9015-4189-9370-810E335753B4}"/>
    <cellStyle name="20% - Accent5 6 3" xfId="5364" xr:uid="{00000000-0005-0000-0000-000015030000}"/>
    <cellStyle name="20% - Accent5 6 3 2" xfId="22247" xr:uid="{D883A193-BCC0-448B-A721-2713325D0327}"/>
    <cellStyle name="20% - Accent5 6 3 3" xfId="30693" xr:uid="{3738968A-4AB7-47E1-8425-85FAA1456FA2}"/>
    <cellStyle name="20% - Accent5 6 3 4" xfId="13806" xr:uid="{238A0475-02C5-463B-88F7-4490C8E235D2}"/>
    <cellStyle name="20% - Accent5 6 4" xfId="18029" xr:uid="{E42A5C69-2F28-4826-B497-637E0673F03D}"/>
    <cellStyle name="20% - Accent5 6 5" xfId="26474" xr:uid="{FCC544AA-3B1B-40F6-9011-515086433046}"/>
    <cellStyle name="20% - Accent5 6 6" xfId="9588" xr:uid="{151C5022-74F2-4C14-92D3-E65970DE973E}"/>
    <cellStyle name="20% - Accent5 7" xfId="1469" xr:uid="{00000000-0005-0000-0000-000016030000}"/>
    <cellStyle name="20% - Accent5 7 2" xfId="3699" xr:uid="{00000000-0005-0000-0000-000017030000}"/>
    <cellStyle name="20% - Accent5 7 2 2" xfId="7922" xr:uid="{00000000-0005-0000-0000-000018030000}"/>
    <cellStyle name="20% - Accent5 7 2 2 2" xfId="24805" xr:uid="{ABE5AF23-D0FC-4EFA-BD11-AF4662498A56}"/>
    <cellStyle name="20% - Accent5 7 2 2 3" xfId="33251" xr:uid="{F6434713-E233-44B8-A69A-4BCC63549129}"/>
    <cellStyle name="20% - Accent5 7 2 2 4" xfId="16364" xr:uid="{697E4BD6-DF68-4CD0-AEF1-74F426A743AD}"/>
    <cellStyle name="20% - Accent5 7 2 3" xfId="20587" xr:uid="{8DABFAD3-F632-46E0-8864-A5B77C7C7789}"/>
    <cellStyle name="20% - Accent5 7 2 4" xfId="29034" xr:uid="{5C42B1A6-7339-4F6A-B45D-CCFF9F6A0772}"/>
    <cellStyle name="20% - Accent5 7 2 5" xfId="12146" xr:uid="{B7E17E22-DBB9-451E-B88B-FC8FB15EA49A}"/>
    <cellStyle name="20% - Accent5 7 3" xfId="5777" xr:uid="{00000000-0005-0000-0000-000019030000}"/>
    <cellStyle name="20% - Accent5 7 3 2" xfId="22660" xr:uid="{19A1BFCF-B114-403D-917C-986C68A583A9}"/>
    <cellStyle name="20% - Accent5 7 3 3" xfId="31106" xr:uid="{5E39042E-E022-43DA-B750-A596FF2D455A}"/>
    <cellStyle name="20% - Accent5 7 3 4" xfId="14219" xr:uid="{81ED845F-16C8-40E0-A7BE-5D8950B723D7}"/>
    <cellStyle name="20% - Accent5 7 4" xfId="18442" xr:uid="{5C9E75CD-BD7B-4972-A8E1-218BB7F829BE}"/>
    <cellStyle name="20% - Accent5 7 5" xfId="26887" xr:uid="{268EF0DC-BECF-4239-8C00-57312E56D7F3}"/>
    <cellStyle name="20% - Accent5 7 6" xfId="10001" xr:uid="{75997EF3-5A36-4876-9DB5-E707B7F972D8}"/>
    <cellStyle name="20% - Accent5 8" xfId="1883" xr:uid="{00000000-0005-0000-0000-00001A030000}"/>
    <cellStyle name="20% - Accent5 8 2" xfId="4112" xr:uid="{00000000-0005-0000-0000-00001B030000}"/>
    <cellStyle name="20% - Accent5 8 2 2" xfId="8335" xr:uid="{00000000-0005-0000-0000-00001C030000}"/>
    <cellStyle name="20% - Accent5 8 2 2 2" xfId="25218" xr:uid="{E7C5F072-8D21-409D-8DD6-21FF597A588D}"/>
    <cellStyle name="20% - Accent5 8 2 2 3" xfId="33664" xr:uid="{D8FC67B5-9D8A-4D35-8FF0-EBC513F2E8C6}"/>
    <cellStyle name="20% - Accent5 8 2 2 4" xfId="16777" xr:uid="{03613C55-8745-4EA5-924A-020415CA8815}"/>
    <cellStyle name="20% - Accent5 8 2 3" xfId="21000" xr:uid="{1392C452-420B-435B-A444-565D741B4F93}"/>
    <cellStyle name="20% - Accent5 8 2 4" xfId="29447" xr:uid="{78A1692C-BF37-4B29-BD5E-90F31B00DE31}"/>
    <cellStyle name="20% - Accent5 8 2 5" xfId="12559" xr:uid="{C74FB032-3FDA-4B92-95CF-FA55F1086FA9}"/>
    <cellStyle name="20% - Accent5 8 3" xfId="6190" xr:uid="{00000000-0005-0000-0000-00001D030000}"/>
    <cellStyle name="20% - Accent5 8 3 2" xfId="23073" xr:uid="{2E27F15F-D293-467B-A7BD-ED1A3C34E0FA}"/>
    <cellStyle name="20% - Accent5 8 3 3" xfId="31519" xr:uid="{2DF587D0-71AB-41EC-B8D1-563A0563BEAC}"/>
    <cellStyle name="20% - Accent5 8 3 4" xfId="14632" xr:uid="{BA9CC7D0-248F-434E-B473-BBFE800E24FD}"/>
    <cellStyle name="20% - Accent5 8 4" xfId="18855" xr:uid="{63949A43-95E2-4E10-B8FC-2D2F13ECDE08}"/>
    <cellStyle name="20% - Accent5 8 5" xfId="27300" xr:uid="{0D34CB9B-2FE4-42CC-AFBD-6681EAF554BC}"/>
    <cellStyle name="20% - Accent5 8 6" xfId="10414" xr:uid="{4A7DDEDA-40E3-49FF-9D26-17B9ED624CC6}"/>
    <cellStyle name="20% - Accent5 9" xfId="2296" xr:uid="{00000000-0005-0000-0000-00001E030000}"/>
    <cellStyle name="20% - Accent5 9 2" xfId="6603" xr:uid="{00000000-0005-0000-0000-00001F030000}"/>
    <cellStyle name="20% - Accent5 9 2 2" xfId="23486" xr:uid="{B25316C3-4B5D-43C6-9A1C-E34BC9A80575}"/>
    <cellStyle name="20% - Accent5 9 2 3" xfId="31932" xr:uid="{698E3133-9CBB-4C85-A89E-04B4ABCE0176}"/>
    <cellStyle name="20% - Accent5 9 2 4" xfId="15045" xr:uid="{FEB3FB3C-238C-417E-BAF2-DF85BF36666A}"/>
    <cellStyle name="20% - Accent5 9 3" xfId="19268" xr:uid="{13856BE9-510B-4A61-881F-CD026AE1716A}"/>
    <cellStyle name="20% - Accent5 9 4" xfId="27713" xr:uid="{E9C5B8E3-A142-4F2D-823D-156FC2E02EE3}"/>
    <cellStyle name="20% - Accent5 9 5" xfId="10827" xr:uid="{C7E5E421-A8C1-46F2-98D6-4606E6DD2A41}"/>
    <cellStyle name="20% - Accent6" xfId="41" builtinId="50" customBuiltin="1"/>
    <cellStyle name="20% - Accent6 10" xfId="4545" xr:uid="{00000000-0005-0000-0000-000021030000}"/>
    <cellStyle name="20% - Accent6 10 2" xfId="21428" xr:uid="{6F572CA4-627E-48CE-A658-C9C4F7D94BE3}"/>
    <cellStyle name="20% - Accent6 10 3" xfId="29874" xr:uid="{67206CD8-AC4C-4BBC-9C29-401CA6527CB9}"/>
    <cellStyle name="20% - Accent6 10 4" xfId="12987" xr:uid="{BC3A4F47-1F52-4CA2-B1BE-90D7B0818839}"/>
    <cellStyle name="20% - Accent6 11" xfId="17210" xr:uid="{D9785490-6A11-4B96-B4B0-6C3DB6F5F083}"/>
    <cellStyle name="20% - Accent6 12" xfId="25652" xr:uid="{D04B73EB-466D-4A4F-9488-DDE6FE6EF242}"/>
    <cellStyle name="20% - Accent6 13" xfId="8769" xr:uid="{40B0FD03-8C0D-4108-A646-60D8CF579A71}"/>
    <cellStyle name="20% - Accent6 2" xfId="42" xr:uid="{00000000-0005-0000-0000-000022030000}"/>
    <cellStyle name="20% - Accent6 2 10" xfId="17211" xr:uid="{A04C0FB1-560C-4392-B603-4C34717A29B6}"/>
    <cellStyle name="20% - Accent6 2 11" xfId="25653" xr:uid="{A6500E75-E68B-4558-B5A9-8937B3A089AE}"/>
    <cellStyle name="20% - Accent6 2 12" xfId="8770" xr:uid="{DC714423-1DD1-4C93-A800-352702273038}"/>
    <cellStyle name="20% - Accent6 2 2" xfId="43" xr:uid="{00000000-0005-0000-0000-000023030000}"/>
    <cellStyle name="20% - Accent6 2 2 10" xfId="25654" xr:uid="{AE8C6E3D-498B-4D39-9CB3-33EC6B6F238B}"/>
    <cellStyle name="20% - Accent6 2 2 11" xfId="8771" xr:uid="{D96CE61E-77CC-4AD8-9BD0-310C7E7C8257}"/>
    <cellStyle name="20% - Accent6 2 2 2" xfId="44" xr:uid="{00000000-0005-0000-0000-000024030000}"/>
    <cellStyle name="20% - Accent6 2 2 2 10" xfId="8772" xr:uid="{3CF38FD0-509E-460C-B7E6-D81040C051D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23990" xr:uid="{50C00211-B5A6-43C0-BC30-D3B614FCD3E0}"/>
    <cellStyle name="20% - Accent6 2 2 2 2 2 2 3" xfId="32436" xr:uid="{7F1FA632-A1AA-437D-B18B-1FB860E4177F}"/>
    <cellStyle name="20% - Accent6 2 2 2 2 2 2 4" xfId="15549" xr:uid="{71F868E5-EDEB-4CA2-B342-3D566BF2AB67}"/>
    <cellStyle name="20% - Accent6 2 2 2 2 2 3" xfId="19772" xr:uid="{E10C7DD0-4DC7-4DBD-A37A-FAE2FBD5DFC7}"/>
    <cellStyle name="20% - Accent6 2 2 2 2 2 4" xfId="28219" xr:uid="{D9ABEB7F-6E6A-43E0-AF5F-DCB20C5D9FFF}"/>
    <cellStyle name="20% - Accent6 2 2 2 2 2 5" xfId="11331" xr:uid="{A28BCE0D-222C-4A18-B11B-A1F8CCF9251A}"/>
    <cellStyle name="20% - Accent6 2 2 2 2 3" xfId="4962" xr:uid="{00000000-0005-0000-0000-000028030000}"/>
    <cellStyle name="20% - Accent6 2 2 2 2 3 2" xfId="21845" xr:uid="{6CC12358-5B25-4001-A4EC-8E2BFAAA927D}"/>
    <cellStyle name="20% - Accent6 2 2 2 2 3 3" xfId="30291" xr:uid="{1FB55911-9628-42BE-9F70-E7F0362B3143}"/>
    <cellStyle name="20% - Accent6 2 2 2 2 3 4" xfId="13404" xr:uid="{8A43BE4C-F6E6-4625-8CA9-42569CF9CA70}"/>
    <cellStyle name="20% - Accent6 2 2 2 2 4" xfId="17627" xr:uid="{8D05D20A-1BB0-456A-823E-270B2072E3CD}"/>
    <cellStyle name="20% - Accent6 2 2 2 2 5" xfId="26072" xr:uid="{B6ED1871-AFFB-454C-941E-CED8674DDC34}"/>
    <cellStyle name="20% - Accent6 2 2 2 2 6" xfId="9186" xr:uid="{6531AD89-9FBC-4A0A-8DB8-F2398FEE5BE9}"/>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24403" xr:uid="{CF6816A5-3650-49F9-8FAD-C24DBA8C45F7}"/>
    <cellStyle name="20% - Accent6 2 2 2 3 2 2 3" xfId="32849" xr:uid="{F12D8917-6DEF-42F2-804F-DE69BFA43044}"/>
    <cellStyle name="20% - Accent6 2 2 2 3 2 2 4" xfId="15962" xr:uid="{663264BB-5536-4A29-BA37-22788F31976B}"/>
    <cellStyle name="20% - Accent6 2 2 2 3 2 3" xfId="20185" xr:uid="{B89C66A4-3F2A-4409-B556-91C81D120150}"/>
    <cellStyle name="20% - Accent6 2 2 2 3 2 4" xfId="28632" xr:uid="{A1AB454D-743A-4E9A-B69F-2A510E7F4863}"/>
    <cellStyle name="20% - Accent6 2 2 2 3 2 5" xfId="11744" xr:uid="{1566A394-099E-478C-A5DB-D410EC3AA3FA}"/>
    <cellStyle name="20% - Accent6 2 2 2 3 3" xfId="5375" xr:uid="{00000000-0005-0000-0000-00002C030000}"/>
    <cellStyle name="20% - Accent6 2 2 2 3 3 2" xfId="22258" xr:uid="{627EF9CC-EC10-4C23-AA6A-F8858C1745FA}"/>
    <cellStyle name="20% - Accent6 2 2 2 3 3 3" xfId="30704" xr:uid="{F4845E3F-5548-4BA8-A774-5EAC31326FA5}"/>
    <cellStyle name="20% - Accent6 2 2 2 3 3 4" xfId="13817" xr:uid="{AE49A10D-A451-4CB8-87CD-B998C3AE4762}"/>
    <cellStyle name="20% - Accent6 2 2 2 3 4" xfId="18040" xr:uid="{1B0A350F-AFD0-4656-B517-9BA385E01D54}"/>
    <cellStyle name="20% - Accent6 2 2 2 3 5" xfId="26485" xr:uid="{39812DB8-9DB0-48BB-A26B-BB7CB051853C}"/>
    <cellStyle name="20% - Accent6 2 2 2 3 6" xfId="9599" xr:uid="{7253E263-190D-4E08-B22E-7599A1D65813}"/>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24816" xr:uid="{C93CD6F4-2A3F-4A20-9EB4-6218194E1716}"/>
    <cellStyle name="20% - Accent6 2 2 2 4 2 2 3" xfId="33262" xr:uid="{67B91EC6-2F48-4F04-9D65-5B4A826EDB02}"/>
    <cellStyle name="20% - Accent6 2 2 2 4 2 2 4" xfId="16375" xr:uid="{CCEC9DEB-2B14-4356-8CAB-4E241BAAF690}"/>
    <cellStyle name="20% - Accent6 2 2 2 4 2 3" xfId="20598" xr:uid="{B3F6044E-EDF3-46AA-80FB-28F473109C3A}"/>
    <cellStyle name="20% - Accent6 2 2 2 4 2 4" xfId="29045" xr:uid="{47288B34-DA22-4622-8B2E-BD52C67559F5}"/>
    <cellStyle name="20% - Accent6 2 2 2 4 2 5" xfId="12157" xr:uid="{A407DB42-38A1-48DD-9F0D-E8471F020D23}"/>
    <cellStyle name="20% - Accent6 2 2 2 4 3" xfId="5788" xr:uid="{00000000-0005-0000-0000-000030030000}"/>
    <cellStyle name="20% - Accent6 2 2 2 4 3 2" xfId="22671" xr:uid="{04396F8A-7E4A-4FFF-8C3B-5CA536CDF4BE}"/>
    <cellStyle name="20% - Accent6 2 2 2 4 3 3" xfId="31117" xr:uid="{9625F7D7-C0B1-4CF9-9937-559C6DD04E65}"/>
    <cellStyle name="20% - Accent6 2 2 2 4 3 4" xfId="14230" xr:uid="{6A6BD608-3E4F-45FA-9C81-1F9DC3EDA3F9}"/>
    <cellStyle name="20% - Accent6 2 2 2 4 4" xfId="18453" xr:uid="{88F3E907-8633-4252-9079-D4AE19B72F96}"/>
    <cellStyle name="20% - Accent6 2 2 2 4 5" xfId="26898" xr:uid="{1FB99763-2351-41E5-BEF6-1AFB22A82466}"/>
    <cellStyle name="20% - Accent6 2 2 2 4 6" xfId="10012" xr:uid="{7C4A360D-C9B0-435A-969F-693520D44AFB}"/>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25229" xr:uid="{B885B807-CF7C-4734-B4B9-768E130BDD25}"/>
    <cellStyle name="20% - Accent6 2 2 2 5 2 2 3" xfId="33675" xr:uid="{A4118A16-D9D9-48B0-B770-F802092DDECE}"/>
    <cellStyle name="20% - Accent6 2 2 2 5 2 2 4" xfId="16788" xr:uid="{6649DA7C-5C8E-4CC7-A277-444D832FCC4C}"/>
    <cellStyle name="20% - Accent6 2 2 2 5 2 3" xfId="21011" xr:uid="{7199AAC9-FE87-4CD6-9FC4-9F314DE49459}"/>
    <cellStyle name="20% - Accent6 2 2 2 5 2 4" xfId="29458" xr:uid="{723B3AFE-0780-4E1D-A6B8-3EB5BEEA057B}"/>
    <cellStyle name="20% - Accent6 2 2 2 5 2 5" xfId="12570" xr:uid="{D03CB891-35F9-45E6-B509-29D681F922BC}"/>
    <cellStyle name="20% - Accent6 2 2 2 5 3" xfId="6201" xr:uid="{00000000-0005-0000-0000-000034030000}"/>
    <cellStyle name="20% - Accent6 2 2 2 5 3 2" xfId="23084" xr:uid="{B60E5149-2EF7-41F6-832B-F55A0E0504D1}"/>
    <cellStyle name="20% - Accent6 2 2 2 5 3 3" xfId="31530" xr:uid="{25BD737A-2D39-41BD-BD2C-6213A85BB7A6}"/>
    <cellStyle name="20% - Accent6 2 2 2 5 3 4" xfId="14643" xr:uid="{4504A033-65C8-4E52-B414-91AF2E1074CF}"/>
    <cellStyle name="20% - Accent6 2 2 2 5 4" xfId="18866" xr:uid="{7831DC45-7DA9-434A-9E09-0C47CBAE7A69}"/>
    <cellStyle name="20% - Accent6 2 2 2 5 5" xfId="27311" xr:uid="{94578DE6-1673-40CC-AEB7-5C251112F172}"/>
    <cellStyle name="20% - Accent6 2 2 2 5 6" xfId="10425" xr:uid="{7EF1A163-B1B7-4881-8985-6EB060CB6BAC}"/>
    <cellStyle name="20% - Accent6 2 2 2 6" xfId="2307" xr:uid="{00000000-0005-0000-0000-000035030000}"/>
    <cellStyle name="20% - Accent6 2 2 2 6 2" xfId="6614" xr:uid="{00000000-0005-0000-0000-000036030000}"/>
    <cellStyle name="20% - Accent6 2 2 2 6 2 2" xfId="23497" xr:uid="{13491CF0-ED78-4187-84D1-E63F3FFB2821}"/>
    <cellStyle name="20% - Accent6 2 2 2 6 2 3" xfId="31943" xr:uid="{5222E1F6-2928-4880-94E1-026867D2760D}"/>
    <cellStyle name="20% - Accent6 2 2 2 6 2 4" xfId="15056" xr:uid="{DC521845-8489-43D6-9397-812725169084}"/>
    <cellStyle name="20% - Accent6 2 2 2 6 3" xfId="19279" xr:uid="{215B13B8-A79D-4D0A-AD20-5A58EC5E385B}"/>
    <cellStyle name="20% - Accent6 2 2 2 6 4" xfId="27724" xr:uid="{C1C6E5BC-FBC8-43B9-9189-25F9AC06C0A7}"/>
    <cellStyle name="20% - Accent6 2 2 2 6 5" xfId="10838" xr:uid="{7F1396F9-B6FB-4D17-8713-953A2658BE36}"/>
    <cellStyle name="20% - Accent6 2 2 2 7" xfId="4548" xr:uid="{00000000-0005-0000-0000-000037030000}"/>
    <cellStyle name="20% - Accent6 2 2 2 7 2" xfId="21431" xr:uid="{3EA4C588-1F38-46C4-8315-0AEDBFA06BF6}"/>
    <cellStyle name="20% - Accent6 2 2 2 7 3" xfId="29877" xr:uid="{597BA1BD-44C3-49BC-9858-1A54469DD8B3}"/>
    <cellStyle name="20% - Accent6 2 2 2 7 4" xfId="12990" xr:uid="{8DBA7D3B-0573-46CD-A6D7-1B399DEF4A20}"/>
    <cellStyle name="20% - Accent6 2 2 2 8" xfId="17213" xr:uid="{6FD87DD5-21EF-4ED0-A314-09A69BFED9A1}"/>
    <cellStyle name="20% - Accent6 2 2 2 9" xfId="25655" xr:uid="{05076D1D-8144-441F-B587-AF55FFF90D21}"/>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23989" xr:uid="{10265589-6422-41BD-9C26-642A9DEC865C}"/>
    <cellStyle name="20% - Accent6 2 2 3 2 2 3" xfId="32435" xr:uid="{094CC92B-7592-4283-BC97-D1077A38B055}"/>
    <cellStyle name="20% - Accent6 2 2 3 2 2 4" xfId="15548" xr:uid="{F77236C3-16D1-4F11-B7C2-93EAC90FCB9B}"/>
    <cellStyle name="20% - Accent6 2 2 3 2 3" xfId="19771" xr:uid="{A056A7A6-0C0F-472D-98B2-400D0FFD3ED1}"/>
    <cellStyle name="20% - Accent6 2 2 3 2 4" xfId="28218" xr:uid="{C0A03794-D623-46B4-A365-52CA3EE3AB93}"/>
    <cellStyle name="20% - Accent6 2 2 3 2 5" xfId="11330" xr:uid="{D7189FB2-711A-42B4-9F3C-A799DE62F709}"/>
    <cellStyle name="20% - Accent6 2 2 3 3" xfId="4961" xr:uid="{00000000-0005-0000-0000-00003B030000}"/>
    <cellStyle name="20% - Accent6 2 2 3 3 2" xfId="21844" xr:uid="{61B9EB3D-70AB-4CF0-B4AE-16B6F0203D5C}"/>
    <cellStyle name="20% - Accent6 2 2 3 3 3" xfId="30290" xr:uid="{B9234827-F690-46BD-9EC5-C8D22E51C7BC}"/>
    <cellStyle name="20% - Accent6 2 2 3 3 4" xfId="13403" xr:uid="{1FD49F33-D2F7-4E32-93FE-FDE390A278D4}"/>
    <cellStyle name="20% - Accent6 2 2 3 4" xfId="17626" xr:uid="{71F4EA21-8513-4217-8660-0496A0BA8ECB}"/>
    <cellStyle name="20% - Accent6 2 2 3 5" xfId="26071" xr:uid="{1D8C358E-1243-4F85-9FA1-ED8614CC665F}"/>
    <cellStyle name="20% - Accent6 2 2 3 6" xfId="9185" xr:uid="{31BA27D3-6A13-416C-BD34-2092EE9F473A}"/>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24402" xr:uid="{1DA4186C-0BC8-4401-9C86-7383D6BE27D1}"/>
    <cellStyle name="20% - Accent6 2 2 4 2 2 3" xfId="32848" xr:uid="{1EE31A43-99C0-4B75-A9CC-F7EABB3BD862}"/>
    <cellStyle name="20% - Accent6 2 2 4 2 2 4" xfId="15961" xr:uid="{BC5ED278-AF21-46A2-91D2-63BFD4B401D9}"/>
    <cellStyle name="20% - Accent6 2 2 4 2 3" xfId="20184" xr:uid="{63D4887A-0490-4C35-AE82-C37D9AA47338}"/>
    <cellStyle name="20% - Accent6 2 2 4 2 4" xfId="28631" xr:uid="{E03D667A-2413-4FC6-BF88-A2625E457646}"/>
    <cellStyle name="20% - Accent6 2 2 4 2 5" xfId="11743" xr:uid="{57D368F2-9EF9-4351-945F-44471DEEF6CB}"/>
    <cellStyle name="20% - Accent6 2 2 4 3" xfId="5374" xr:uid="{00000000-0005-0000-0000-00003F030000}"/>
    <cellStyle name="20% - Accent6 2 2 4 3 2" xfId="22257" xr:uid="{A32B1DFE-23BD-4AFB-8C73-094ECC27E19A}"/>
    <cellStyle name="20% - Accent6 2 2 4 3 3" xfId="30703" xr:uid="{1C95623C-F0F0-4BBF-9C9D-2983D700AD98}"/>
    <cellStyle name="20% - Accent6 2 2 4 3 4" xfId="13816" xr:uid="{D0D9DE15-B683-464C-B4E5-6300A10BAA71}"/>
    <cellStyle name="20% - Accent6 2 2 4 4" xfId="18039" xr:uid="{95701565-682C-4E53-81F2-B14AD6691AA7}"/>
    <cellStyle name="20% - Accent6 2 2 4 5" xfId="26484" xr:uid="{292B525F-0D52-4099-9A8B-D9F46E84F8DD}"/>
    <cellStyle name="20% - Accent6 2 2 4 6" xfId="9598" xr:uid="{8CF857EA-19DD-4BCB-9E8A-B1442436D443}"/>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24815" xr:uid="{F188E4C7-B01E-439D-B0E0-6594B2455FA3}"/>
    <cellStyle name="20% - Accent6 2 2 5 2 2 3" xfId="33261" xr:uid="{E5E1CACE-E3B5-434F-88B9-85F21A9B0123}"/>
    <cellStyle name="20% - Accent6 2 2 5 2 2 4" xfId="16374" xr:uid="{0CC67BB3-CF1B-4181-BC54-1EE44DBE6C28}"/>
    <cellStyle name="20% - Accent6 2 2 5 2 3" xfId="20597" xr:uid="{A3128F6A-FDA5-4851-88F0-5424682FB05E}"/>
    <cellStyle name="20% - Accent6 2 2 5 2 4" xfId="29044" xr:uid="{D5F9D787-BD6B-4D6A-BE8F-46456C64F51F}"/>
    <cellStyle name="20% - Accent6 2 2 5 2 5" xfId="12156" xr:uid="{73F946C8-4CB4-4491-A793-9742E221C101}"/>
    <cellStyle name="20% - Accent6 2 2 5 3" xfId="5787" xr:uid="{00000000-0005-0000-0000-000043030000}"/>
    <cellStyle name="20% - Accent6 2 2 5 3 2" xfId="22670" xr:uid="{59C3BB36-D55C-4D7B-9909-9031B5A6366B}"/>
    <cellStyle name="20% - Accent6 2 2 5 3 3" xfId="31116" xr:uid="{EDDED277-2F6A-47A4-BFA8-38D28DFBE7A3}"/>
    <cellStyle name="20% - Accent6 2 2 5 3 4" xfId="14229" xr:uid="{C9AA2238-F86B-4203-97A6-DC9F5EA85BCA}"/>
    <cellStyle name="20% - Accent6 2 2 5 4" xfId="18452" xr:uid="{D70ADB5F-C121-44F4-AC4B-98636EC3D83D}"/>
    <cellStyle name="20% - Accent6 2 2 5 5" xfId="26897" xr:uid="{8C7010D7-9B11-4CE4-B5CC-D1EA0AA8BF15}"/>
    <cellStyle name="20% - Accent6 2 2 5 6" xfId="10011" xr:uid="{09E7670E-7D07-4491-9A22-31254336D6DD}"/>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25228" xr:uid="{66C1C4D1-2453-4AAE-B174-88E71086C484}"/>
    <cellStyle name="20% - Accent6 2 2 6 2 2 3" xfId="33674" xr:uid="{24E301B3-1DDB-49FD-B229-793938C92DF5}"/>
    <cellStyle name="20% - Accent6 2 2 6 2 2 4" xfId="16787" xr:uid="{371E25D2-031E-4726-A01B-234B234901EE}"/>
    <cellStyle name="20% - Accent6 2 2 6 2 3" xfId="21010" xr:uid="{E50D7B62-22AA-48A7-94A8-1F0F7D4AD813}"/>
    <cellStyle name="20% - Accent6 2 2 6 2 4" xfId="29457" xr:uid="{763542A0-31F7-4F81-B264-413D16243B56}"/>
    <cellStyle name="20% - Accent6 2 2 6 2 5" xfId="12569" xr:uid="{FB5B2ABC-0ED6-4D6E-9B65-3F42D91B9877}"/>
    <cellStyle name="20% - Accent6 2 2 6 3" xfId="6200" xr:uid="{00000000-0005-0000-0000-000047030000}"/>
    <cellStyle name="20% - Accent6 2 2 6 3 2" xfId="23083" xr:uid="{F25C40AE-BF05-465B-B63C-C05DFDFFB197}"/>
    <cellStyle name="20% - Accent6 2 2 6 3 3" xfId="31529" xr:uid="{424FA2C3-178D-49DD-AF18-87C237825C91}"/>
    <cellStyle name="20% - Accent6 2 2 6 3 4" xfId="14642" xr:uid="{066794DF-7C92-4FEC-9DA0-59274425A27F}"/>
    <cellStyle name="20% - Accent6 2 2 6 4" xfId="18865" xr:uid="{02E1497D-A182-4407-9FBE-607C86CFB6D4}"/>
    <cellStyle name="20% - Accent6 2 2 6 5" xfId="27310" xr:uid="{9A3427D9-2D52-4C96-A8A8-D572D64DF6F9}"/>
    <cellStyle name="20% - Accent6 2 2 6 6" xfId="10424" xr:uid="{AED9347C-6341-441C-82C4-6216A6AEEA14}"/>
    <cellStyle name="20% - Accent6 2 2 7" xfId="2306" xr:uid="{00000000-0005-0000-0000-000048030000}"/>
    <cellStyle name="20% - Accent6 2 2 7 2" xfId="6613" xr:uid="{00000000-0005-0000-0000-000049030000}"/>
    <cellStyle name="20% - Accent6 2 2 7 2 2" xfId="23496" xr:uid="{24C7B97E-57E8-4EA7-8065-F2DE3A45D53A}"/>
    <cellStyle name="20% - Accent6 2 2 7 2 3" xfId="31942" xr:uid="{A4BDEAAC-8E93-457E-8048-B52DFCE10120}"/>
    <cellStyle name="20% - Accent6 2 2 7 2 4" xfId="15055" xr:uid="{2ED767D2-13D6-4476-BD2F-8C714478109E}"/>
    <cellStyle name="20% - Accent6 2 2 7 3" xfId="19278" xr:uid="{364C1618-952B-4843-9553-B08DEC8A3555}"/>
    <cellStyle name="20% - Accent6 2 2 7 4" xfId="27723" xr:uid="{53419869-A88D-4508-B3F4-0ABE9F7FD870}"/>
    <cellStyle name="20% - Accent6 2 2 7 5" xfId="10837" xr:uid="{12048CB3-CF1E-4C41-900B-1237264855CD}"/>
    <cellStyle name="20% - Accent6 2 2 8" xfId="4547" xr:uid="{00000000-0005-0000-0000-00004A030000}"/>
    <cellStyle name="20% - Accent6 2 2 8 2" xfId="21430" xr:uid="{A7D2E589-6F16-4717-8CC7-31D2D07B9B5E}"/>
    <cellStyle name="20% - Accent6 2 2 8 3" xfId="29876" xr:uid="{C844C412-6D1C-43F0-B90C-364886AF2903}"/>
    <cellStyle name="20% - Accent6 2 2 8 4" xfId="12989" xr:uid="{A23E18B3-5FD3-4308-A4CD-36878267B963}"/>
    <cellStyle name="20% - Accent6 2 2 9" xfId="17212" xr:uid="{AFC31B6E-12E1-4CF7-80C2-0858005DD182}"/>
    <cellStyle name="20% - Accent6 2 3" xfId="45" xr:uid="{00000000-0005-0000-0000-00004B030000}"/>
    <cellStyle name="20% - Accent6 2 3 10" xfId="8773" xr:uid="{E119B859-81E0-4CCB-95E0-BB7F0B78B911}"/>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23991" xr:uid="{DB29D7B3-8748-4E6B-B736-C37709A58C4A}"/>
    <cellStyle name="20% - Accent6 2 3 2 2 2 3" xfId="32437" xr:uid="{BB2C21ED-ED36-4134-9266-B86E38AC2639}"/>
    <cellStyle name="20% - Accent6 2 3 2 2 2 4" xfId="15550" xr:uid="{51D7603C-6BAA-4730-B1F5-9A80B2B0DBB7}"/>
    <cellStyle name="20% - Accent6 2 3 2 2 3" xfId="19773" xr:uid="{F05B806A-8A19-4E7D-8256-8E405C50FAA1}"/>
    <cellStyle name="20% - Accent6 2 3 2 2 4" xfId="28220" xr:uid="{931BA684-601D-452C-A7C3-8EB50905A48E}"/>
    <cellStyle name="20% - Accent6 2 3 2 2 5" xfId="11332" xr:uid="{96042BCF-001A-4E19-9152-B7494A5A40D0}"/>
    <cellStyle name="20% - Accent6 2 3 2 3" xfId="4963" xr:uid="{00000000-0005-0000-0000-00004F030000}"/>
    <cellStyle name="20% - Accent6 2 3 2 3 2" xfId="21846" xr:uid="{F93D1C0E-3BC4-4BF3-84E1-E506ADDAE463}"/>
    <cellStyle name="20% - Accent6 2 3 2 3 3" xfId="30292" xr:uid="{3D5CC0D6-B3D8-4058-A35B-108218F2420F}"/>
    <cellStyle name="20% - Accent6 2 3 2 3 4" xfId="13405" xr:uid="{89FA8475-CF45-4163-A5F4-C41EF2B2B622}"/>
    <cellStyle name="20% - Accent6 2 3 2 4" xfId="17628" xr:uid="{8E2DEC05-AEBA-452E-8494-9920C2A433CC}"/>
    <cellStyle name="20% - Accent6 2 3 2 5" xfId="26073" xr:uid="{BB4EADF3-6CA3-410E-9CED-D90CE0EB81B3}"/>
    <cellStyle name="20% - Accent6 2 3 2 6" xfId="9187" xr:uid="{478E3303-CEB0-4022-B473-8D549C2768FC}"/>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24404" xr:uid="{A4363B9A-815B-496D-9646-6A6EAFA34CD8}"/>
    <cellStyle name="20% - Accent6 2 3 3 2 2 3" xfId="32850" xr:uid="{F3491CEA-75C1-425F-BBD1-642DEF9DA643}"/>
    <cellStyle name="20% - Accent6 2 3 3 2 2 4" xfId="15963" xr:uid="{B05F9A0B-0756-40BC-8D96-6C143B3D4DDA}"/>
    <cellStyle name="20% - Accent6 2 3 3 2 3" xfId="20186" xr:uid="{1349DCD2-4E5A-4D41-9731-26B200737852}"/>
    <cellStyle name="20% - Accent6 2 3 3 2 4" xfId="28633" xr:uid="{B209C539-6F65-46B2-9BAE-3E4D5F7216AF}"/>
    <cellStyle name="20% - Accent6 2 3 3 2 5" xfId="11745" xr:uid="{78B9458D-5C4E-4BEC-952B-E353CD0FEAA3}"/>
    <cellStyle name="20% - Accent6 2 3 3 3" xfId="5376" xr:uid="{00000000-0005-0000-0000-000053030000}"/>
    <cellStyle name="20% - Accent6 2 3 3 3 2" xfId="22259" xr:uid="{1A3DCABC-1929-4E30-A307-F3B8E7885EFD}"/>
    <cellStyle name="20% - Accent6 2 3 3 3 3" xfId="30705" xr:uid="{51D2CD0A-7260-4646-A3A5-500851D76ADE}"/>
    <cellStyle name="20% - Accent6 2 3 3 3 4" xfId="13818" xr:uid="{3E841AC1-03F1-4C3B-B871-A299C2768310}"/>
    <cellStyle name="20% - Accent6 2 3 3 4" xfId="18041" xr:uid="{681F9377-FBB5-4122-989D-1244A903C20E}"/>
    <cellStyle name="20% - Accent6 2 3 3 5" xfId="26486" xr:uid="{AC6C86F4-399F-4B46-93FD-8C51B99C593C}"/>
    <cellStyle name="20% - Accent6 2 3 3 6" xfId="9600" xr:uid="{51BD4B80-6DFF-4768-8D5A-4487B8C15701}"/>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24817" xr:uid="{8BD80477-FB41-4872-BAD0-BA6847DF7DAB}"/>
    <cellStyle name="20% - Accent6 2 3 4 2 2 3" xfId="33263" xr:uid="{43567A9D-9F7E-42CB-8156-76B51FB71A01}"/>
    <cellStyle name="20% - Accent6 2 3 4 2 2 4" xfId="16376" xr:uid="{83EC1442-BA78-4F75-8E62-7802D4F294E3}"/>
    <cellStyle name="20% - Accent6 2 3 4 2 3" xfId="20599" xr:uid="{22AD3D68-2043-4924-97BD-C0D4AC1E3B12}"/>
    <cellStyle name="20% - Accent6 2 3 4 2 4" xfId="29046" xr:uid="{4AABF0DA-CEFD-4D96-9F3C-2656B6522EB5}"/>
    <cellStyle name="20% - Accent6 2 3 4 2 5" xfId="12158" xr:uid="{D48BE5AD-FAFA-4020-801B-822C4CCB5FA2}"/>
    <cellStyle name="20% - Accent6 2 3 4 3" xfId="5789" xr:uid="{00000000-0005-0000-0000-000057030000}"/>
    <cellStyle name="20% - Accent6 2 3 4 3 2" xfId="22672" xr:uid="{880AF895-8DC4-4042-B917-FB5BF41D3B03}"/>
    <cellStyle name="20% - Accent6 2 3 4 3 3" xfId="31118" xr:uid="{E8217CA4-9D10-4144-8D96-D7356BFDEF88}"/>
    <cellStyle name="20% - Accent6 2 3 4 3 4" xfId="14231" xr:uid="{1B944FFD-752A-4BAF-B88D-C46C5F6DF9A9}"/>
    <cellStyle name="20% - Accent6 2 3 4 4" xfId="18454" xr:uid="{23DDB7F7-5C88-4004-A2A1-B4A143D2F064}"/>
    <cellStyle name="20% - Accent6 2 3 4 5" xfId="26899" xr:uid="{7F804EC3-F591-42B5-B787-E4ADE764A118}"/>
    <cellStyle name="20% - Accent6 2 3 4 6" xfId="10013" xr:uid="{0F65F63D-2F44-4F9A-94D4-F6AF311E09E1}"/>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25230" xr:uid="{D92DF5AB-4E59-4E96-BBE0-A1D70B24E0B5}"/>
    <cellStyle name="20% - Accent6 2 3 5 2 2 3" xfId="33676" xr:uid="{5BDE6DF8-1CF1-4B83-8874-C899BB4FCCC0}"/>
    <cellStyle name="20% - Accent6 2 3 5 2 2 4" xfId="16789" xr:uid="{11D17073-84F8-4743-AB03-DF5285EDA3EF}"/>
    <cellStyle name="20% - Accent6 2 3 5 2 3" xfId="21012" xr:uid="{50D666EF-D224-4E70-A8C2-FD602BC1ADE5}"/>
    <cellStyle name="20% - Accent6 2 3 5 2 4" xfId="29459" xr:uid="{20225B16-FABB-41B5-B44E-935795D18BE7}"/>
    <cellStyle name="20% - Accent6 2 3 5 2 5" xfId="12571" xr:uid="{305E1997-3539-48BE-A211-6C8D98F65F86}"/>
    <cellStyle name="20% - Accent6 2 3 5 3" xfId="6202" xr:uid="{00000000-0005-0000-0000-00005B030000}"/>
    <cellStyle name="20% - Accent6 2 3 5 3 2" xfId="23085" xr:uid="{BA2EC115-128A-4F59-9704-C8EFCFDA80D1}"/>
    <cellStyle name="20% - Accent6 2 3 5 3 3" xfId="31531" xr:uid="{E7FBBDFF-E8B8-4133-88A9-BED76CACDAC1}"/>
    <cellStyle name="20% - Accent6 2 3 5 3 4" xfId="14644" xr:uid="{1AEAB97E-2EB3-40A4-BC75-4780501C410B}"/>
    <cellStyle name="20% - Accent6 2 3 5 4" xfId="18867" xr:uid="{06C08AFC-6453-4349-AC23-88BB0CBFE159}"/>
    <cellStyle name="20% - Accent6 2 3 5 5" xfId="27312" xr:uid="{E01E4E65-51AA-4A94-94B7-47890FC08DAD}"/>
    <cellStyle name="20% - Accent6 2 3 5 6" xfId="10426" xr:uid="{36C3C2E2-758C-481A-876C-5032221140E8}"/>
    <cellStyle name="20% - Accent6 2 3 6" xfId="2308" xr:uid="{00000000-0005-0000-0000-00005C030000}"/>
    <cellStyle name="20% - Accent6 2 3 6 2" xfId="6615" xr:uid="{00000000-0005-0000-0000-00005D030000}"/>
    <cellStyle name="20% - Accent6 2 3 6 2 2" xfId="23498" xr:uid="{B140C589-0288-41D4-8316-6529430260BC}"/>
    <cellStyle name="20% - Accent6 2 3 6 2 3" xfId="31944" xr:uid="{CA91A5BD-D24A-4D3C-AF3C-EA463821DB55}"/>
    <cellStyle name="20% - Accent6 2 3 6 2 4" xfId="15057" xr:uid="{DECAB63E-090C-48C5-8213-BDB28873662E}"/>
    <cellStyle name="20% - Accent6 2 3 6 3" xfId="19280" xr:uid="{B0F735EA-AC70-40EC-A9A6-0EBC2010601F}"/>
    <cellStyle name="20% - Accent6 2 3 6 4" xfId="27725" xr:uid="{B267C2D1-BF7E-41CD-9563-45EAD53727AB}"/>
    <cellStyle name="20% - Accent6 2 3 6 5" xfId="10839" xr:uid="{89803E8A-842B-4E13-83BE-01525FD0BC8D}"/>
    <cellStyle name="20% - Accent6 2 3 7" xfId="4549" xr:uid="{00000000-0005-0000-0000-00005E030000}"/>
    <cellStyle name="20% - Accent6 2 3 7 2" xfId="21432" xr:uid="{CE4B3B2E-CCB9-4FC4-8E74-8F069ADB6E96}"/>
    <cellStyle name="20% - Accent6 2 3 7 3" xfId="29878" xr:uid="{6C3F995F-AD15-4A6B-BF6B-49B35F824370}"/>
    <cellStyle name="20% - Accent6 2 3 7 4" xfId="12991" xr:uid="{F13AAAAD-109F-40C4-9264-2BDACB3333E0}"/>
    <cellStyle name="20% - Accent6 2 3 8" xfId="17214" xr:uid="{7A7620FC-BC2E-4094-868D-C62548EAE3C2}"/>
    <cellStyle name="20% - Accent6 2 3 9" xfId="25656" xr:uid="{21DBCDFD-4DFA-4019-BC8A-A035E3107296}"/>
    <cellStyle name="20% - Accent6 2 4" xfId="611" xr:uid="{00000000-0005-0000-0000-00005F030000}"/>
    <cellStyle name="20% - Accent6 2 4 2" xfId="2882" xr:uid="{00000000-0005-0000-0000-000060030000}"/>
    <cellStyle name="20% - Accent6 2 4 2 2" xfId="7105" xr:uid="{00000000-0005-0000-0000-000061030000}"/>
    <cellStyle name="20% - Accent6 2 4 2 2 2" xfId="23988" xr:uid="{50279BA4-ADBB-4780-B3B8-580D14602327}"/>
    <cellStyle name="20% - Accent6 2 4 2 2 3" xfId="32434" xr:uid="{D8A048A3-7667-4683-B4FC-CEE732CD649B}"/>
    <cellStyle name="20% - Accent6 2 4 2 2 4" xfId="15547" xr:uid="{B8B5194D-599A-4A19-8CAA-16A38DB395D9}"/>
    <cellStyle name="20% - Accent6 2 4 2 3" xfId="19770" xr:uid="{4805CB8C-3EF0-41B9-94A6-ACD11F259EB0}"/>
    <cellStyle name="20% - Accent6 2 4 2 4" xfId="28217" xr:uid="{F1989D0B-C830-4C9C-AAD2-89559DB9A8F4}"/>
    <cellStyle name="20% - Accent6 2 4 2 5" xfId="11329" xr:uid="{2BB24436-858B-4D51-9DBC-BD4120E7EB6C}"/>
    <cellStyle name="20% - Accent6 2 4 3" xfId="4960" xr:uid="{00000000-0005-0000-0000-000062030000}"/>
    <cellStyle name="20% - Accent6 2 4 3 2" xfId="21843" xr:uid="{887A3DCD-8BCA-49A4-B7DF-D55D427FC921}"/>
    <cellStyle name="20% - Accent6 2 4 3 3" xfId="30289" xr:uid="{EF3F1E52-D382-4B76-A0DE-CA9406F11F17}"/>
    <cellStyle name="20% - Accent6 2 4 3 4" xfId="13402" xr:uid="{EAF763E5-2CE7-4C2D-B215-8E0A9E963BA7}"/>
    <cellStyle name="20% - Accent6 2 4 4" xfId="17625" xr:uid="{A226302A-9FE2-4DB6-8FC4-DFC543EFE6F4}"/>
    <cellStyle name="20% - Accent6 2 4 5" xfId="26070" xr:uid="{E714F666-EA36-4122-9A4F-CB34721E2B52}"/>
    <cellStyle name="20% - Accent6 2 4 6" xfId="9184" xr:uid="{539A09BA-74C9-4973-986A-800E39830406}"/>
    <cellStyle name="20% - Accent6 2 5" xfId="1064" xr:uid="{00000000-0005-0000-0000-000063030000}"/>
    <cellStyle name="20% - Accent6 2 5 2" xfId="3295" xr:uid="{00000000-0005-0000-0000-000064030000}"/>
    <cellStyle name="20% - Accent6 2 5 2 2" xfId="7518" xr:uid="{00000000-0005-0000-0000-000065030000}"/>
    <cellStyle name="20% - Accent6 2 5 2 2 2" xfId="24401" xr:uid="{64365688-7A22-403B-B557-AE6253E2B2EE}"/>
    <cellStyle name="20% - Accent6 2 5 2 2 3" xfId="32847" xr:uid="{05C9EBFB-D1CA-4A14-A47A-9511F7D234B2}"/>
    <cellStyle name="20% - Accent6 2 5 2 2 4" xfId="15960" xr:uid="{F20D7E84-DCEF-4F9B-B321-B537F9F1DF74}"/>
    <cellStyle name="20% - Accent6 2 5 2 3" xfId="20183" xr:uid="{D5B87C47-941B-44DC-9623-ABF644240731}"/>
    <cellStyle name="20% - Accent6 2 5 2 4" xfId="28630" xr:uid="{2A2C39D1-FC05-4A09-8477-B3201E174422}"/>
    <cellStyle name="20% - Accent6 2 5 2 5" xfId="11742" xr:uid="{5D447A9D-8737-433A-ABC9-A7E829AD7754}"/>
    <cellStyle name="20% - Accent6 2 5 3" xfId="5373" xr:uid="{00000000-0005-0000-0000-000066030000}"/>
    <cellStyle name="20% - Accent6 2 5 3 2" xfId="22256" xr:uid="{3BBF2661-4E0C-4632-A02D-D309A850C985}"/>
    <cellStyle name="20% - Accent6 2 5 3 3" xfId="30702" xr:uid="{A094B6C5-AEC5-4EBC-B634-716F52386DBF}"/>
    <cellStyle name="20% - Accent6 2 5 3 4" xfId="13815" xr:uid="{57A49863-D363-4036-BE62-2ACD0669512B}"/>
    <cellStyle name="20% - Accent6 2 5 4" xfId="18038" xr:uid="{7E878AC4-E78A-41B1-A188-FAF3FCADDDCD}"/>
    <cellStyle name="20% - Accent6 2 5 5" xfId="26483" xr:uid="{033C9AF4-D44D-4CA7-8BCD-26931C46C44B}"/>
    <cellStyle name="20% - Accent6 2 5 6" xfId="9597" xr:uid="{A0810E56-5058-40D4-9D24-1F282F54066A}"/>
    <cellStyle name="20% - Accent6 2 6" xfId="1478" xr:uid="{00000000-0005-0000-0000-000067030000}"/>
    <cellStyle name="20% - Accent6 2 6 2" xfId="3708" xr:uid="{00000000-0005-0000-0000-000068030000}"/>
    <cellStyle name="20% - Accent6 2 6 2 2" xfId="7931" xr:uid="{00000000-0005-0000-0000-000069030000}"/>
    <cellStyle name="20% - Accent6 2 6 2 2 2" xfId="24814" xr:uid="{E9D04009-64DD-4C61-AA57-D046A0842144}"/>
    <cellStyle name="20% - Accent6 2 6 2 2 3" xfId="33260" xr:uid="{FFB039B4-DCCB-4613-8E00-967B0DA8914F}"/>
    <cellStyle name="20% - Accent6 2 6 2 2 4" xfId="16373" xr:uid="{31CAF12E-0EAD-479C-90CC-44F6A3B7F02B}"/>
    <cellStyle name="20% - Accent6 2 6 2 3" xfId="20596" xr:uid="{2CEBE9EC-1591-4CCE-9C2E-91BC1AC61C94}"/>
    <cellStyle name="20% - Accent6 2 6 2 4" xfId="29043" xr:uid="{E71683B4-2FF2-48CF-ACA2-84169A8003E2}"/>
    <cellStyle name="20% - Accent6 2 6 2 5" xfId="12155" xr:uid="{ABBF1C47-850B-4B44-8292-98A3D19822C0}"/>
    <cellStyle name="20% - Accent6 2 6 3" xfId="5786" xr:uid="{00000000-0005-0000-0000-00006A030000}"/>
    <cellStyle name="20% - Accent6 2 6 3 2" xfId="22669" xr:uid="{41E9B9FD-FE61-4094-9B82-74F09BB92499}"/>
    <cellStyle name="20% - Accent6 2 6 3 3" xfId="31115" xr:uid="{ECF5114A-9A67-44BC-AFFB-A82F41DA55D4}"/>
    <cellStyle name="20% - Accent6 2 6 3 4" xfId="14228" xr:uid="{D6C75992-0DCE-477F-95E0-7434647A6AD4}"/>
    <cellStyle name="20% - Accent6 2 6 4" xfId="18451" xr:uid="{8FB309FA-C55C-485D-8261-BECA6BC9F25E}"/>
    <cellStyle name="20% - Accent6 2 6 5" xfId="26896" xr:uid="{545EC10E-ABFE-416D-A195-D349ED3216DE}"/>
    <cellStyle name="20% - Accent6 2 6 6" xfId="10010" xr:uid="{615B06B6-23C1-4B14-8B53-BB252A350FCE}"/>
    <cellStyle name="20% - Accent6 2 7" xfId="1892" xr:uid="{00000000-0005-0000-0000-00006B030000}"/>
    <cellStyle name="20% - Accent6 2 7 2" xfId="4121" xr:uid="{00000000-0005-0000-0000-00006C030000}"/>
    <cellStyle name="20% - Accent6 2 7 2 2" xfId="8344" xr:uid="{00000000-0005-0000-0000-00006D030000}"/>
    <cellStyle name="20% - Accent6 2 7 2 2 2" xfId="25227" xr:uid="{C5A23F53-C524-4D24-9D6E-19F75EB028A3}"/>
    <cellStyle name="20% - Accent6 2 7 2 2 3" xfId="33673" xr:uid="{30002DE6-ED22-4F51-88E6-B127BCDFE741}"/>
    <cellStyle name="20% - Accent6 2 7 2 2 4" xfId="16786" xr:uid="{6F100772-CF66-4998-8D4B-2AC1C023A986}"/>
    <cellStyle name="20% - Accent6 2 7 2 3" xfId="21009" xr:uid="{2E97C763-E23A-4CD9-B6A3-5100A08FA9A3}"/>
    <cellStyle name="20% - Accent6 2 7 2 4" xfId="29456" xr:uid="{3283D273-F43E-4F39-B14D-B11427F4660D}"/>
    <cellStyle name="20% - Accent6 2 7 2 5" xfId="12568" xr:uid="{05D1598D-16CF-4B97-8FCE-5B878BEDF0E3}"/>
    <cellStyle name="20% - Accent6 2 7 3" xfId="6199" xr:uid="{00000000-0005-0000-0000-00006E030000}"/>
    <cellStyle name="20% - Accent6 2 7 3 2" xfId="23082" xr:uid="{2B8F20DE-C075-4953-997B-14C01FBFC4E4}"/>
    <cellStyle name="20% - Accent6 2 7 3 3" xfId="31528" xr:uid="{7CD38390-54F4-4064-B2F9-B2BDCAE08D02}"/>
    <cellStyle name="20% - Accent6 2 7 3 4" xfId="14641" xr:uid="{F5618EAE-BDF6-41AD-B8F5-CF156F803351}"/>
    <cellStyle name="20% - Accent6 2 7 4" xfId="18864" xr:uid="{F02A1D68-78B7-4F80-BE4A-FE4CF15922B8}"/>
    <cellStyle name="20% - Accent6 2 7 5" xfId="27309" xr:uid="{0DF8504B-967A-4D3D-AAF1-4D93411BD07D}"/>
    <cellStyle name="20% - Accent6 2 7 6" xfId="10423" xr:uid="{DB08F5C0-98FB-403D-A93B-D028902F552D}"/>
    <cellStyle name="20% - Accent6 2 8" xfId="2305" xr:uid="{00000000-0005-0000-0000-00006F030000}"/>
    <cellStyle name="20% - Accent6 2 8 2" xfId="6612" xr:uid="{00000000-0005-0000-0000-000070030000}"/>
    <cellStyle name="20% - Accent6 2 8 2 2" xfId="23495" xr:uid="{0F70D0A7-71B4-4BF9-AC9C-3DB84DAABC99}"/>
    <cellStyle name="20% - Accent6 2 8 2 3" xfId="31941" xr:uid="{9D96FBB9-AEFA-42B6-9639-370F618CB10A}"/>
    <cellStyle name="20% - Accent6 2 8 2 4" xfId="15054" xr:uid="{A5ABDD1E-3116-471A-B38A-F0F46F4176CE}"/>
    <cellStyle name="20% - Accent6 2 8 3" xfId="19277" xr:uid="{67E6C769-0048-45FD-BDC2-44247C2AFAEC}"/>
    <cellStyle name="20% - Accent6 2 8 4" xfId="27722" xr:uid="{6D0FA579-404F-4301-BE99-E7B3CBCB4CF1}"/>
    <cellStyle name="20% - Accent6 2 8 5" xfId="10836" xr:uid="{28FD6C71-DE01-469F-A33F-F75CF6EE42E2}"/>
    <cellStyle name="20% - Accent6 2 9" xfId="4546" xr:uid="{00000000-0005-0000-0000-000071030000}"/>
    <cellStyle name="20% - Accent6 2 9 2" xfId="21429" xr:uid="{8986EFBD-98F7-45A4-B4C4-65EA45DE3449}"/>
    <cellStyle name="20% - Accent6 2 9 3" xfId="29875" xr:uid="{74685A13-A576-4897-A4CE-D48B695F1795}"/>
    <cellStyle name="20% - Accent6 2 9 4" xfId="12988" xr:uid="{A1AF9471-48C8-4B54-8AA9-9C079958B60D}"/>
    <cellStyle name="20% - Accent6 3" xfId="46" xr:uid="{00000000-0005-0000-0000-000072030000}"/>
    <cellStyle name="20% - Accent6 3 10" xfId="25657" xr:uid="{FCB0B23F-B0DA-4255-8029-06DE44F51E33}"/>
    <cellStyle name="20% - Accent6 3 11" xfId="8774" xr:uid="{A7A25B82-16E0-466D-879B-6BDDC744FE72}"/>
    <cellStyle name="20% - Accent6 3 2" xfId="47" xr:uid="{00000000-0005-0000-0000-000073030000}"/>
    <cellStyle name="20% - Accent6 3 2 10" xfId="8775" xr:uid="{0191428D-0B12-4A8C-80C2-DA53D044BD39}"/>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23993" xr:uid="{5701E6D5-9530-4A8F-8FC7-AB4E694DE79D}"/>
    <cellStyle name="20% - Accent6 3 2 2 2 2 3" xfId="32439" xr:uid="{D09BA3EF-397A-417F-8475-682CD4007622}"/>
    <cellStyle name="20% - Accent6 3 2 2 2 2 4" xfId="15552" xr:uid="{95FFB1B1-CFA6-44BE-8AEF-6E9F7765C7CA}"/>
    <cellStyle name="20% - Accent6 3 2 2 2 3" xfId="19775" xr:uid="{F4F548F7-BB15-4E15-A2C8-2BEE7DE2DE5A}"/>
    <cellStyle name="20% - Accent6 3 2 2 2 4" xfId="28222" xr:uid="{F2331384-50A6-49BC-83AB-05ECDA02A99F}"/>
    <cellStyle name="20% - Accent6 3 2 2 2 5" xfId="11334" xr:uid="{8787608E-F992-4B82-AAC2-0AD01CBE1568}"/>
    <cellStyle name="20% - Accent6 3 2 2 3" xfId="4965" xr:uid="{00000000-0005-0000-0000-000077030000}"/>
    <cellStyle name="20% - Accent6 3 2 2 3 2" xfId="21848" xr:uid="{782A0FC9-25B2-43DA-8159-B8E4B92B8DF8}"/>
    <cellStyle name="20% - Accent6 3 2 2 3 3" xfId="30294" xr:uid="{F1BF8E07-1929-4C3E-97C3-8C80450B300B}"/>
    <cellStyle name="20% - Accent6 3 2 2 3 4" xfId="13407" xr:uid="{4C26513B-0F8A-4A07-8AF0-D93FA1E760F5}"/>
    <cellStyle name="20% - Accent6 3 2 2 4" xfId="17630" xr:uid="{80B1EADE-F048-49A5-915A-03C9CAF535BF}"/>
    <cellStyle name="20% - Accent6 3 2 2 5" xfId="26075" xr:uid="{B3CF3FB3-1FB3-40B3-840D-4829757A7DC3}"/>
    <cellStyle name="20% - Accent6 3 2 2 6" xfId="9189" xr:uid="{EB44F582-55EF-416C-A972-720FE79E9FBA}"/>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24406" xr:uid="{C473A3AA-E015-4B2D-8809-CB2C27BA0CA7}"/>
    <cellStyle name="20% - Accent6 3 2 3 2 2 3" xfId="32852" xr:uid="{D12C45C5-8D43-4461-AAEF-1077F0B81C34}"/>
    <cellStyle name="20% - Accent6 3 2 3 2 2 4" xfId="15965" xr:uid="{B34900E4-AD91-42BC-B454-FFC919528953}"/>
    <cellStyle name="20% - Accent6 3 2 3 2 3" xfId="20188" xr:uid="{A6DBA28F-9198-4BF2-B6CA-283CA8E060C7}"/>
    <cellStyle name="20% - Accent6 3 2 3 2 4" xfId="28635" xr:uid="{1E284C42-D76B-47BE-B6F7-6D919E6B7C43}"/>
    <cellStyle name="20% - Accent6 3 2 3 2 5" xfId="11747" xr:uid="{AD509BC2-7792-48D0-94AE-34D8960ED822}"/>
    <cellStyle name="20% - Accent6 3 2 3 3" xfId="5378" xr:uid="{00000000-0005-0000-0000-00007B030000}"/>
    <cellStyle name="20% - Accent6 3 2 3 3 2" xfId="22261" xr:uid="{1EBF0AF2-8D19-4DCC-9506-131D5FDCA47D}"/>
    <cellStyle name="20% - Accent6 3 2 3 3 3" xfId="30707" xr:uid="{76354BC9-0ED6-4036-B478-70CE85FB3868}"/>
    <cellStyle name="20% - Accent6 3 2 3 3 4" xfId="13820" xr:uid="{01D7C944-6A8E-4670-B0EF-DABA4C3A17A2}"/>
    <cellStyle name="20% - Accent6 3 2 3 4" xfId="18043" xr:uid="{3FBCD5A9-76A9-4686-A68B-31F9CE868C99}"/>
    <cellStyle name="20% - Accent6 3 2 3 5" xfId="26488" xr:uid="{CD8F5E32-B152-482C-9025-4E14E12800F1}"/>
    <cellStyle name="20% - Accent6 3 2 3 6" xfId="9602" xr:uid="{6F45A9CA-5F4A-4A4B-84EC-738946C4AE99}"/>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24819" xr:uid="{BF227198-DA7D-4EF7-813B-B00D7948B2FC}"/>
    <cellStyle name="20% - Accent6 3 2 4 2 2 3" xfId="33265" xr:uid="{AB8D2433-4E7C-408D-83F3-57E382F021E1}"/>
    <cellStyle name="20% - Accent6 3 2 4 2 2 4" xfId="16378" xr:uid="{BB40CC69-0603-489B-837B-BBD85D36EA49}"/>
    <cellStyle name="20% - Accent6 3 2 4 2 3" xfId="20601" xr:uid="{262EFE96-DA0E-4C55-83EE-22E058E674C5}"/>
    <cellStyle name="20% - Accent6 3 2 4 2 4" xfId="29048" xr:uid="{BAD7A510-9964-450F-9576-A4E295772AE8}"/>
    <cellStyle name="20% - Accent6 3 2 4 2 5" xfId="12160" xr:uid="{4771E62E-4F6B-4423-9A95-FAD633C1DC17}"/>
    <cellStyle name="20% - Accent6 3 2 4 3" xfId="5791" xr:uid="{00000000-0005-0000-0000-00007F030000}"/>
    <cellStyle name="20% - Accent6 3 2 4 3 2" xfId="22674" xr:uid="{3D3D120B-5920-45A0-B5ED-A6A356468ABC}"/>
    <cellStyle name="20% - Accent6 3 2 4 3 3" xfId="31120" xr:uid="{6F300774-03EF-498B-B835-7583D4742287}"/>
    <cellStyle name="20% - Accent6 3 2 4 3 4" xfId="14233" xr:uid="{AAD21545-8F2E-4B43-B35D-DE6EE326EDDB}"/>
    <cellStyle name="20% - Accent6 3 2 4 4" xfId="18456" xr:uid="{DD285D69-19B4-4EC8-A206-C3B94E07478D}"/>
    <cellStyle name="20% - Accent6 3 2 4 5" xfId="26901" xr:uid="{4781A79C-428B-4BB9-9EE7-E823641FD5BF}"/>
    <cellStyle name="20% - Accent6 3 2 4 6" xfId="10015" xr:uid="{6DFFC0ED-F20E-491D-ADE7-6EA62CD31940}"/>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25232" xr:uid="{41619B56-74BF-4EA1-97CA-2473078A6595}"/>
    <cellStyle name="20% - Accent6 3 2 5 2 2 3" xfId="33678" xr:uid="{5B62266C-4A55-442C-8C21-14D8939BF825}"/>
    <cellStyle name="20% - Accent6 3 2 5 2 2 4" xfId="16791" xr:uid="{C4D5284F-4FFE-48F9-97BD-1D16C330CBED}"/>
    <cellStyle name="20% - Accent6 3 2 5 2 3" xfId="21014" xr:uid="{D2268D6E-FF09-4BA3-9876-43C8E5E64F87}"/>
    <cellStyle name="20% - Accent6 3 2 5 2 4" xfId="29461" xr:uid="{74B8CF06-CEC6-460E-A43E-6DA6B48AB4CC}"/>
    <cellStyle name="20% - Accent6 3 2 5 2 5" xfId="12573" xr:uid="{175D932D-36D3-49CD-A08D-CD70C89486A2}"/>
    <cellStyle name="20% - Accent6 3 2 5 3" xfId="6204" xr:uid="{00000000-0005-0000-0000-000083030000}"/>
    <cellStyle name="20% - Accent6 3 2 5 3 2" xfId="23087" xr:uid="{7B7780FB-C460-44AA-8813-DE0CBD62FEF3}"/>
    <cellStyle name="20% - Accent6 3 2 5 3 3" xfId="31533" xr:uid="{4336F3FD-08E1-46D4-83C8-D9C624551221}"/>
    <cellStyle name="20% - Accent6 3 2 5 3 4" xfId="14646" xr:uid="{348B25A5-BA95-452E-8058-7ACB20C97656}"/>
    <cellStyle name="20% - Accent6 3 2 5 4" xfId="18869" xr:uid="{72211A31-6BDB-4036-A4C0-F0478D21DA45}"/>
    <cellStyle name="20% - Accent6 3 2 5 5" xfId="27314" xr:uid="{570777A3-0A90-4259-9B02-07A77C5CD8BD}"/>
    <cellStyle name="20% - Accent6 3 2 5 6" xfId="10428" xr:uid="{EAA49722-F49C-4D34-8225-5125922AAA3A}"/>
    <cellStyle name="20% - Accent6 3 2 6" xfId="2310" xr:uid="{00000000-0005-0000-0000-000084030000}"/>
    <cellStyle name="20% - Accent6 3 2 6 2" xfId="6617" xr:uid="{00000000-0005-0000-0000-000085030000}"/>
    <cellStyle name="20% - Accent6 3 2 6 2 2" xfId="23500" xr:uid="{37F1248C-3B55-48DF-A9B9-B9F18F461ABA}"/>
    <cellStyle name="20% - Accent6 3 2 6 2 3" xfId="31946" xr:uid="{3DD51C29-F961-4D13-B6C6-3C5BCD8D8D04}"/>
    <cellStyle name="20% - Accent6 3 2 6 2 4" xfId="15059" xr:uid="{D44D173D-89DD-4A4A-8309-B30A1FD8BD02}"/>
    <cellStyle name="20% - Accent6 3 2 6 3" xfId="19282" xr:uid="{5E1EC432-2C60-4EF1-A259-ED58C1FAF9C5}"/>
    <cellStyle name="20% - Accent6 3 2 6 4" xfId="27727" xr:uid="{AE560CC9-CE20-4D05-9ED0-96E38E9EC672}"/>
    <cellStyle name="20% - Accent6 3 2 6 5" xfId="10841" xr:uid="{A22252D0-E896-45AE-9825-94E98073057A}"/>
    <cellStyle name="20% - Accent6 3 2 7" xfId="4551" xr:uid="{00000000-0005-0000-0000-000086030000}"/>
    <cellStyle name="20% - Accent6 3 2 7 2" xfId="21434" xr:uid="{B1D7E873-E321-4CBB-B49E-D08D21659F1E}"/>
    <cellStyle name="20% - Accent6 3 2 7 3" xfId="29880" xr:uid="{3D9E98E1-ADA7-4179-8D87-8D72B4F6BB58}"/>
    <cellStyle name="20% - Accent6 3 2 7 4" xfId="12993" xr:uid="{3C221738-88D7-49C5-8E85-65C05FA933BE}"/>
    <cellStyle name="20% - Accent6 3 2 8" xfId="17216" xr:uid="{D119F5CC-F339-4BDE-84FC-DF82522F0C57}"/>
    <cellStyle name="20% - Accent6 3 2 9" xfId="25658" xr:uid="{797470F7-617E-4DFA-AC9B-C8833F4BD18A}"/>
    <cellStyle name="20% - Accent6 3 3" xfId="615" xr:uid="{00000000-0005-0000-0000-000087030000}"/>
    <cellStyle name="20% - Accent6 3 3 2" xfId="2886" xr:uid="{00000000-0005-0000-0000-000088030000}"/>
    <cellStyle name="20% - Accent6 3 3 2 2" xfId="7109" xr:uid="{00000000-0005-0000-0000-000089030000}"/>
    <cellStyle name="20% - Accent6 3 3 2 2 2" xfId="23992" xr:uid="{222252A6-F393-4713-92C4-838D1A616136}"/>
    <cellStyle name="20% - Accent6 3 3 2 2 3" xfId="32438" xr:uid="{83AC53E7-20C5-4157-B431-1CBD1BE1DCA2}"/>
    <cellStyle name="20% - Accent6 3 3 2 2 4" xfId="15551" xr:uid="{B5A3C06A-9B19-4743-B9BB-AA95146418A2}"/>
    <cellStyle name="20% - Accent6 3 3 2 3" xfId="19774" xr:uid="{970CDCA5-3DB7-4642-96BB-22C526B1BD60}"/>
    <cellStyle name="20% - Accent6 3 3 2 4" xfId="28221" xr:uid="{A3F2ADFE-1E9D-41C7-9844-D7C82A44B46A}"/>
    <cellStyle name="20% - Accent6 3 3 2 5" xfId="11333" xr:uid="{93C67362-255B-408B-AEBB-BA9E8EC27491}"/>
    <cellStyle name="20% - Accent6 3 3 3" xfId="4964" xr:uid="{00000000-0005-0000-0000-00008A030000}"/>
    <cellStyle name="20% - Accent6 3 3 3 2" xfId="21847" xr:uid="{2D2085FA-1997-4037-ADB2-BFA90C519458}"/>
    <cellStyle name="20% - Accent6 3 3 3 3" xfId="30293" xr:uid="{0413D291-5BBA-4010-A41E-8EA4735132C6}"/>
    <cellStyle name="20% - Accent6 3 3 3 4" xfId="13406" xr:uid="{D8D0D7DF-F8B5-432B-9F0C-C732E474040F}"/>
    <cellStyle name="20% - Accent6 3 3 4" xfId="17629" xr:uid="{18E260CE-5998-4C61-A3AC-2AAE6F7DD687}"/>
    <cellStyle name="20% - Accent6 3 3 5" xfId="26074" xr:uid="{949BB5ED-247D-4E80-9416-D08DE61C67A2}"/>
    <cellStyle name="20% - Accent6 3 3 6" xfId="9188" xr:uid="{48F23E97-5B9D-4CCC-BBB2-C7DE1D2E4947}"/>
    <cellStyle name="20% - Accent6 3 4" xfId="1068" xr:uid="{00000000-0005-0000-0000-00008B030000}"/>
    <cellStyle name="20% - Accent6 3 4 2" xfId="3299" xr:uid="{00000000-0005-0000-0000-00008C030000}"/>
    <cellStyle name="20% - Accent6 3 4 2 2" xfId="7522" xr:uid="{00000000-0005-0000-0000-00008D030000}"/>
    <cellStyle name="20% - Accent6 3 4 2 2 2" xfId="24405" xr:uid="{73166C8F-BD26-4F40-B568-ED6300617AFC}"/>
    <cellStyle name="20% - Accent6 3 4 2 2 3" xfId="32851" xr:uid="{FF454F79-08CC-4FF2-ACDF-C9D0A7DDFBCE}"/>
    <cellStyle name="20% - Accent6 3 4 2 2 4" xfId="15964" xr:uid="{808102C7-F995-4905-BB5E-57ED3476EB6D}"/>
    <cellStyle name="20% - Accent6 3 4 2 3" xfId="20187" xr:uid="{BC524F5A-13A1-49ED-A26E-1386CC09CB14}"/>
    <cellStyle name="20% - Accent6 3 4 2 4" xfId="28634" xr:uid="{742617D5-A191-4F4D-83F5-5BB8BCCFB01B}"/>
    <cellStyle name="20% - Accent6 3 4 2 5" xfId="11746" xr:uid="{D2F2335F-3540-4711-82D6-18F0E5F1DE01}"/>
    <cellStyle name="20% - Accent6 3 4 3" xfId="5377" xr:uid="{00000000-0005-0000-0000-00008E030000}"/>
    <cellStyle name="20% - Accent6 3 4 3 2" xfId="22260" xr:uid="{5D52A344-1F15-40C9-A761-08EF3B5BFEFD}"/>
    <cellStyle name="20% - Accent6 3 4 3 3" xfId="30706" xr:uid="{96F1A281-0F37-434D-93FA-239FDF0BD71E}"/>
    <cellStyle name="20% - Accent6 3 4 3 4" xfId="13819" xr:uid="{683949EA-A6FD-4A08-9610-9062C24C5019}"/>
    <cellStyle name="20% - Accent6 3 4 4" xfId="18042" xr:uid="{20609AA4-D011-45B8-8844-B69117370369}"/>
    <cellStyle name="20% - Accent6 3 4 5" xfId="26487" xr:uid="{5F36CE56-8323-4210-834C-A91586024929}"/>
    <cellStyle name="20% - Accent6 3 4 6" xfId="9601" xr:uid="{BCB52744-6929-454E-B374-86614519D0FF}"/>
    <cellStyle name="20% - Accent6 3 5" xfId="1482" xr:uid="{00000000-0005-0000-0000-00008F030000}"/>
    <cellStyle name="20% - Accent6 3 5 2" xfId="3712" xr:uid="{00000000-0005-0000-0000-000090030000}"/>
    <cellStyle name="20% - Accent6 3 5 2 2" xfId="7935" xr:uid="{00000000-0005-0000-0000-000091030000}"/>
    <cellStyle name="20% - Accent6 3 5 2 2 2" xfId="24818" xr:uid="{F5939BB6-55FD-4674-A1A0-5F7097FDBFB4}"/>
    <cellStyle name="20% - Accent6 3 5 2 2 3" xfId="33264" xr:uid="{76F984F1-2DD5-42D3-B9B2-4A8A0A2BBE47}"/>
    <cellStyle name="20% - Accent6 3 5 2 2 4" xfId="16377" xr:uid="{9FE54D6D-1CF1-4E9F-9A55-C8C23F1C7A78}"/>
    <cellStyle name="20% - Accent6 3 5 2 3" xfId="20600" xr:uid="{994FA70D-47B8-4C47-B794-410F668E38F1}"/>
    <cellStyle name="20% - Accent6 3 5 2 4" xfId="29047" xr:uid="{C09FABCC-48A7-4EDF-9440-2074720738BA}"/>
    <cellStyle name="20% - Accent6 3 5 2 5" xfId="12159" xr:uid="{0D11FDEA-3BDD-4F22-872E-70C220312B8B}"/>
    <cellStyle name="20% - Accent6 3 5 3" xfId="5790" xr:uid="{00000000-0005-0000-0000-000092030000}"/>
    <cellStyle name="20% - Accent6 3 5 3 2" xfId="22673" xr:uid="{FFAC877C-419A-44D5-9F57-8BD9B7DEEC5E}"/>
    <cellStyle name="20% - Accent6 3 5 3 3" xfId="31119" xr:uid="{3B8293A6-A6E3-4AED-88FB-2A8C7E080765}"/>
    <cellStyle name="20% - Accent6 3 5 3 4" xfId="14232" xr:uid="{6F656FD5-DEEA-467C-B04F-90C8551C9CD4}"/>
    <cellStyle name="20% - Accent6 3 5 4" xfId="18455" xr:uid="{8398DFF7-5D6D-494F-B010-FCAB4D0074F9}"/>
    <cellStyle name="20% - Accent6 3 5 5" xfId="26900" xr:uid="{5AC899A3-B9EE-46E9-83F5-DA7E0BA5DF7F}"/>
    <cellStyle name="20% - Accent6 3 5 6" xfId="10014" xr:uid="{D0C30664-3804-4482-BE76-0B6BC983B3A9}"/>
    <cellStyle name="20% - Accent6 3 6" xfId="1896" xr:uid="{00000000-0005-0000-0000-000093030000}"/>
    <cellStyle name="20% - Accent6 3 6 2" xfId="4125" xr:uid="{00000000-0005-0000-0000-000094030000}"/>
    <cellStyle name="20% - Accent6 3 6 2 2" xfId="8348" xr:uid="{00000000-0005-0000-0000-000095030000}"/>
    <cellStyle name="20% - Accent6 3 6 2 2 2" xfId="25231" xr:uid="{7FA68742-7939-49BB-AF83-16443EF19617}"/>
    <cellStyle name="20% - Accent6 3 6 2 2 3" xfId="33677" xr:uid="{2CCFD2E2-3E98-4D02-9CD9-2A354F76BFBD}"/>
    <cellStyle name="20% - Accent6 3 6 2 2 4" xfId="16790" xr:uid="{98391FD7-09E4-4C34-A0D4-E991E73B1677}"/>
    <cellStyle name="20% - Accent6 3 6 2 3" xfId="21013" xr:uid="{C0292F03-7D1F-493C-9608-55D245FE9B93}"/>
    <cellStyle name="20% - Accent6 3 6 2 4" xfId="29460" xr:uid="{5C6498F5-F6D9-4FAA-AAA5-E3A3B1FDD75D}"/>
    <cellStyle name="20% - Accent6 3 6 2 5" xfId="12572" xr:uid="{A55E05B4-7585-4708-82D2-A4CFF1AF32D5}"/>
    <cellStyle name="20% - Accent6 3 6 3" xfId="6203" xr:uid="{00000000-0005-0000-0000-000096030000}"/>
    <cellStyle name="20% - Accent6 3 6 3 2" xfId="23086" xr:uid="{E52AE694-8494-46F4-BB93-C10003FDADC3}"/>
    <cellStyle name="20% - Accent6 3 6 3 3" xfId="31532" xr:uid="{CA5160C0-8356-433B-9563-5C95D5F5C564}"/>
    <cellStyle name="20% - Accent6 3 6 3 4" xfId="14645" xr:uid="{AB4F0D8E-0D16-4FF9-90D6-0F8433843094}"/>
    <cellStyle name="20% - Accent6 3 6 4" xfId="18868" xr:uid="{8FC3F50C-F55E-4F79-968E-DD006C75F5FF}"/>
    <cellStyle name="20% - Accent6 3 6 5" xfId="27313" xr:uid="{45490A27-9558-4BA2-B3B3-AFE555876A4B}"/>
    <cellStyle name="20% - Accent6 3 6 6" xfId="10427" xr:uid="{171672E7-A88E-45DB-B3A3-D6EFA4976C6A}"/>
    <cellStyle name="20% - Accent6 3 7" xfId="2309" xr:uid="{00000000-0005-0000-0000-000097030000}"/>
    <cellStyle name="20% - Accent6 3 7 2" xfId="6616" xr:uid="{00000000-0005-0000-0000-000098030000}"/>
    <cellStyle name="20% - Accent6 3 7 2 2" xfId="23499" xr:uid="{2F2373B6-29B8-47EC-BFAF-E3BF6F6F1FF9}"/>
    <cellStyle name="20% - Accent6 3 7 2 3" xfId="31945" xr:uid="{FB495E42-7D23-459F-9CA7-F73D6268CA35}"/>
    <cellStyle name="20% - Accent6 3 7 2 4" xfId="15058" xr:uid="{50780592-A651-466D-90FA-D7F5205E9D06}"/>
    <cellStyle name="20% - Accent6 3 7 3" xfId="19281" xr:uid="{BDF39BE8-E260-4F5D-94F7-7183F0F8F7A0}"/>
    <cellStyle name="20% - Accent6 3 7 4" xfId="27726" xr:uid="{CB925C5F-3C6F-4190-BFC8-D45AA1302D3C}"/>
    <cellStyle name="20% - Accent6 3 7 5" xfId="10840" xr:uid="{23A9E74E-3496-49C4-A45F-7885DF13D9C8}"/>
    <cellStyle name="20% - Accent6 3 8" xfId="4550" xr:uid="{00000000-0005-0000-0000-000099030000}"/>
    <cellStyle name="20% - Accent6 3 8 2" xfId="21433" xr:uid="{D7CA63AC-B60E-447D-B61E-89AD33CF6FF0}"/>
    <cellStyle name="20% - Accent6 3 8 3" xfId="29879" xr:uid="{B76AD7C2-6B60-4D4E-91CC-0AE680013A73}"/>
    <cellStyle name="20% - Accent6 3 8 4" xfId="12992" xr:uid="{05189D45-CB1C-4907-970C-2C96741D35B9}"/>
    <cellStyle name="20% - Accent6 3 9" xfId="17215" xr:uid="{099F2C22-D7B3-4736-A795-BB5E730D7489}"/>
    <cellStyle name="20% - Accent6 4" xfId="48" xr:uid="{00000000-0005-0000-0000-00009A030000}"/>
    <cellStyle name="20% - Accent6 4 10" xfId="8776" xr:uid="{895B5787-2953-452A-8EC8-189DC04FBB60}"/>
    <cellStyle name="20% - Accent6 4 2" xfId="617" xr:uid="{00000000-0005-0000-0000-00009B030000}"/>
    <cellStyle name="20% - Accent6 4 2 2" xfId="2888" xr:uid="{00000000-0005-0000-0000-00009C030000}"/>
    <cellStyle name="20% - Accent6 4 2 2 2" xfId="7111" xr:uid="{00000000-0005-0000-0000-00009D030000}"/>
    <cellStyle name="20% - Accent6 4 2 2 2 2" xfId="23994" xr:uid="{8687AA72-8F93-49CA-A3C8-95C5F974F24D}"/>
    <cellStyle name="20% - Accent6 4 2 2 2 3" xfId="32440" xr:uid="{2127167A-162C-43B5-AC75-DD7CDD34FE96}"/>
    <cellStyle name="20% - Accent6 4 2 2 2 4" xfId="15553" xr:uid="{0CE00B80-697D-4950-B1D8-2EEA07851D5C}"/>
    <cellStyle name="20% - Accent6 4 2 2 3" xfId="19776" xr:uid="{087CA38D-75A7-4AA1-93C8-123FE912AD44}"/>
    <cellStyle name="20% - Accent6 4 2 2 4" xfId="28223" xr:uid="{3BB69A59-54ED-46D9-9E09-19B7BD0B71C9}"/>
    <cellStyle name="20% - Accent6 4 2 2 5" xfId="11335" xr:uid="{78DF8B9E-EBBD-4DC2-99EE-8DB3095F83B6}"/>
    <cellStyle name="20% - Accent6 4 2 3" xfId="4966" xr:uid="{00000000-0005-0000-0000-00009E030000}"/>
    <cellStyle name="20% - Accent6 4 2 3 2" xfId="21849" xr:uid="{60997A17-AF12-473F-8AB3-E1E97766744C}"/>
    <cellStyle name="20% - Accent6 4 2 3 3" xfId="30295" xr:uid="{A93937B1-5489-4DAB-B85E-EA73D9F99F27}"/>
    <cellStyle name="20% - Accent6 4 2 3 4" xfId="13408" xr:uid="{CA0C0340-D5DA-4CFE-A745-FEF9102F26EB}"/>
    <cellStyle name="20% - Accent6 4 2 4" xfId="17631" xr:uid="{4B8455D8-8F0C-4E3D-B7DB-9F66813AABCE}"/>
    <cellStyle name="20% - Accent6 4 2 5" xfId="26076" xr:uid="{8D379126-04B1-4E56-9AC0-13A2A63A3BB2}"/>
    <cellStyle name="20% - Accent6 4 2 6" xfId="9190" xr:uid="{D9C930EA-6376-46F2-B112-93B4088F21D4}"/>
    <cellStyle name="20% - Accent6 4 3" xfId="1070" xr:uid="{00000000-0005-0000-0000-00009F030000}"/>
    <cellStyle name="20% - Accent6 4 3 2" xfId="3301" xr:uid="{00000000-0005-0000-0000-0000A0030000}"/>
    <cellStyle name="20% - Accent6 4 3 2 2" xfId="7524" xr:uid="{00000000-0005-0000-0000-0000A1030000}"/>
    <cellStyle name="20% - Accent6 4 3 2 2 2" xfId="24407" xr:uid="{79C9FDA0-F6F7-4003-83EA-AD67DFD72519}"/>
    <cellStyle name="20% - Accent6 4 3 2 2 3" xfId="32853" xr:uid="{12E5ED7A-6534-47D0-A7F1-42C9E23DC649}"/>
    <cellStyle name="20% - Accent6 4 3 2 2 4" xfId="15966" xr:uid="{3D49F0B1-4FEB-43CE-A53F-6550CAE4315E}"/>
    <cellStyle name="20% - Accent6 4 3 2 3" xfId="20189" xr:uid="{EAD8392F-42CF-4166-99E0-6E1BA2267478}"/>
    <cellStyle name="20% - Accent6 4 3 2 4" xfId="28636" xr:uid="{C313EDD8-C838-422B-83E4-6FA8DC481E4D}"/>
    <cellStyle name="20% - Accent6 4 3 2 5" xfId="11748" xr:uid="{288BA420-F9D5-48A7-BA00-CAD748FEBC0B}"/>
    <cellStyle name="20% - Accent6 4 3 3" xfId="5379" xr:uid="{00000000-0005-0000-0000-0000A2030000}"/>
    <cellStyle name="20% - Accent6 4 3 3 2" xfId="22262" xr:uid="{A4DB1744-14B3-4F8A-9485-EB91DACF3BAB}"/>
    <cellStyle name="20% - Accent6 4 3 3 3" xfId="30708" xr:uid="{6E0B8E13-AA1A-422C-988F-EF62500E60BA}"/>
    <cellStyle name="20% - Accent6 4 3 3 4" xfId="13821" xr:uid="{930D2BE3-DF28-4AC3-8627-EA4A853C07FD}"/>
    <cellStyle name="20% - Accent6 4 3 4" xfId="18044" xr:uid="{D41655E8-783A-4AFC-AD2B-DF37E4EE7087}"/>
    <cellStyle name="20% - Accent6 4 3 5" xfId="26489" xr:uid="{5625889A-96EF-4639-BFBD-51088EC20E48}"/>
    <cellStyle name="20% - Accent6 4 3 6" xfId="9603" xr:uid="{D45A4202-689D-4C86-B91B-DE26D7E21A28}"/>
    <cellStyle name="20% - Accent6 4 4" xfId="1484" xr:uid="{00000000-0005-0000-0000-0000A3030000}"/>
    <cellStyle name="20% - Accent6 4 4 2" xfId="3714" xr:uid="{00000000-0005-0000-0000-0000A4030000}"/>
    <cellStyle name="20% - Accent6 4 4 2 2" xfId="7937" xr:uid="{00000000-0005-0000-0000-0000A5030000}"/>
    <cellStyle name="20% - Accent6 4 4 2 2 2" xfId="24820" xr:uid="{FA0948CA-12B2-4AFF-8A1B-758972BE20CA}"/>
    <cellStyle name="20% - Accent6 4 4 2 2 3" xfId="33266" xr:uid="{1D9E69F7-6045-400B-9753-5FA574E184D4}"/>
    <cellStyle name="20% - Accent6 4 4 2 2 4" xfId="16379" xr:uid="{183983D5-94F9-4594-A98C-28A05A72BDFA}"/>
    <cellStyle name="20% - Accent6 4 4 2 3" xfId="20602" xr:uid="{A3FDD624-897B-47B5-9269-ACBF6C5E3BEA}"/>
    <cellStyle name="20% - Accent6 4 4 2 4" xfId="29049" xr:uid="{A17476F3-FFC6-4DD2-98FD-5F963656C478}"/>
    <cellStyle name="20% - Accent6 4 4 2 5" xfId="12161" xr:uid="{094BB059-E9F9-4D64-811D-AA7A28019F3D}"/>
    <cellStyle name="20% - Accent6 4 4 3" xfId="5792" xr:uid="{00000000-0005-0000-0000-0000A6030000}"/>
    <cellStyle name="20% - Accent6 4 4 3 2" xfId="22675" xr:uid="{31D58150-C38D-4DEF-82DD-B43A161690E0}"/>
    <cellStyle name="20% - Accent6 4 4 3 3" xfId="31121" xr:uid="{17547ECF-0DD4-4744-A4EC-B66B621D5D40}"/>
    <cellStyle name="20% - Accent6 4 4 3 4" xfId="14234" xr:uid="{6A1BFF9F-8C58-468C-AE84-CE738BA63A22}"/>
    <cellStyle name="20% - Accent6 4 4 4" xfId="18457" xr:uid="{11006477-393C-4437-8B00-90B2CC16CA60}"/>
    <cellStyle name="20% - Accent6 4 4 5" xfId="26902" xr:uid="{29941008-7B1F-4475-86F6-42FEC21398CA}"/>
    <cellStyle name="20% - Accent6 4 4 6" xfId="10016" xr:uid="{EC58469E-AB6F-465E-BE46-A33E18DC3917}"/>
    <cellStyle name="20% - Accent6 4 5" xfId="1898" xr:uid="{00000000-0005-0000-0000-0000A7030000}"/>
    <cellStyle name="20% - Accent6 4 5 2" xfId="4127" xr:uid="{00000000-0005-0000-0000-0000A8030000}"/>
    <cellStyle name="20% - Accent6 4 5 2 2" xfId="8350" xr:uid="{00000000-0005-0000-0000-0000A9030000}"/>
    <cellStyle name="20% - Accent6 4 5 2 2 2" xfId="25233" xr:uid="{E682925D-7D9A-403D-826A-42A412C988C1}"/>
    <cellStyle name="20% - Accent6 4 5 2 2 3" xfId="33679" xr:uid="{0B266F41-70D3-4067-ACDC-64A348FAC199}"/>
    <cellStyle name="20% - Accent6 4 5 2 2 4" xfId="16792" xr:uid="{D0FF0B93-B095-402B-AF7D-5A962AFD6B96}"/>
    <cellStyle name="20% - Accent6 4 5 2 3" xfId="21015" xr:uid="{577C6D84-B3F0-4E1D-BA74-92EAA3BCCD5B}"/>
    <cellStyle name="20% - Accent6 4 5 2 4" xfId="29462" xr:uid="{63EE5129-C872-4101-A22D-A179285D9EF1}"/>
    <cellStyle name="20% - Accent6 4 5 2 5" xfId="12574" xr:uid="{A89B03D2-F522-4BBD-BB52-05E2517451CE}"/>
    <cellStyle name="20% - Accent6 4 5 3" xfId="6205" xr:uid="{00000000-0005-0000-0000-0000AA030000}"/>
    <cellStyle name="20% - Accent6 4 5 3 2" xfId="23088" xr:uid="{8EF700F0-C320-4CE6-8253-401AC744F68C}"/>
    <cellStyle name="20% - Accent6 4 5 3 3" xfId="31534" xr:uid="{925ED2B8-46A3-4BA2-98F5-41039FE867F8}"/>
    <cellStyle name="20% - Accent6 4 5 3 4" xfId="14647" xr:uid="{C85EB880-04F3-415F-B1D9-EEECC5034BCB}"/>
    <cellStyle name="20% - Accent6 4 5 4" xfId="18870" xr:uid="{DF5CD2E7-45D2-4C35-879B-8208B947F39B}"/>
    <cellStyle name="20% - Accent6 4 5 5" xfId="27315" xr:uid="{4053BBEF-87CF-408C-B896-5643F134B9BC}"/>
    <cellStyle name="20% - Accent6 4 5 6" xfId="10429" xr:uid="{B8421D90-CBCE-44D1-AADC-7DB6F53B4FA8}"/>
    <cellStyle name="20% - Accent6 4 6" xfId="2311" xr:uid="{00000000-0005-0000-0000-0000AB030000}"/>
    <cellStyle name="20% - Accent6 4 6 2" xfId="6618" xr:uid="{00000000-0005-0000-0000-0000AC030000}"/>
    <cellStyle name="20% - Accent6 4 6 2 2" xfId="23501" xr:uid="{DC05DEAD-66EC-47A8-986F-605FECCC03D6}"/>
    <cellStyle name="20% - Accent6 4 6 2 3" xfId="31947" xr:uid="{996F5220-0822-4C63-8529-E105F069D628}"/>
    <cellStyle name="20% - Accent6 4 6 2 4" xfId="15060" xr:uid="{77EBD114-DAB6-4703-AAED-7581B034C13C}"/>
    <cellStyle name="20% - Accent6 4 6 3" xfId="19283" xr:uid="{DB5442A7-4D52-41C4-AE5F-867772C6F049}"/>
    <cellStyle name="20% - Accent6 4 6 4" xfId="27728" xr:uid="{F5FA3EB2-88E0-4B99-ABFD-357C4EB51CF5}"/>
    <cellStyle name="20% - Accent6 4 6 5" xfId="10842" xr:uid="{1B01A984-503F-4E43-8FAA-9C4108291F4C}"/>
    <cellStyle name="20% - Accent6 4 7" xfId="4552" xr:uid="{00000000-0005-0000-0000-0000AD030000}"/>
    <cellStyle name="20% - Accent6 4 7 2" xfId="21435" xr:uid="{F1630A3B-67D8-4AF4-86F4-C25545282BAB}"/>
    <cellStyle name="20% - Accent6 4 7 3" xfId="29881" xr:uid="{AE44BF3F-B740-4971-86B6-52F13A83B6E3}"/>
    <cellStyle name="20% - Accent6 4 7 4" xfId="12994" xr:uid="{2ED5FD21-578B-4DD8-BB98-202FEF912084}"/>
    <cellStyle name="20% - Accent6 4 8" xfId="17217" xr:uid="{C16E4F3C-FC50-4F6D-A00E-0FCE4DA25F72}"/>
    <cellStyle name="20% - Accent6 4 9" xfId="25659" xr:uid="{8AEE8853-1B3E-4137-B0B7-A63C4BA49140}"/>
    <cellStyle name="20% - Accent6 5" xfId="610" xr:uid="{00000000-0005-0000-0000-0000AE030000}"/>
    <cellStyle name="20% - Accent6 5 2" xfId="2881" xr:uid="{00000000-0005-0000-0000-0000AF030000}"/>
    <cellStyle name="20% - Accent6 5 2 2" xfId="7104" xr:uid="{00000000-0005-0000-0000-0000B0030000}"/>
    <cellStyle name="20% - Accent6 5 2 2 2" xfId="23987" xr:uid="{4741318C-8137-40BF-8AA9-65EA709D373E}"/>
    <cellStyle name="20% - Accent6 5 2 2 3" xfId="32433" xr:uid="{D213CE3A-A2FC-4942-A47E-529399F77194}"/>
    <cellStyle name="20% - Accent6 5 2 2 4" xfId="15546" xr:uid="{87283DDC-6E1D-497C-AE1B-422565A76345}"/>
    <cellStyle name="20% - Accent6 5 2 3" xfId="19769" xr:uid="{E1406C5F-2D9D-4827-820D-40699D57C3B0}"/>
    <cellStyle name="20% - Accent6 5 2 4" xfId="28216" xr:uid="{99B136A5-8717-4684-9480-A369D83385A0}"/>
    <cellStyle name="20% - Accent6 5 2 5" xfId="11328" xr:uid="{0805D156-D777-43DA-A7D2-116900B230F3}"/>
    <cellStyle name="20% - Accent6 5 3" xfId="4959" xr:uid="{00000000-0005-0000-0000-0000B1030000}"/>
    <cellStyle name="20% - Accent6 5 3 2" xfId="21842" xr:uid="{572F0A2B-1FBB-4A24-B6A2-918C8E1CD7CF}"/>
    <cellStyle name="20% - Accent6 5 3 3" xfId="30288" xr:uid="{879A3D58-077A-48BC-962D-111E3F2675EF}"/>
    <cellStyle name="20% - Accent6 5 3 4" xfId="13401" xr:uid="{57AA1BAF-1068-45C5-95C7-F3B3FDD7FE36}"/>
    <cellStyle name="20% - Accent6 5 4" xfId="17624" xr:uid="{DC66A37F-F904-42D0-8EA6-B27C8BAD584E}"/>
    <cellStyle name="20% - Accent6 5 5" xfId="26069" xr:uid="{503DB09D-9BB5-422B-AAD3-E36EFB0E8CDB}"/>
    <cellStyle name="20% - Accent6 5 6" xfId="9183" xr:uid="{BA2370CD-F23A-44BB-A450-A5DF0A672CD2}"/>
    <cellStyle name="20% - Accent6 6" xfId="1063" xr:uid="{00000000-0005-0000-0000-0000B2030000}"/>
    <cellStyle name="20% - Accent6 6 2" xfId="3294" xr:uid="{00000000-0005-0000-0000-0000B3030000}"/>
    <cellStyle name="20% - Accent6 6 2 2" xfId="7517" xr:uid="{00000000-0005-0000-0000-0000B4030000}"/>
    <cellStyle name="20% - Accent6 6 2 2 2" xfId="24400" xr:uid="{6726E93B-73B6-422F-BF1F-755826CBB01B}"/>
    <cellStyle name="20% - Accent6 6 2 2 3" xfId="32846" xr:uid="{B2B7856B-4922-4B9B-94AD-3A216F6DE24A}"/>
    <cellStyle name="20% - Accent6 6 2 2 4" xfId="15959" xr:uid="{848EBE46-4F77-4C6B-8BD5-B4781BAA586D}"/>
    <cellStyle name="20% - Accent6 6 2 3" xfId="20182" xr:uid="{AE16DBEC-3CB9-492D-864D-2C2E3164F0E7}"/>
    <cellStyle name="20% - Accent6 6 2 4" xfId="28629" xr:uid="{8D68E4C6-6AC2-4339-BA3B-0E3B0BF38B25}"/>
    <cellStyle name="20% - Accent6 6 2 5" xfId="11741" xr:uid="{094C7E5F-BA97-4A45-ABEB-A5351AB83A17}"/>
    <cellStyle name="20% - Accent6 6 3" xfId="5372" xr:uid="{00000000-0005-0000-0000-0000B5030000}"/>
    <cellStyle name="20% - Accent6 6 3 2" xfId="22255" xr:uid="{41D276D8-F48C-40D0-A3B7-104E5AA10491}"/>
    <cellStyle name="20% - Accent6 6 3 3" xfId="30701" xr:uid="{1D2E0964-BFC7-45A7-A617-A811D898C0B6}"/>
    <cellStyle name="20% - Accent6 6 3 4" xfId="13814" xr:uid="{FEAACF2C-19AE-4606-B63D-072AE8152539}"/>
    <cellStyle name="20% - Accent6 6 4" xfId="18037" xr:uid="{72905020-53F0-4FD1-AEC2-881614FF64EA}"/>
    <cellStyle name="20% - Accent6 6 5" xfId="26482" xr:uid="{9C1CE450-C20C-4C6B-A341-DF0E45B9EA9E}"/>
    <cellStyle name="20% - Accent6 6 6" xfId="9596" xr:uid="{28182B8A-CF05-4C19-B650-AE34954DC13C}"/>
    <cellStyle name="20% - Accent6 7" xfId="1477" xr:uid="{00000000-0005-0000-0000-0000B6030000}"/>
    <cellStyle name="20% - Accent6 7 2" xfId="3707" xr:uid="{00000000-0005-0000-0000-0000B7030000}"/>
    <cellStyle name="20% - Accent6 7 2 2" xfId="7930" xr:uid="{00000000-0005-0000-0000-0000B8030000}"/>
    <cellStyle name="20% - Accent6 7 2 2 2" xfId="24813" xr:uid="{52321B3B-FAE3-40E1-95A4-A87836271161}"/>
    <cellStyle name="20% - Accent6 7 2 2 3" xfId="33259" xr:uid="{2D1A5073-9A39-47BA-9E59-317FC79616DC}"/>
    <cellStyle name="20% - Accent6 7 2 2 4" xfId="16372" xr:uid="{89AFD43C-A8C3-4BFE-82D1-8A2C5F6543AF}"/>
    <cellStyle name="20% - Accent6 7 2 3" xfId="20595" xr:uid="{98E927F5-61EE-450B-AAC4-01355CAB8EA8}"/>
    <cellStyle name="20% - Accent6 7 2 4" xfId="29042" xr:uid="{37F3141C-27A9-4403-B585-169E78CF717E}"/>
    <cellStyle name="20% - Accent6 7 2 5" xfId="12154" xr:uid="{220DB7AA-7728-4C8C-A43F-AD9DDD0A3C92}"/>
    <cellStyle name="20% - Accent6 7 3" xfId="5785" xr:uid="{00000000-0005-0000-0000-0000B9030000}"/>
    <cellStyle name="20% - Accent6 7 3 2" xfId="22668" xr:uid="{276ACF15-EFC2-4C42-BE3C-1E723D6A25B2}"/>
    <cellStyle name="20% - Accent6 7 3 3" xfId="31114" xr:uid="{9F32408E-2531-4999-9322-6BF0AC14191C}"/>
    <cellStyle name="20% - Accent6 7 3 4" xfId="14227" xr:uid="{E4CD40E5-502D-4F87-8941-F44124C98219}"/>
    <cellStyle name="20% - Accent6 7 4" xfId="18450" xr:uid="{827B4650-0DA7-4216-AC36-FF27D07BFF97}"/>
    <cellStyle name="20% - Accent6 7 5" xfId="26895" xr:uid="{487B2D69-E41F-443E-B1FE-EFE71A8C5475}"/>
    <cellStyle name="20% - Accent6 7 6" xfId="10009" xr:uid="{DE44CDFD-AF3E-4CB5-BEEA-EA0301473AA5}"/>
    <cellStyle name="20% - Accent6 8" xfId="1891" xr:uid="{00000000-0005-0000-0000-0000BA030000}"/>
    <cellStyle name="20% - Accent6 8 2" xfId="4120" xr:uid="{00000000-0005-0000-0000-0000BB030000}"/>
    <cellStyle name="20% - Accent6 8 2 2" xfId="8343" xr:uid="{00000000-0005-0000-0000-0000BC030000}"/>
    <cellStyle name="20% - Accent6 8 2 2 2" xfId="25226" xr:uid="{7D8FF727-7264-4ED7-A5D5-A982EBC8C1D0}"/>
    <cellStyle name="20% - Accent6 8 2 2 3" xfId="33672" xr:uid="{3A4FB5EB-C008-423C-8CC4-AF18BFD7DC74}"/>
    <cellStyle name="20% - Accent6 8 2 2 4" xfId="16785" xr:uid="{8DBDCEFE-3907-48A4-AB72-9F8403076E81}"/>
    <cellStyle name="20% - Accent6 8 2 3" xfId="21008" xr:uid="{C0C1EB08-3B8F-45E1-86FF-B8DA579C2E6D}"/>
    <cellStyle name="20% - Accent6 8 2 4" xfId="29455" xr:uid="{D12EC383-87C1-4FAA-99C1-5AFF28CB5B3B}"/>
    <cellStyle name="20% - Accent6 8 2 5" xfId="12567" xr:uid="{F54ED0F2-4FA0-4AD8-9694-B637A7A07763}"/>
    <cellStyle name="20% - Accent6 8 3" xfId="6198" xr:uid="{00000000-0005-0000-0000-0000BD030000}"/>
    <cellStyle name="20% - Accent6 8 3 2" xfId="23081" xr:uid="{603D39FD-E391-4450-B454-FF8F64798E2B}"/>
    <cellStyle name="20% - Accent6 8 3 3" xfId="31527" xr:uid="{654FAC0D-11EC-4AAA-9F62-75CEBB8BDDB7}"/>
    <cellStyle name="20% - Accent6 8 3 4" xfId="14640" xr:uid="{FDAFCD43-4AC8-4E60-A924-BAF88391CC1A}"/>
    <cellStyle name="20% - Accent6 8 4" xfId="18863" xr:uid="{422D739B-5183-4B66-BDD9-4CF4ABF9C20F}"/>
    <cellStyle name="20% - Accent6 8 5" xfId="27308" xr:uid="{A235DE8A-3717-4C09-8E8F-A97BA0C91E97}"/>
    <cellStyle name="20% - Accent6 8 6" xfId="10422" xr:uid="{F6EA331B-763D-4F31-9CD1-0E62478B0925}"/>
    <cellStyle name="20% - Accent6 9" xfId="2304" xr:uid="{00000000-0005-0000-0000-0000BE030000}"/>
    <cellStyle name="20% - Accent6 9 2" xfId="6611" xr:uid="{00000000-0005-0000-0000-0000BF030000}"/>
    <cellStyle name="20% - Accent6 9 2 2" xfId="23494" xr:uid="{17905A9A-9978-4F5D-94DF-D8CD4C2EAF65}"/>
    <cellStyle name="20% - Accent6 9 2 3" xfId="31940" xr:uid="{8E4A55CA-70E6-40A9-9CA3-AA3E0BB686B1}"/>
    <cellStyle name="20% - Accent6 9 2 4" xfId="15053" xr:uid="{3987A3C5-33D9-4EC9-952A-95D739C4CB6A}"/>
    <cellStyle name="20% - Accent6 9 3" xfId="19276" xr:uid="{44BFFA8D-C501-4400-B961-1E75EDD07A9A}"/>
    <cellStyle name="20% - Accent6 9 4" xfId="27721" xr:uid="{0D7B3744-F575-411B-8344-39ED286B21BB}"/>
    <cellStyle name="20% - Accent6 9 5" xfId="10835" xr:uid="{74CE8CFD-C90E-48B5-AC90-B93CAA6F022A}"/>
    <cellStyle name="40% - Accent1" xfId="49" builtinId="31" customBuiltin="1"/>
    <cellStyle name="40% - Accent1 10" xfId="4553" xr:uid="{00000000-0005-0000-0000-0000C1030000}"/>
    <cellStyle name="40% - Accent1 10 2" xfId="21436" xr:uid="{47807E5A-1E65-4B7E-BFA8-64FA3B55A30B}"/>
    <cellStyle name="40% - Accent1 10 3" xfId="29882" xr:uid="{182A05C5-FEA3-4959-9466-3EA1CF46C930}"/>
    <cellStyle name="40% - Accent1 10 4" xfId="12995" xr:uid="{B4B3B479-D839-4AD6-917E-DF60E866013B}"/>
    <cellStyle name="40% - Accent1 11" xfId="17218" xr:uid="{AA4D6685-38E6-454C-8AFF-3B71C7320FC7}"/>
    <cellStyle name="40% - Accent1 12" xfId="25660" xr:uid="{104D2A7B-434F-403D-8C96-F03FD75A5A2E}"/>
    <cellStyle name="40% - Accent1 13" xfId="8777" xr:uid="{9CEDF04D-0C2A-435D-80CE-264C8FA4CA76}"/>
    <cellStyle name="40% - Accent1 2" xfId="50" xr:uid="{00000000-0005-0000-0000-0000C2030000}"/>
    <cellStyle name="40% - Accent1 2 10" xfId="17219" xr:uid="{8B8A2006-1D67-43C3-A8E0-44A2BCFB6568}"/>
    <cellStyle name="40% - Accent1 2 11" xfId="25661" xr:uid="{9DB6642B-DA5C-43BF-8336-5D2888022C5E}"/>
    <cellStyle name="40% - Accent1 2 12" xfId="8778" xr:uid="{16430109-44FE-44A8-96CB-CE16A0EE7A98}"/>
    <cellStyle name="40% - Accent1 2 2" xfId="51" xr:uid="{00000000-0005-0000-0000-0000C3030000}"/>
    <cellStyle name="40% - Accent1 2 2 10" xfId="25662" xr:uid="{4D6F673E-99A8-428E-8B18-7DEF5D3D632D}"/>
    <cellStyle name="40% - Accent1 2 2 11" xfId="8779" xr:uid="{9939270B-8BA4-4F23-8389-8A2F0B409C05}"/>
    <cellStyle name="40% - Accent1 2 2 2" xfId="52" xr:uid="{00000000-0005-0000-0000-0000C4030000}"/>
    <cellStyle name="40% - Accent1 2 2 2 10" xfId="8780" xr:uid="{C17D9910-35FC-44B7-B477-05A35BC7BE17}"/>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23998" xr:uid="{7B669F6A-1212-422B-9880-9A9EC73D2C97}"/>
    <cellStyle name="40% - Accent1 2 2 2 2 2 2 3" xfId="32444" xr:uid="{5641876E-44EA-4869-ACDF-EA51A06072E7}"/>
    <cellStyle name="40% - Accent1 2 2 2 2 2 2 4" xfId="15557" xr:uid="{C8AFA15A-149A-41C2-BB77-1750432321C0}"/>
    <cellStyle name="40% - Accent1 2 2 2 2 2 3" xfId="19780" xr:uid="{72452706-91E0-40AF-B5BB-DA03B93ACC62}"/>
    <cellStyle name="40% - Accent1 2 2 2 2 2 4" xfId="28227" xr:uid="{62BCC71B-440F-4BB0-934B-4F44D532E26C}"/>
    <cellStyle name="40% - Accent1 2 2 2 2 2 5" xfId="11339" xr:uid="{DFF9E0C5-BAC7-476C-AE2C-44417DDA158D}"/>
    <cellStyle name="40% - Accent1 2 2 2 2 3" xfId="4970" xr:uid="{00000000-0005-0000-0000-0000C8030000}"/>
    <cellStyle name="40% - Accent1 2 2 2 2 3 2" xfId="21853" xr:uid="{9381738C-EEA0-4B76-9C0B-A9939ED1BA42}"/>
    <cellStyle name="40% - Accent1 2 2 2 2 3 3" xfId="30299" xr:uid="{6223C2FE-63FC-4F54-9207-010E2E60E244}"/>
    <cellStyle name="40% - Accent1 2 2 2 2 3 4" xfId="13412" xr:uid="{18B921C6-7DD6-47A9-A634-19C7F65C9D5E}"/>
    <cellStyle name="40% - Accent1 2 2 2 2 4" xfId="17635" xr:uid="{82863441-27C3-43C0-BFE5-12819E9D6E64}"/>
    <cellStyle name="40% - Accent1 2 2 2 2 5" xfId="26080" xr:uid="{966B87E2-55C9-406E-8744-C751EB2D5045}"/>
    <cellStyle name="40% - Accent1 2 2 2 2 6" xfId="9194" xr:uid="{082ED200-3C67-4506-BDD8-99A5C83AF777}"/>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24411" xr:uid="{65188A06-5AC7-4A3D-A4D0-D9A6EF181CCF}"/>
    <cellStyle name="40% - Accent1 2 2 2 3 2 2 3" xfId="32857" xr:uid="{A783C350-FFBE-49BF-A8C8-F15C9253D1A3}"/>
    <cellStyle name="40% - Accent1 2 2 2 3 2 2 4" xfId="15970" xr:uid="{5D57C1D3-5C00-4AE1-B4D6-CE98A8060A69}"/>
    <cellStyle name="40% - Accent1 2 2 2 3 2 3" xfId="20193" xr:uid="{0BC87089-93ED-43E2-8220-6CD656E20782}"/>
    <cellStyle name="40% - Accent1 2 2 2 3 2 4" xfId="28640" xr:uid="{0928EB92-1BEE-40C4-BDD2-00759DC4A5A2}"/>
    <cellStyle name="40% - Accent1 2 2 2 3 2 5" xfId="11752" xr:uid="{5ECAAE7D-9D61-44A6-8C46-4461A3873EA7}"/>
    <cellStyle name="40% - Accent1 2 2 2 3 3" xfId="5383" xr:uid="{00000000-0005-0000-0000-0000CC030000}"/>
    <cellStyle name="40% - Accent1 2 2 2 3 3 2" xfId="22266" xr:uid="{D0EC2141-22C4-45AF-A671-7B41EEF39255}"/>
    <cellStyle name="40% - Accent1 2 2 2 3 3 3" xfId="30712" xr:uid="{E27D59CE-AFE9-4E0F-B124-EAD69624A055}"/>
    <cellStyle name="40% - Accent1 2 2 2 3 3 4" xfId="13825" xr:uid="{346974DC-4C9A-45BC-8B18-C4EBAAC2ABEB}"/>
    <cellStyle name="40% - Accent1 2 2 2 3 4" xfId="18048" xr:uid="{BDE6BED9-009B-44D5-B11B-C86F12E488C9}"/>
    <cellStyle name="40% - Accent1 2 2 2 3 5" xfId="26493" xr:uid="{6D49970F-9119-498C-84E6-2099DDC759F5}"/>
    <cellStyle name="40% - Accent1 2 2 2 3 6" xfId="9607" xr:uid="{EFA25F74-9FBA-42BA-A2EC-C89418976517}"/>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24824" xr:uid="{D8E5F7CA-50C7-41D1-947F-44A25E96BDDD}"/>
    <cellStyle name="40% - Accent1 2 2 2 4 2 2 3" xfId="33270" xr:uid="{150FB738-CE55-427C-BC73-6D410D23487C}"/>
    <cellStyle name="40% - Accent1 2 2 2 4 2 2 4" xfId="16383" xr:uid="{7A431052-4BE3-48F4-A268-9DA2AD1E99D4}"/>
    <cellStyle name="40% - Accent1 2 2 2 4 2 3" xfId="20606" xr:uid="{63DC24FE-5B2A-419E-8640-CD6AE161B299}"/>
    <cellStyle name="40% - Accent1 2 2 2 4 2 4" xfId="29053" xr:uid="{4DA0DB79-D354-42A9-9B07-68660E65EB1F}"/>
    <cellStyle name="40% - Accent1 2 2 2 4 2 5" xfId="12165" xr:uid="{5661C150-4B94-49EA-9D05-4AFD2A66ED84}"/>
    <cellStyle name="40% - Accent1 2 2 2 4 3" xfId="5796" xr:uid="{00000000-0005-0000-0000-0000D0030000}"/>
    <cellStyle name="40% - Accent1 2 2 2 4 3 2" xfId="22679" xr:uid="{4EDB5AB2-8526-4309-A2B7-4A5B027B56B9}"/>
    <cellStyle name="40% - Accent1 2 2 2 4 3 3" xfId="31125" xr:uid="{8F1A63E7-5911-42CF-8455-970DF09BC7AB}"/>
    <cellStyle name="40% - Accent1 2 2 2 4 3 4" xfId="14238" xr:uid="{8788D9EB-2C99-46E8-AC18-328F992F2A08}"/>
    <cellStyle name="40% - Accent1 2 2 2 4 4" xfId="18461" xr:uid="{70C04C41-E4F1-44D0-A9DF-DC970034B1AA}"/>
    <cellStyle name="40% - Accent1 2 2 2 4 5" xfId="26906" xr:uid="{2B8F0BEF-0E6F-4637-9F6F-B5DDF9207BC8}"/>
    <cellStyle name="40% - Accent1 2 2 2 4 6" xfId="10020" xr:uid="{58E5340D-E896-4130-BADC-935EB58FD4BD}"/>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25237" xr:uid="{44F8FA2E-566F-4111-BE22-6DC365B55A0F}"/>
    <cellStyle name="40% - Accent1 2 2 2 5 2 2 3" xfId="33683" xr:uid="{6E4DC486-075F-465B-9845-39825FBE5F8B}"/>
    <cellStyle name="40% - Accent1 2 2 2 5 2 2 4" xfId="16796" xr:uid="{7FEA2E39-9258-413B-9B47-081EBA3C9DAB}"/>
    <cellStyle name="40% - Accent1 2 2 2 5 2 3" xfId="21019" xr:uid="{2C21C59E-9712-492E-8EB1-A96FB1C19CFD}"/>
    <cellStyle name="40% - Accent1 2 2 2 5 2 4" xfId="29466" xr:uid="{C061390A-3440-411B-A05C-80EE77550A9B}"/>
    <cellStyle name="40% - Accent1 2 2 2 5 2 5" xfId="12578" xr:uid="{D0BF3208-B94A-451E-8A26-384DF194A554}"/>
    <cellStyle name="40% - Accent1 2 2 2 5 3" xfId="6209" xr:uid="{00000000-0005-0000-0000-0000D4030000}"/>
    <cellStyle name="40% - Accent1 2 2 2 5 3 2" xfId="23092" xr:uid="{086EA675-05AC-4275-8491-54B792E37A57}"/>
    <cellStyle name="40% - Accent1 2 2 2 5 3 3" xfId="31538" xr:uid="{1E431CD9-E021-48A8-856D-02D6792B81BC}"/>
    <cellStyle name="40% - Accent1 2 2 2 5 3 4" xfId="14651" xr:uid="{61BA08F6-2411-44E8-9FEB-66D706ED7D32}"/>
    <cellStyle name="40% - Accent1 2 2 2 5 4" xfId="18874" xr:uid="{14096DE8-A1CA-45C4-BF15-18FA8D41D1D1}"/>
    <cellStyle name="40% - Accent1 2 2 2 5 5" xfId="27319" xr:uid="{ECD802FC-98D9-469B-AC19-4BD53170959A}"/>
    <cellStyle name="40% - Accent1 2 2 2 5 6" xfId="10433" xr:uid="{776F5141-6C91-4E72-83BC-2FF2BCA69661}"/>
    <cellStyle name="40% - Accent1 2 2 2 6" xfId="2315" xr:uid="{00000000-0005-0000-0000-0000D5030000}"/>
    <cellStyle name="40% - Accent1 2 2 2 6 2" xfId="6622" xr:uid="{00000000-0005-0000-0000-0000D6030000}"/>
    <cellStyle name="40% - Accent1 2 2 2 6 2 2" xfId="23505" xr:uid="{04BBF851-990C-4249-85A5-6703695050DD}"/>
    <cellStyle name="40% - Accent1 2 2 2 6 2 3" xfId="31951" xr:uid="{1D06FE73-A0C8-44F3-8748-4A036CD6675F}"/>
    <cellStyle name="40% - Accent1 2 2 2 6 2 4" xfId="15064" xr:uid="{B407CD2A-3C71-4660-A4E0-9728929C1A77}"/>
    <cellStyle name="40% - Accent1 2 2 2 6 3" xfId="19287" xr:uid="{E76472E9-1202-4893-A370-8F735598D4F3}"/>
    <cellStyle name="40% - Accent1 2 2 2 6 4" xfId="27732" xr:uid="{21167CD2-7448-42BC-A0CD-0DAE3FA5141C}"/>
    <cellStyle name="40% - Accent1 2 2 2 6 5" xfId="10846" xr:uid="{B67103F4-6D83-402C-BCDD-5FA9AB047EDE}"/>
    <cellStyle name="40% - Accent1 2 2 2 7" xfId="4556" xr:uid="{00000000-0005-0000-0000-0000D7030000}"/>
    <cellStyle name="40% - Accent1 2 2 2 7 2" xfId="21439" xr:uid="{0F4704F6-6D78-4F0E-8C9F-E5EE7BFD68D7}"/>
    <cellStyle name="40% - Accent1 2 2 2 7 3" xfId="29885" xr:uid="{51DA3FB2-2767-4A7A-B30A-7BE647A148AA}"/>
    <cellStyle name="40% - Accent1 2 2 2 7 4" xfId="12998" xr:uid="{078F55E7-BCA0-45D7-8606-D368669DC8E0}"/>
    <cellStyle name="40% - Accent1 2 2 2 8" xfId="17221" xr:uid="{1451D9B2-406B-4E83-AE61-B3D52192972C}"/>
    <cellStyle name="40% - Accent1 2 2 2 9" xfId="25663" xr:uid="{41DED1E3-EF2B-4A77-9D3D-863ACEC8224A}"/>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23997" xr:uid="{6B9934DD-B31F-4783-BFD1-AB160CFD8D40}"/>
    <cellStyle name="40% - Accent1 2 2 3 2 2 3" xfId="32443" xr:uid="{7F7FC372-0645-4F0E-968A-BB5432FBD67A}"/>
    <cellStyle name="40% - Accent1 2 2 3 2 2 4" xfId="15556" xr:uid="{2B850A43-2704-4552-9D03-77DBCAB7FBDB}"/>
    <cellStyle name="40% - Accent1 2 2 3 2 3" xfId="19779" xr:uid="{ECE5647E-0CC3-4571-B83E-50AB7CAA1A30}"/>
    <cellStyle name="40% - Accent1 2 2 3 2 4" xfId="28226" xr:uid="{1693F965-F8D9-48A5-92B3-6D76572A9135}"/>
    <cellStyle name="40% - Accent1 2 2 3 2 5" xfId="11338" xr:uid="{43C97BE1-67E7-4642-AB9F-17A53B3EF9AF}"/>
    <cellStyle name="40% - Accent1 2 2 3 3" xfId="4969" xr:uid="{00000000-0005-0000-0000-0000DB030000}"/>
    <cellStyle name="40% - Accent1 2 2 3 3 2" xfId="21852" xr:uid="{BC8F0339-1DCC-407B-828A-B01EBA77B9CD}"/>
    <cellStyle name="40% - Accent1 2 2 3 3 3" xfId="30298" xr:uid="{1DFB9550-424E-45F3-894A-39488E9FE971}"/>
    <cellStyle name="40% - Accent1 2 2 3 3 4" xfId="13411" xr:uid="{EDCC5CD4-54D0-4B5A-94D2-3F8254C3FC00}"/>
    <cellStyle name="40% - Accent1 2 2 3 4" xfId="17634" xr:uid="{49EFDEC4-B39A-45C1-9B27-0EE4B5D29BEB}"/>
    <cellStyle name="40% - Accent1 2 2 3 5" xfId="26079" xr:uid="{EA6AE07E-EEC2-4E0B-B608-DD0D8D7F9140}"/>
    <cellStyle name="40% - Accent1 2 2 3 6" xfId="9193" xr:uid="{731C0A89-06B2-4705-9C34-36D4B3D977E2}"/>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24410" xr:uid="{94E53DC9-C26F-411B-A45C-831AD1AE604E}"/>
    <cellStyle name="40% - Accent1 2 2 4 2 2 3" xfId="32856" xr:uid="{BEF53724-229E-40ED-84F8-65657C18FE8D}"/>
    <cellStyle name="40% - Accent1 2 2 4 2 2 4" xfId="15969" xr:uid="{CB99684F-261D-44B1-BA48-91BD5D3B5B29}"/>
    <cellStyle name="40% - Accent1 2 2 4 2 3" xfId="20192" xr:uid="{80AE2A9E-2BA3-41BF-BA51-8B90FAFB2CCD}"/>
    <cellStyle name="40% - Accent1 2 2 4 2 4" xfId="28639" xr:uid="{CEF8166E-B617-4062-BE10-8437BD98FEEF}"/>
    <cellStyle name="40% - Accent1 2 2 4 2 5" xfId="11751" xr:uid="{96D9CDC6-41F7-46BA-A6D6-918B677C0B59}"/>
    <cellStyle name="40% - Accent1 2 2 4 3" xfId="5382" xr:uid="{00000000-0005-0000-0000-0000DF030000}"/>
    <cellStyle name="40% - Accent1 2 2 4 3 2" xfId="22265" xr:uid="{FE4DBB25-2336-4A1C-BD23-DA5698C2278E}"/>
    <cellStyle name="40% - Accent1 2 2 4 3 3" xfId="30711" xr:uid="{DF8B17E1-59E5-4412-BFF9-5529C8C11BBC}"/>
    <cellStyle name="40% - Accent1 2 2 4 3 4" xfId="13824" xr:uid="{6BFEDB62-C11A-4F65-8762-42F17F543E5D}"/>
    <cellStyle name="40% - Accent1 2 2 4 4" xfId="18047" xr:uid="{51A36B60-87BD-4861-9CE0-88818F9DF04C}"/>
    <cellStyle name="40% - Accent1 2 2 4 5" xfId="26492" xr:uid="{AACE7AA4-E40E-4E48-A19B-9F6D59E984A2}"/>
    <cellStyle name="40% - Accent1 2 2 4 6" xfId="9606" xr:uid="{C6B70FCE-6DA8-4C71-8ED4-94AEF68F1D4B}"/>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24823" xr:uid="{7384421F-5724-47C9-9E7E-0F8B3D1FBACC}"/>
    <cellStyle name="40% - Accent1 2 2 5 2 2 3" xfId="33269" xr:uid="{26F0DF2C-2A42-469E-8E1D-E7BBF067F4F3}"/>
    <cellStyle name="40% - Accent1 2 2 5 2 2 4" xfId="16382" xr:uid="{7B428417-17F2-4D29-A45B-2AB6D208AD06}"/>
    <cellStyle name="40% - Accent1 2 2 5 2 3" xfId="20605" xr:uid="{090DF43E-B3F2-42F7-A39B-844055EA9C2A}"/>
    <cellStyle name="40% - Accent1 2 2 5 2 4" xfId="29052" xr:uid="{3452935E-3F1B-44E0-B698-D0AB601D00E3}"/>
    <cellStyle name="40% - Accent1 2 2 5 2 5" xfId="12164" xr:uid="{42BFF41C-5120-4E6B-B06E-F62256A42ECA}"/>
    <cellStyle name="40% - Accent1 2 2 5 3" xfId="5795" xr:uid="{00000000-0005-0000-0000-0000E3030000}"/>
    <cellStyle name="40% - Accent1 2 2 5 3 2" xfId="22678" xr:uid="{44DE07EB-92AB-4BE3-9D3C-1064C26B45C3}"/>
    <cellStyle name="40% - Accent1 2 2 5 3 3" xfId="31124" xr:uid="{6A959A9E-F594-4F6F-AE8E-0CDADE04AFC3}"/>
    <cellStyle name="40% - Accent1 2 2 5 3 4" xfId="14237" xr:uid="{47F4C299-D03F-4D72-8A86-71EB5634F096}"/>
    <cellStyle name="40% - Accent1 2 2 5 4" xfId="18460" xr:uid="{B342B572-9E71-4773-8955-8690D5CCEED1}"/>
    <cellStyle name="40% - Accent1 2 2 5 5" xfId="26905" xr:uid="{1DC2A2A7-87B5-47DC-B0AA-63A270BADA24}"/>
    <cellStyle name="40% - Accent1 2 2 5 6" xfId="10019" xr:uid="{40F28D71-2A23-437B-9B83-33DE8138F441}"/>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25236" xr:uid="{87B60D6F-FBED-4B0B-943F-DDBC281D4ADD}"/>
    <cellStyle name="40% - Accent1 2 2 6 2 2 3" xfId="33682" xr:uid="{AF220837-4510-41AC-8270-15282429D45F}"/>
    <cellStyle name="40% - Accent1 2 2 6 2 2 4" xfId="16795" xr:uid="{0CCAE22F-365A-4882-9268-122E3586964F}"/>
    <cellStyle name="40% - Accent1 2 2 6 2 3" xfId="21018" xr:uid="{3ED14F43-CD27-4114-AFCC-5AC82310E5C6}"/>
    <cellStyle name="40% - Accent1 2 2 6 2 4" xfId="29465" xr:uid="{C4EA4763-5075-4D4E-B6DB-254BC2440359}"/>
    <cellStyle name="40% - Accent1 2 2 6 2 5" xfId="12577" xr:uid="{05D4477B-1313-4619-9024-A9E6430649BF}"/>
    <cellStyle name="40% - Accent1 2 2 6 3" xfId="6208" xr:uid="{00000000-0005-0000-0000-0000E7030000}"/>
    <cellStyle name="40% - Accent1 2 2 6 3 2" xfId="23091" xr:uid="{72A6C3B1-4842-4951-B17F-0F4AC284173F}"/>
    <cellStyle name="40% - Accent1 2 2 6 3 3" xfId="31537" xr:uid="{FD2081E3-0FED-4DAB-86D5-5C54DAF6E7D0}"/>
    <cellStyle name="40% - Accent1 2 2 6 3 4" xfId="14650" xr:uid="{D78F2FFD-6AD6-4B8C-8B9F-EE79FC968902}"/>
    <cellStyle name="40% - Accent1 2 2 6 4" xfId="18873" xr:uid="{F0564170-C020-48D5-B99B-A315A04DE9AB}"/>
    <cellStyle name="40% - Accent1 2 2 6 5" xfId="27318" xr:uid="{BD814012-AB4F-4DDA-81DC-5C0AA097071C}"/>
    <cellStyle name="40% - Accent1 2 2 6 6" xfId="10432" xr:uid="{C4182CA1-5916-47E2-846A-EA3544F6CED4}"/>
    <cellStyle name="40% - Accent1 2 2 7" xfId="2314" xr:uid="{00000000-0005-0000-0000-0000E8030000}"/>
    <cellStyle name="40% - Accent1 2 2 7 2" xfId="6621" xr:uid="{00000000-0005-0000-0000-0000E9030000}"/>
    <cellStyle name="40% - Accent1 2 2 7 2 2" xfId="23504" xr:uid="{DA2067F0-F9AA-48DE-A46B-406AD248926E}"/>
    <cellStyle name="40% - Accent1 2 2 7 2 3" xfId="31950" xr:uid="{F24266DA-BF76-4BB4-95FD-71809866B8B5}"/>
    <cellStyle name="40% - Accent1 2 2 7 2 4" xfId="15063" xr:uid="{CFB95D3C-01CF-4A37-8506-F3F24CC7F660}"/>
    <cellStyle name="40% - Accent1 2 2 7 3" xfId="19286" xr:uid="{D3DB5CE7-586A-4224-A50E-170D76F54D83}"/>
    <cellStyle name="40% - Accent1 2 2 7 4" xfId="27731" xr:uid="{71BFD6F0-44DC-4B9B-83C8-40DC9D9F1F1F}"/>
    <cellStyle name="40% - Accent1 2 2 7 5" xfId="10845" xr:uid="{850BC2AA-CC21-4BFC-AC16-17CACD67E12F}"/>
    <cellStyle name="40% - Accent1 2 2 8" xfId="4555" xr:uid="{00000000-0005-0000-0000-0000EA030000}"/>
    <cellStyle name="40% - Accent1 2 2 8 2" xfId="21438" xr:uid="{DA938AE1-788F-4D84-A881-BA2FD2748608}"/>
    <cellStyle name="40% - Accent1 2 2 8 3" xfId="29884" xr:uid="{35D1EDD8-5502-4356-85E0-5F26096CA7BC}"/>
    <cellStyle name="40% - Accent1 2 2 8 4" xfId="12997" xr:uid="{FF6D3666-4413-4068-ADB5-FC6DF32BAC98}"/>
    <cellStyle name="40% - Accent1 2 2 9" xfId="17220" xr:uid="{0D2FBAFB-64C3-4F33-BDE8-4DCAC3814B89}"/>
    <cellStyle name="40% - Accent1 2 3" xfId="53" xr:uid="{00000000-0005-0000-0000-0000EB030000}"/>
    <cellStyle name="40% - Accent1 2 3 10" xfId="8781" xr:uid="{1230C14F-77E6-499D-9E5B-5D58DEF7E9DA}"/>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23999" xr:uid="{6CA378EB-A24D-4226-BDFB-187B98BA56C2}"/>
    <cellStyle name="40% - Accent1 2 3 2 2 2 3" xfId="32445" xr:uid="{9D039A3C-3FE1-462C-B337-C73253944725}"/>
    <cellStyle name="40% - Accent1 2 3 2 2 2 4" xfId="15558" xr:uid="{53FD61A7-79B9-4BC9-BD0D-18C76B31BACE}"/>
    <cellStyle name="40% - Accent1 2 3 2 2 3" xfId="19781" xr:uid="{44F4D66C-8FDA-41C1-8CBD-4454D550880E}"/>
    <cellStyle name="40% - Accent1 2 3 2 2 4" xfId="28228" xr:uid="{7D80AD1D-F794-4F43-ACA9-0878C33C1254}"/>
    <cellStyle name="40% - Accent1 2 3 2 2 5" xfId="11340" xr:uid="{8C592BEE-A076-420E-A1B4-6AAD65BBECDE}"/>
    <cellStyle name="40% - Accent1 2 3 2 3" xfId="4971" xr:uid="{00000000-0005-0000-0000-0000EF030000}"/>
    <cellStyle name="40% - Accent1 2 3 2 3 2" xfId="21854" xr:uid="{EED8C150-DAE9-4206-97F4-FE1BB18D009C}"/>
    <cellStyle name="40% - Accent1 2 3 2 3 3" xfId="30300" xr:uid="{87709FC0-B430-44F3-9B74-0E46AD5F6FD1}"/>
    <cellStyle name="40% - Accent1 2 3 2 3 4" xfId="13413" xr:uid="{6206496B-5580-450A-93B6-2FB84034EEC0}"/>
    <cellStyle name="40% - Accent1 2 3 2 4" xfId="17636" xr:uid="{CE84A9F6-8EDC-41D4-9919-2AC57D780C0C}"/>
    <cellStyle name="40% - Accent1 2 3 2 5" xfId="26081" xr:uid="{A119B483-E932-47A6-A4F6-74ECE740E492}"/>
    <cellStyle name="40% - Accent1 2 3 2 6" xfId="9195" xr:uid="{6E2EBFA6-71C8-4927-9F1C-9E98442567C2}"/>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24412" xr:uid="{234115E2-3984-4893-9F92-BA4AE342B456}"/>
    <cellStyle name="40% - Accent1 2 3 3 2 2 3" xfId="32858" xr:uid="{CF57A75E-DD67-4E7E-BAB1-72B2372B8D13}"/>
    <cellStyle name="40% - Accent1 2 3 3 2 2 4" xfId="15971" xr:uid="{6120D503-FEE5-422A-9CB8-9E3FA1189B8D}"/>
    <cellStyle name="40% - Accent1 2 3 3 2 3" xfId="20194" xr:uid="{9092E2C7-2335-4DAE-A9C5-1E20EC655A82}"/>
    <cellStyle name="40% - Accent1 2 3 3 2 4" xfId="28641" xr:uid="{056F531F-9334-47D6-8A26-F11FE49E92C4}"/>
    <cellStyle name="40% - Accent1 2 3 3 2 5" xfId="11753" xr:uid="{D67DBD9E-E38A-4A40-8FDA-8A80F5291C56}"/>
    <cellStyle name="40% - Accent1 2 3 3 3" xfId="5384" xr:uid="{00000000-0005-0000-0000-0000F3030000}"/>
    <cellStyle name="40% - Accent1 2 3 3 3 2" xfId="22267" xr:uid="{7216D88A-2E42-48BA-A55B-501066AF0E7C}"/>
    <cellStyle name="40% - Accent1 2 3 3 3 3" xfId="30713" xr:uid="{F373493D-251F-45F7-A4C3-C1B705175861}"/>
    <cellStyle name="40% - Accent1 2 3 3 3 4" xfId="13826" xr:uid="{013F2100-F042-4786-B1EC-FF508D87A080}"/>
    <cellStyle name="40% - Accent1 2 3 3 4" xfId="18049" xr:uid="{001DFC46-301A-49F2-A620-2618056DAA23}"/>
    <cellStyle name="40% - Accent1 2 3 3 5" xfId="26494" xr:uid="{F40C790D-E2B9-40A0-8BD1-47A1BDB6C903}"/>
    <cellStyle name="40% - Accent1 2 3 3 6" xfId="9608" xr:uid="{8E84C5E5-496C-44C0-89DB-4B5F994E1611}"/>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24825" xr:uid="{DC88589F-6BF9-42BB-8173-CD2510C14C86}"/>
    <cellStyle name="40% - Accent1 2 3 4 2 2 3" xfId="33271" xr:uid="{156A2154-1DA6-4520-8188-1D0B1FC8DC40}"/>
    <cellStyle name="40% - Accent1 2 3 4 2 2 4" xfId="16384" xr:uid="{E614811F-6F4E-4E10-9715-440A38E8A267}"/>
    <cellStyle name="40% - Accent1 2 3 4 2 3" xfId="20607" xr:uid="{05E911B3-47C5-44F8-B1DC-58F5A393F86C}"/>
    <cellStyle name="40% - Accent1 2 3 4 2 4" xfId="29054" xr:uid="{A3D33F83-5823-4724-81B3-50817E216BEC}"/>
    <cellStyle name="40% - Accent1 2 3 4 2 5" xfId="12166" xr:uid="{1696E9A7-C1B7-4E5F-8FF0-575E06DAF353}"/>
    <cellStyle name="40% - Accent1 2 3 4 3" xfId="5797" xr:uid="{00000000-0005-0000-0000-0000F7030000}"/>
    <cellStyle name="40% - Accent1 2 3 4 3 2" xfId="22680" xr:uid="{F3493CA0-974B-4DDE-BFB7-C5F55F1081CD}"/>
    <cellStyle name="40% - Accent1 2 3 4 3 3" xfId="31126" xr:uid="{F57161FA-D5A7-48D6-A702-DAFA8682AE53}"/>
    <cellStyle name="40% - Accent1 2 3 4 3 4" xfId="14239" xr:uid="{4CB662CF-A2EA-480E-8B8E-0EC37ACEE0B8}"/>
    <cellStyle name="40% - Accent1 2 3 4 4" xfId="18462" xr:uid="{3B1E74E1-4214-4A8F-9B52-157AB34F3879}"/>
    <cellStyle name="40% - Accent1 2 3 4 5" xfId="26907" xr:uid="{8082808D-D2AF-4179-9989-C066140F10A7}"/>
    <cellStyle name="40% - Accent1 2 3 4 6" xfId="10021" xr:uid="{651379DC-D3BD-42B4-8B38-C9039CF854EA}"/>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25238" xr:uid="{0C408E20-21BB-49EB-AA17-8A2D277CE059}"/>
    <cellStyle name="40% - Accent1 2 3 5 2 2 3" xfId="33684" xr:uid="{6971BBE0-337E-467D-BAD3-606E84530C12}"/>
    <cellStyle name="40% - Accent1 2 3 5 2 2 4" xfId="16797" xr:uid="{8E0B9C68-507B-4B1E-A65A-4C8D5833C5D2}"/>
    <cellStyle name="40% - Accent1 2 3 5 2 3" xfId="21020" xr:uid="{3BFBF2A8-39D3-413B-947D-A1DE78E2B606}"/>
    <cellStyle name="40% - Accent1 2 3 5 2 4" xfId="29467" xr:uid="{CC4B6F6B-0280-44F5-BE56-299A44E2A522}"/>
    <cellStyle name="40% - Accent1 2 3 5 2 5" xfId="12579" xr:uid="{D44A3043-62BF-4EB7-9369-DE3F248C3D3C}"/>
    <cellStyle name="40% - Accent1 2 3 5 3" xfId="6210" xr:uid="{00000000-0005-0000-0000-0000FB030000}"/>
    <cellStyle name="40% - Accent1 2 3 5 3 2" xfId="23093" xr:uid="{D8BDCFFF-C705-4372-B90B-D929988D096A}"/>
    <cellStyle name="40% - Accent1 2 3 5 3 3" xfId="31539" xr:uid="{9E311DE8-6433-45D3-B845-8C2BE9ED128F}"/>
    <cellStyle name="40% - Accent1 2 3 5 3 4" xfId="14652" xr:uid="{7B5BE7C7-2162-4F0F-ADF9-F4ECF53E074F}"/>
    <cellStyle name="40% - Accent1 2 3 5 4" xfId="18875" xr:uid="{BDAF6D7D-1C39-479F-A611-A86450496CF2}"/>
    <cellStyle name="40% - Accent1 2 3 5 5" xfId="27320" xr:uid="{FA18D2EC-5B0F-4BE1-AF3B-08872C8340CB}"/>
    <cellStyle name="40% - Accent1 2 3 5 6" xfId="10434" xr:uid="{AF3B3032-B989-4BEB-AC34-19CF5DD8CC98}"/>
    <cellStyle name="40% - Accent1 2 3 6" xfId="2316" xr:uid="{00000000-0005-0000-0000-0000FC030000}"/>
    <cellStyle name="40% - Accent1 2 3 6 2" xfId="6623" xr:uid="{00000000-0005-0000-0000-0000FD030000}"/>
    <cellStyle name="40% - Accent1 2 3 6 2 2" xfId="23506" xr:uid="{981D496C-F2CA-477E-9320-00D429A6117D}"/>
    <cellStyle name="40% - Accent1 2 3 6 2 3" xfId="31952" xr:uid="{24F1E55A-1713-46D9-A9FA-DAA1BA27A8C6}"/>
    <cellStyle name="40% - Accent1 2 3 6 2 4" xfId="15065" xr:uid="{BC8CFCA5-7DD6-443C-9957-4441F7B2D702}"/>
    <cellStyle name="40% - Accent1 2 3 6 3" xfId="19288" xr:uid="{892CE79B-ABE5-47B7-9661-C1C79E4E8602}"/>
    <cellStyle name="40% - Accent1 2 3 6 4" xfId="27733" xr:uid="{4D70FD02-A2BB-4351-93DC-DCEAAA4991F7}"/>
    <cellStyle name="40% - Accent1 2 3 6 5" xfId="10847" xr:uid="{ED4C30C0-D1DD-40E4-9493-8391AB6681F9}"/>
    <cellStyle name="40% - Accent1 2 3 7" xfId="4557" xr:uid="{00000000-0005-0000-0000-0000FE030000}"/>
    <cellStyle name="40% - Accent1 2 3 7 2" xfId="21440" xr:uid="{1C0770C2-7255-4F09-9901-9E5111764F89}"/>
    <cellStyle name="40% - Accent1 2 3 7 3" xfId="29886" xr:uid="{57056290-EFD7-46F0-9AF9-454A132BE501}"/>
    <cellStyle name="40% - Accent1 2 3 7 4" xfId="12999" xr:uid="{5F518843-2BC4-46A8-B282-FB84D4A06E6A}"/>
    <cellStyle name="40% - Accent1 2 3 8" xfId="17222" xr:uid="{148CA523-DAA6-4FD0-8669-007A4A48D4D8}"/>
    <cellStyle name="40% - Accent1 2 3 9" xfId="25664" xr:uid="{1283B935-0910-4641-A33E-FB88757F9369}"/>
    <cellStyle name="40% - Accent1 2 4" xfId="619" xr:uid="{00000000-0005-0000-0000-0000FF030000}"/>
    <cellStyle name="40% - Accent1 2 4 2" xfId="2890" xr:uid="{00000000-0005-0000-0000-000000040000}"/>
    <cellStyle name="40% - Accent1 2 4 2 2" xfId="7113" xr:uid="{00000000-0005-0000-0000-000001040000}"/>
    <cellStyle name="40% - Accent1 2 4 2 2 2" xfId="23996" xr:uid="{0AC3423B-BF15-4FAF-B011-0D77B4145FE9}"/>
    <cellStyle name="40% - Accent1 2 4 2 2 3" xfId="32442" xr:uid="{19284BEB-63B3-4702-8487-40CAB5AF39C9}"/>
    <cellStyle name="40% - Accent1 2 4 2 2 4" xfId="15555" xr:uid="{45B2BC83-C0D6-403B-99E1-B06DC9DAF04A}"/>
    <cellStyle name="40% - Accent1 2 4 2 3" xfId="19778" xr:uid="{1CC87906-4406-45C2-9605-9CC953B705F3}"/>
    <cellStyle name="40% - Accent1 2 4 2 4" xfId="28225" xr:uid="{003E4D3B-E010-4AB3-A756-0D3DD1425273}"/>
    <cellStyle name="40% - Accent1 2 4 2 5" xfId="11337" xr:uid="{C40DC948-C3B3-46DA-AC5A-1D77DDDE752B}"/>
    <cellStyle name="40% - Accent1 2 4 3" xfId="4968" xr:uid="{00000000-0005-0000-0000-000002040000}"/>
    <cellStyle name="40% - Accent1 2 4 3 2" xfId="21851" xr:uid="{D268FA9C-3741-4C57-9D13-077A07DFA4C2}"/>
    <cellStyle name="40% - Accent1 2 4 3 3" xfId="30297" xr:uid="{59012349-35E7-4848-9B71-EFB8EA317F96}"/>
    <cellStyle name="40% - Accent1 2 4 3 4" xfId="13410" xr:uid="{D8070CCD-C782-4152-AF6D-8A7B3A2250A3}"/>
    <cellStyle name="40% - Accent1 2 4 4" xfId="17633" xr:uid="{7AFA3F99-B522-4749-8704-965D783BF1E6}"/>
    <cellStyle name="40% - Accent1 2 4 5" xfId="26078" xr:uid="{0A821AD7-DB92-4603-AE5D-5CF8B5B672B9}"/>
    <cellStyle name="40% - Accent1 2 4 6" xfId="9192" xr:uid="{A07F6B6D-C5FF-41B1-97AB-F99F71343E90}"/>
    <cellStyle name="40% - Accent1 2 5" xfId="1072" xr:uid="{00000000-0005-0000-0000-000003040000}"/>
    <cellStyle name="40% - Accent1 2 5 2" xfId="3303" xr:uid="{00000000-0005-0000-0000-000004040000}"/>
    <cellStyle name="40% - Accent1 2 5 2 2" xfId="7526" xr:uid="{00000000-0005-0000-0000-000005040000}"/>
    <cellStyle name="40% - Accent1 2 5 2 2 2" xfId="24409" xr:uid="{DA0A6BD5-BCFE-4608-A6D1-B68B883F6FD9}"/>
    <cellStyle name="40% - Accent1 2 5 2 2 3" xfId="32855" xr:uid="{AB4A6751-BFA6-42B0-8BA6-E6B66DE6518D}"/>
    <cellStyle name="40% - Accent1 2 5 2 2 4" xfId="15968" xr:uid="{4105B8D1-095C-4199-917D-AEFF635F7800}"/>
    <cellStyle name="40% - Accent1 2 5 2 3" xfId="20191" xr:uid="{F293F38A-47CB-473B-8DD9-7799F141C07A}"/>
    <cellStyle name="40% - Accent1 2 5 2 4" xfId="28638" xr:uid="{184D530C-ED35-4526-81F3-A3C26CA03003}"/>
    <cellStyle name="40% - Accent1 2 5 2 5" xfId="11750" xr:uid="{A490453E-968C-4F92-969E-6CBA9D3CC69A}"/>
    <cellStyle name="40% - Accent1 2 5 3" xfId="5381" xr:uid="{00000000-0005-0000-0000-000006040000}"/>
    <cellStyle name="40% - Accent1 2 5 3 2" xfId="22264" xr:uid="{0042022A-C946-4F25-831D-543FAA4938AD}"/>
    <cellStyle name="40% - Accent1 2 5 3 3" xfId="30710" xr:uid="{76B47598-E499-4112-9419-5AE062EEB8C2}"/>
    <cellStyle name="40% - Accent1 2 5 3 4" xfId="13823" xr:uid="{234E1A33-CFB3-4812-9B1A-891FE2336F3E}"/>
    <cellStyle name="40% - Accent1 2 5 4" xfId="18046" xr:uid="{F5AA0E2E-2C07-439C-98AF-418BD1B7F91B}"/>
    <cellStyle name="40% - Accent1 2 5 5" xfId="26491" xr:uid="{E2FC2DFB-88BB-43BA-877C-C3C6B7D1A443}"/>
    <cellStyle name="40% - Accent1 2 5 6" xfId="9605" xr:uid="{F97FBBD5-F737-42BB-BB3C-F849A6231008}"/>
    <cellStyle name="40% - Accent1 2 6" xfId="1486" xr:uid="{00000000-0005-0000-0000-000007040000}"/>
    <cellStyle name="40% - Accent1 2 6 2" xfId="3716" xr:uid="{00000000-0005-0000-0000-000008040000}"/>
    <cellStyle name="40% - Accent1 2 6 2 2" xfId="7939" xr:uid="{00000000-0005-0000-0000-000009040000}"/>
    <cellStyle name="40% - Accent1 2 6 2 2 2" xfId="24822" xr:uid="{1E13595C-B75D-4ECB-8A42-445E34C91912}"/>
    <cellStyle name="40% - Accent1 2 6 2 2 3" xfId="33268" xr:uid="{6E1759B8-344A-48C7-A726-70AAF34BAE0F}"/>
    <cellStyle name="40% - Accent1 2 6 2 2 4" xfId="16381" xr:uid="{66E0177C-559C-4341-BCFC-1856D8ADEA63}"/>
    <cellStyle name="40% - Accent1 2 6 2 3" xfId="20604" xr:uid="{C29199AA-5D51-4E0F-A5B9-70D97F75483F}"/>
    <cellStyle name="40% - Accent1 2 6 2 4" xfId="29051" xr:uid="{08158888-F4E1-4174-B100-691895F082B3}"/>
    <cellStyle name="40% - Accent1 2 6 2 5" xfId="12163" xr:uid="{E5AC44B3-D765-492F-B998-6A7A5486B243}"/>
    <cellStyle name="40% - Accent1 2 6 3" xfId="5794" xr:uid="{00000000-0005-0000-0000-00000A040000}"/>
    <cellStyle name="40% - Accent1 2 6 3 2" xfId="22677" xr:uid="{DA2BA58F-91B0-4CFC-ADF7-027D432C9646}"/>
    <cellStyle name="40% - Accent1 2 6 3 3" xfId="31123" xr:uid="{9AA8CB66-2A12-40ED-9208-7FD5574CC1A4}"/>
    <cellStyle name="40% - Accent1 2 6 3 4" xfId="14236" xr:uid="{8DF73C8F-5B01-4DBA-A261-2BA24485BE3A}"/>
    <cellStyle name="40% - Accent1 2 6 4" xfId="18459" xr:uid="{61682144-70E5-40FC-A7B5-0EEDCA3B1A70}"/>
    <cellStyle name="40% - Accent1 2 6 5" xfId="26904" xr:uid="{01B0F54F-DA49-4ECA-9AC3-7085BCF06F97}"/>
    <cellStyle name="40% - Accent1 2 6 6" xfId="10018" xr:uid="{D285A653-EDA8-4F24-9ED4-AC0EDFF77F07}"/>
    <cellStyle name="40% - Accent1 2 7" xfId="1900" xr:uid="{00000000-0005-0000-0000-00000B040000}"/>
    <cellStyle name="40% - Accent1 2 7 2" xfId="4129" xr:uid="{00000000-0005-0000-0000-00000C040000}"/>
    <cellStyle name="40% - Accent1 2 7 2 2" xfId="8352" xr:uid="{00000000-0005-0000-0000-00000D040000}"/>
    <cellStyle name="40% - Accent1 2 7 2 2 2" xfId="25235" xr:uid="{46022CA6-4C8E-4F83-9C0D-0A12C1D4BF9F}"/>
    <cellStyle name="40% - Accent1 2 7 2 2 3" xfId="33681" xr:uid="{E5A7FE38-0806-4F31-9153-A308FB632B6C}"/>
    <cellStyle name="40% - Accent1 2 7 2 2 4" xfId="16794" xr:uid="{148BA9D6-D10A-4629-B7F9-27865E11FE55}"/>
    <cellStyle name="40% - Accent1 2 7 2 3" xfId="21017" xr:uid="{E52B0011-7ECA-4F69-A988-5F034D5FF736}"/>
    <cellStyle name="40% - Accent1 2 7 2 4" xfId="29464" xr:uid="{AA2E297C-8DE7-4ED1-BEFE-3747B0C4F3D9}"/>
    <cellStyle name="40% - Accent1 2 7 2 5" xfId="12576" xr:uid="{69727AA5-13F0-4E5A-88CE-FF0B6632DD25}"/>
    <cellStyle name="40% - Accent1 2 7 3" xfId="6207" xr:uid="{00000000-0005-0000-0000-00000E040000}"/>
    <cellStyle name="40% - Accent1 2 7 3 2" xfId="23090" xr:uid="{4AF90EF8-7716-4F56-A92F-CD244C584B9C}"/>
    <cellStyle name="40% - Accent1 2 7 3 3" xfId="31536" xr:uid="{6E3EF3BB-2075-464A-AE96-6CFD203E39C7}"/>
    <cellStyle name="40% - Accent1 2 7 3 4" xfId="14649" xr:uid="{A1AD1873-B832-458B-B11B-453985D1F12B}"/>
    <cellStyle name="40% - Accent1 2 7 4" xfId="18872" xr:uid="{802E6A3C-8CF4-40BE-ADD2-1EA4E0A05E2F}"/>
    <cellStyle name="40% - Accent1 2 7 5" xfId="27317" xr:uid="{4071DA3F-CD7D-4AF2-BDAE-C784868C04FB}"/>
    <cellStyle name="40% - Accent1 2 7 6" xfId="10431" xr:uid="{7E6D95F0-7762-455F-8F33-0B7B8480CED6}"/>
    <cellStyle name="40% - Accent1 2 8" xfId="2313" xr:uid="{00000000-0005-0000-0000-00000F040000}"/>
    <cellStyle name="40% - Accent1 2 8 2" xfId="6620" xr:uid="{00000000-0005-0000-0000-000010040000}"/>
    <cellStyle name="40% - Accent1 2 8 2 2" xfId="23503" xr:uid="{37DA9997-DC0D-483C-9B2B-E55EB4A5C5DE}"/>
    <cellStyle name="40% - Accent1 2 8 2 3" xfId="31949" xr:uid="{BA119F56-B2C0-42B6-A3EC-E782436C5135}"/>
    <cellStyle name="40% - Accent1 2 8 2 4" xfId="15062" xr:uid="{B967A752-F69E-441A-816E-A887F6A3F9A0}"/>
    <cellStyle name="40% - Accent1 2 8 3" xfId="19285" xr:uid="{38D2A547-8B4A-4B68-AA6B-7D8874E2B8B2}"/>
    <cellStyle name="40% - Accent1 2 8 4" xfId="27730" xr:uid="{71E647BA-AAEB-4E60-A4DC-5E935EE93941}"/>
    <cellStyle name="40% - Accent1 2 8 5" xfId="10844" xr:uid="{59579125-1B94-4890-997B-0495674B4ECB}"/>
    <cellStyle name="40% - Accent1 2 9" xfId="4554" xr:uid="{00000000-0005-0000-0000-000011040000}"/>
    <cellStyle name="40% - Accent1 2 9 2" xfId="21437" xr:uid="{0F493EFD-609B-42A5-AA73-A564E4EFA3D5}"/>
    <cellStyle name="40% - Accent1 2 9 3" xfId="29883" xr:uid="{6E1EE12C-D54B-496B-96A6-89B8C8FDC524}"/>
    <cellStyle name="40% - Accent1 2 9 4" xfId="12996" xr:uid="{B85A0FEE-A499-4AC9-8480-62EA7F26EB18}"/>
    <cellStyle name="40% - Accent1 3" xfId="54" xr:uid="{00000000-0005-0000-0000-000012040000}"/>
    <cellStyle name="40% - Accent1 3 10" xfId="25665" xr:uid="{0C06BAD1-3CCC-4BE3-805D-9C031D69E25E}"/>
    <cellStyle name="40% - Accent1 3 11" xfId="8782" xr:uid="{55892DED-B27D-4FAC-86A0-92B9AEF6B0AA}"/>
    <cellStyle name="40% - Accent1 3 2" xfId="55" xr:uid="{00000000-0005-0000-0000-000013040000}"/>
    <cellStyle name="40% - Accent1 3 2 10" xfId="8783" xr:uid="{A9B15C6D-5545-48C5-8351-BE31479A1024}"/>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24001" xr:uid="{B7E9E23A-D520-4EF2-8060-17E834218391}"/>
    <cellStyle name="40% - Accent1 3 2 2 2 2 3" xfId="32447" xr:uid="{BCF9EF4E-2F17-46C4-A779-DC30E8C6A8E2}"/>
    <cellStyle name="40% - Accent1 3 2 2 2 2 4" xfId="15560" xr:uid="{28C2FBD8-926A-4F8E-885D-71B381634D8E}"/>
    <cellStyle name="40% - Accent1 3 2 2 2 3" xfId="19783" xr:uid="{445606CD-0DC6-4EDB-8996-790CBB52FF6E}"/>
    <cellStyle name="40% - Accent1 3 2 2 2 4" xfId="28230" xr:uid="{376DD6C7-B1B3-4C56-8B3C-CBF0E01D5857}"/>
    <cellStyle name="40% - Accent1 3 2 2 2 5" xfId="11342" xr:uid="{0BAFE7A0-8285-4798-91C1-35A6789F8683}"/>
    <cellStyle name="40% - Accent1 3 2 2 3" xfId="4973" xr:uid="{00000000-0005-0000-0000-000017040000}"/>
    <cellStyle name="40% - Accent1 3 2 2 3 2" xfId="21856" xr:uid="{2A22085C-1D85-4F01-8830-301D9FBEF82C}"/>
    <cellStyle name="40% - Accent1 3 2 2 3 3" xfId="30302" xr:uid="{4E22AAAA-7A00-4639-B703-18889B67BD7B}"/>
    <cellStyle name="40% - Accent1 3 2 2 3 4" xfId="13415" xr:uid="{9455F59A-B612-48CC-8216-16EBE8C07A60}"/>
    <cellStyle name="40% - Accent1 3 2 2 4" xfId="17638" xr:uid="{88F28F6B-6C84-4655-A169-3061FE50F319}"/>
    <cellStyle name="40% - Accent1 3 2 2 5" xfId="26083" xr:uid="{194E6E10-DDBD-492E-8A00-D664BABE0272}"/>
    <cellStyle name="40% - Accent1 3 2 2 6" xfId="9197" xr:uid="{83F40E76-4FB4-4FAA-9028-165E49FDC622}"/>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24414" xr:uid="{36CA2049-C584-4DDC-95B7-001E1A7F0349}"/>
    <cellStyle name="40% - Accent1 3 2 3 2 2 3" xfId="32860" xr:uid="{703AC293-5473-4A7D-96A2-D8F37ACE487C}"/>
    <cellStyle name="40% - Accent1 3 2 3 2 2 4" xfId="15973" xr:uid="{5F8EB3BB-24B8-431D-9DE4-DF015C6F2398}"/>
    <cellStyle name="40% - Accent1 3 2 3 2 3" xfId="20196" xr:uid="{AEE3B736-D8C0-484A-B313-9242077D910F}"/>
    <cellStyle name="40% - Accent1 3 2 3 2 4" xfId="28643" xr:uid="{E1A1FFB0-1332-425B-A2EF-B57F80672053}"/>
    <cellStyle name="40% - Accent1 3 2 3 2 5" xfId="11755" xr:uid="{E554063B-28B1-4BD4-92E1-5F814B34D3C9}"/>
    <cellStyle name="40% - Accent1 3 2 3 3" xfId="5386" xr:uid="{00000000-0005-0000-0000-00001B040000}"/>
    <cellStyle name="40% - Accent1 3 2 3 3 2" xfId="22269" xr:uid="{272B8FCC-5851-4544-BA60-E0C570601934}"/>
    <cellStyle name="40% - Accent1 3 2 3 3 3" xfId="30715" xr:uid="{B19A1E18-328F-404F-8C85-CF4123AF1267}"/>
    <cellStyle name="40% - Accent1 3 2 3 3 4" xfId="13828" xr:uid="{E3D3FEA0-0C68-4475-9FA9-95A4091B374C}"/>
    <cellStyle name="40% - Accent1 3 2 3 4" xfId="18051" xr:uid="{57611ED6-62E7-4A7D-8AB4-32FAA45E8B17}"/>
    <cellStyle name="40% - Accent1 3 2 3 5" xfId="26496" xr:uid="{D9CF7AD5-85B6-4B8D-988D-1C78B1B0AEBA}"/>
    <cellStyle name="40% - Accent1 3 2 3 6" xfId="9610" xr:uid="{ECCB1BFA-B729-4656-80B0-E0C698A02279}"/>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24827" xr:uid="{1708C19A-30FA-42A5-B7D9-EC2EBF1DA2BB}"/>
    <cellStyle name="40% - Accent1 3 2 4 2 2 3" xfId="33273" xr:uid="{3AD919A2-C3BB-4A24-A306-6782347D538B}"/>
    <cellStyle name="40% - Accent1 3 2 4 2 2 4" xfId="16386" xr:uid="{F978ECA5-124E-496D-A032-DA156732F440}"/>
    <cellStyle name="40% - Accent1 3 2 4 2 3" xfId="20609" xr:uid="{1032CAF9-009E-419A-932E-C9FE3F721590}"/>
    <cellStyle name="40% - Accent1 3 2 4 2 4" xfId="29056" xr:uid="{63C1C3A1-2D2C-4CF0-AAB4-D604F4AD4C2B}"/>
    <cellStyle name="40% - Accent1 3 2 4 2 5" xfId="12168" xr:uid="{71B2B10B-8D2B-4490-BD91-27918FE5D72C}"/>
    <cellStyle name="40% - Accent1 3 2 4 3" xfId="5799" xr:uid="{00000000-0005-0000-0000-00001F040000}"/>
    <cellStyle name="40% - Accent1 3 2 4 3 2" xfId="22682" xr:uid="{16C2714E-22D3-4911-A026-CFCC20790DE4}"/>
    <cellStyle name="40% - Accent1 3 2 4 3 3" xfId="31128" xr:uid="{B699B58C-2902-4265-B915-61D08C638362}"/>
    <cellStyle name="40% - Accent1 3 2 4 3 4" xfId="14241" xr:uid="{B6733FEE-41CE-4196-A7AA-007FF52F7EA7}"/>
    <cellStyle name="40% - Accent1 3 2 4 4" xfId="18464" xr:uid="{C6CB7BE5-21EA-4EFC-B516-58873689BFA6}"/>
    <cellStyle name="40% - Accent1 3 2 4 5" xfId="26909" xr:uid="{05E26BFE-7832-410F-883C-23F1492609F0}"/>
    <cellStyle name="40% - Accent1 3 2 4 6" xfId="10023" xr:uid="{EBF68308-5DA9-49D9-9450-4618689194A2}"/>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25240" xr:uid="{27FB670E-E095-4A3F-A374-D0B96B49B177}"/>
    <cellStyle name="40% - Accent1 3 2 5 2 2 3" xfId="33686" xr:uid="{33D1FFE5-3B90-4F00-ADAB-E199F3F1DC8C}"/>
    <cellStyle name="40% - Accent1 3 2 5 2 2 4" xfId="16799" xr:uid="{CC63BDD0-7045-4323-A93F-C212BF71FA43}"/>
    <cellStyle name="40% - Accent1 3 2 5 2 3" xfId="21022" xr:uid="{7DCC3E83-86C7-4DB4-B7B5-1E18E8A83480}"/>
    <cellStyle name="40% - Accent1 3 2 5 2 4" xfId="29469" xr:uid="{BB1260B0-588B-4996-B79F-C15ABF07BF24}"/>
    <cellStyle name="40% - Accent1 3 2 5 2 5" xfId="12581" xr:uid="{A7B1F4A3-1A9D-4299-BD79-630F6DB48E66}"/>
    <cellStyle name="40% - Accent1 3 2 5 3" xfId="6212" xr:uid="{00000000-0005-0000-0000-000023040000}"/>
    <cellStyle name="40% - Accent1 3 2 5 3 2" xfId="23095" xr:uid="{1CA12C94-2FD5-4102-9812-807208C3197E}"/>
    <cellStyle name="40% - Accent1 3 2 5 3 3" xfId="31541" xr:uid="{E6BF13E9-A2A9-4A51-952E-40058424B711}"/>
    <cellStyle name="40% - Accent1 3 2 5 3 4" xfId="14654" xr:uid="{20A83541-9348-493D-A374-C1C9F6229C73}"/>
    <cellStyle name="40% - Accent1 3 2 5 4" xfId="18877" xr:uid="{5120EDE0-A81E-4F5D-A6BE-1DD50C3BA991}"/>
    <cellStyle name="40% - Accent1 3 2 5 5" xfId="27322" xr:uid="{0C097E46-F0BA-4A0B-8484-146640E33200}"/>
    <cellStyle name="40% - Accent1 3 2 5 6" xfId="10436" xr:uid="{E29065A5-E1B0-4EB7-8609-03CBDF72027A}"/>
    <cellStyle name="40% - Accent1 3 2 6" xfId="2318" xr:uid="{00000000-0005-0000-0000-000024040000}"/>
    <cellStyle name="40% - Accent1 3 2 6 2" xfId="6625" xr:uid="{00000000-0005-0000-0000-000025040000}"/>
    <cellStyle name="40% - Accent1 3 2 6 2 2" xfId="23508" xr:uid="{9141F166-5341-4660-BF76-8A392945520A}"/>
    <cellStyle name="40% - Accent1 3 2 6 2 3" xfId="31954" xr:uid="{D75A9F6C-F69B-4C11-9F99-4E039C1E7DEC}"/>
    <cellStyle name="40% - Accent1 3 2 6 2 4" xfId="15067" xr:uid="{334CAB2A-F407-4730-8873-3F32D1B6D46E}"/>
    <cellStyle name="40% - Accent1 3 2 6 3" xfId="19290" xr:uid="{71CC8359-CEC5-4190-87CF-7731D4B45685}"/>
    <cellStyle name="40% - Accent1 3 2 6 4" xfId="27735" xr:uid="{9E470B07-F33A-4165-97E5-C627B507C193}"/>
    <cellStyle name="40% - Accent1 3 2 6 5" xfId="10849" xr:uid="{47AFC4BC-F315-4941-96D1-690199D822AD}"/>
    <cellStyle name="40% - Accent1 3 2 7" xfId="4559" xr:uid="{00000000-0005-0000-0000-000026040000}"/>
    <cellStyle name="40% - Accent1 3 2 7 2" xfId="21442" xr:uid="{3B7D764A-3C0F-4D23-B936-7980A37D4014}"/>
    <cellStyle name="40% - Accent1 3 2 7 3" xfId="29888" xr:uid="{6575D793-EDD7-4107-A90F-0CFB52924BF2}"/>
    <cellStyle name="40% - Accent1 3 2 7 4" xfId="13001" xr:uid="{FE74AC65-C9F0-4C83-BB20-F711EAB926C8}"/>
    <cellStyle name="40% - Accent1 3 2 8" xfId="17224" xr:uid="{6F6065A2-30C3-4E6B-8431-26FF65BF34F7}"/>
    <cellStyle name="40% - Accent1 3 2 9" xfId="25666" xr:uid="{EB7E956E-A8DD-4E67-9F3C-7C0BB2EAA6FF}"/>
    <cellStyle name="40% - Accent1 3 3" xfId="623" xr:uid="{00000000-0005-0000-0000-000027040000}"/>
    <cellStyle name="40% - Accent1 3 3 2" xfId="2894" xr:uid="{00000000-0005-0000-0000-000028040000}"/>
    <cellStyle name="40% - Accent1 3 3 2 2" xfId="7117" xr:uid="{00000000-0005-0000-0000-000029040000}"/>
    <cellStyle name="40% - Accent1 3 3 2 2 2" xfId="24000" xr:uid="{D2126F54-8C4E-4A0A-B2A1-8CB04620A841}"/>
    <cellStyle name="40% - Accent1 3 3 2 2 3" xfId="32446" xr:uid="{54F0BE02-5926-4C60-9602-F66FD47A706C}"/>
    <cellStyle name="40% - Accent1 3 3 2 2 4" xfId="15559" xr:uid="{A93FFF79-0F05-48BF-ABE5-EB43147637F1}"/>
    <cellStyle name="40% - Accent1 3 3 2 3" xfId="19782" xr:uid="{A45375EE-58D2-47D4-B34E-34A96A93AC92}"/>
    <cellStyle name="40% - Accent1 3 3 2 4" xfId="28229" xr:uid="{DB438882-D68C-4C9D-9275-53DB7AB62DF0}"/>
    <cellStyle name="40% - Accent1 3 3 2 5" xfId="11341" xr:uid="{5ECFD39F-31CD-4B36-868B-8F2AA7997BC1}"/>
    <cellStyle name="40% - Accent1 3 3 3" xfId="4972" xr:uid="{00000000-0005-0000-0000-00002A040000}"/>
    <cellStyle name="40% - Accent1 3 3 3 2" xfId="21855" xr:uid="{D78B109B-137E-4F01-BB4D-C1B491A63A82}"/>
    <cellStyle name="40% - Accent1 3 3 3 3" xfId="30301" xr:uid="{19B0B008-4612-4EFD-B848-83C87FDB1522}"/>
    <cellStyle name="40% - Accent1 3 3 3 4" xfId="13414" xr:uid="{915D6FE6-62D4-4313-B8D0-E698D27533F8}"/>
    <cellStyle name="40% - Accent1 3 3 4" xfId="17637" xr:uid="{E0D3022D-21AF-4B24-831C-E6542601D928}"/>
    <cellStyle name="40% - Accent1 3 3 5" xfId="26082" xr:uid="{2FDAD3D7-74AC-4ACB-8A87-98BD6B15016B}"/>
    <cellStyle name="40% - Accent1 3 3 6" xfId="9196" xr:uid="{C3619263-2093-4697-8C8E-52B7BFF57B59}"/>
    <cellStyle name="40% - Accent1 3 4" xfId="1076" xr:uid="{00000000-0005-0000-0000-00002B040000}"/>
    <cellStyle name="40% - Accent1 3 4 2" xfId="3307" xr:uid="{00000000-0005-0000-0000-00002C040000}"/>
    <cellStyle name="40% - Accent1 3 4 2 2" xfId="7530" xr:uid="{00000000-0005-0000-0000-00002D040000}"/>
    <cellStyle name="40% - Accent1 3 4 2 2 2" xfId="24413" xr:uid="{D7C59904-71D6-48F5-A483-75763C9AE66F}"/>
    <cellStyle name="40% - Accent1 3 4 2 2 3" xfId="32859" xr:uid="{CF4F8336-7E5D-42C9-B652-7CD37B87B968}"/>
    <cellStyle name="40% - Accent1 3 4 2 2 4" xfId="15972" xr:uid="{2AF9B6EF-9664-445A-B73A-02D4C43CBB4F}"/>
    <cellStyle name="40% - Accent1 3 4 2 3" xfId="20195" xr:uid="{8837A3CC-3CF2-4460-A16A-2AA827B46135}"/>
    <cellStyle name="40% - Accent1 3 4 2 4" xfId="28642" xr:uid="{5AC661C0-FC1A-4EFD-B416-8C7C40D29CBD}"/>
    <cellStyle name="40% - Accent1 3 4 2 5" xfId="11754" xr:uid="{10CFC99E-3D1E-44B3-A3D0-A1E7804A2DCC}"/>
    <cellStyle name="40% - Accent1 3 4 3" xfId="5385" xr:uid="{00000000-0005-0000-0000-00002E040000}"/>
    <cellStyle name="40% - Accent1 3 4 3 2" xfId="22268" xr:uid="{4488009F-8857-4E7C-B653-6DD8B24C2461}"/>
    <cellStyle name="40% - Accent1 3 4 3 3" xfId="30714" xr:uid="{E6F934E0-5AAD-4D4A-8377-AA6CCBD77402}"/>
    <cellStyle name="40% - Accent1 3 4 3 4" xfId="13827" xr:uid="{D1847126-89E1-4E95-B4DF-8CC12031B70B}"/>
    <cellStyle name="40% - Accent1 3 4 4" xfId="18050" xr:uid="{AEDE7D77-3607-431D-BA99-81CE2B5DFACA}"/>
    <cellStyle name="40% - Accent1 3 4 5" xfId="26495" xr:uid="{243F3FE7-4A89-4C10-ABB8-508C3A05DA7C}"/>
    <cellStyle name="40% - Accent1 3 4 6" xfId="9609" xr:uid="{4502F811-098E-49AD-88DE-7ACA5F3D9522}"/>
    <cellStyle name="40% - Accent1 3 5" xfId="1490" xr:uid="{00000000-0005-0000-0000-00002F040000}"/>
    <cellStyle name="40% - Accent1 3 5 2" xfId="3720" xr:uid="{00000000-0005-0000-0000-000030040000}"/>
    <cellStyle name="40% - Accent1 3 5 2 2" xfId="7943" xr:uid="{00000000-0005-0000-0000-000031040000}"/>
    <cellStyle name="40% - Accent1 3 5 2 2 2" xfId="24826" xr:uid="{94D0EDD0-D8AC-4D49-A47A-9F94749E165B}"/>
    <cellStyle name="40% - Accent1 3 5 2 2 3" xfId="33272" xr:uid="{D6E6E730-117E-424F-BCDF-1A2F5153623A}"/>
    <cellStyle name="40% - Accent1 3 5 2 2 4" xfId="16385" xr:uid="{345AA272-6B07-4BCD-8A56-A12ACC85F6F4}"/>
    <cellStyle name="40% - Accent1 3 5 2 3" xfId="20608" xr:uid="{88275ED1-C30B-49D1-B87D-76D0BD04EBAA}"/>
    <cellStyle name="40% - Accent1 3 5 2 4" xfId="29055" xr:uid="{406A852D-A909-4B85-BE7B-87FD47860F76}"/>
    <cellStyle name="40% - Accent1 3 5 2 5" xfId="12167" xr:uid="{EFA5AD4A-F446-4148-90A8-7FB68ED4E0C3}"/>
    <cellStyle name="40% - Accent1 3 5 3" xfId="5798" xr:uid="{00000000-0005-0000-0000-000032040000}"/>
    <cellStyle name="40% - Accent1 3 5 3 2" xfId="22681" xr:uid="{2F04BCF7-8B50-4AD8-9A10-3AD72A67C563}"/>
    <cellStyle name="40% - Accent1 3 5 3 3" xfId="31127" xr:uid="{E496DA53-8EA3-4C1B-9719-0A0812412448}"/>
    <cellStyle name="40% - Accent1 3 5 3 4" xfId="14240" xr:uid="{EEC763A8-CD87-410B-838A-EA08B3ED7213}"/>
    <cellStyle name="40% - Accent1 3 5 4" xfId="18463" xr:uid="{0A5F02DD-4827-4A20-AC65-F45BCFFBAFF1}"/>
    <cellStyle name="40% - Accent1 3 5 5" xfId="26908" xr:uid="{F378B3E5-8A01-4405-80B1-239D60D708DE}"/>
    <cellStyle name="40% - Accent1 3 5 6" xfId="10022" xr:uid="{5E89183F-CBBA-487E-859D-99BC68C64866}"/>
    <cellStyle name="40% - Accent1 3 6" xfId="1904" xr:uid="{00000000-0005-0000-0000-000033040000}"/>
    <cellStyle name="40% - Accent1 3 6 2" xfId="4133" xr:uid="{00000000-0005-0000-0000-000034040000}"/>
    <cellStyle name="40% - Accent1 3 6 2 2" xfId="8356" xr:uid="{00000000-0005-0000-0000-000035040000}"/>
    <cellStyle name="40% - Accent1 3 6 2 2 2" xfId="25239" xr:uid="{97D83677-8E2F-4D6D-B1D4-135648252753}"/>
    <cellStyle name="40% - Accent1 3 6 2 2 3" xfId="33685" xr:uid="{45C7E0BF-6EDD-4823-9473-A41485326647}"/>
    <cellStyle name="40% - Accent1 3 6 2 2 4" xfId="16798" xr:uid="{4C6FA1A9-3D4F-4C37-AFBE-1B5B31A354DE}"/>
    <cellStyle name="40% - Accent1 3 6 2 3" xfId="21021" xr:uid="{D7B2CDED-7572-4F1B-B4DC-5B995434A299}"/>
    <cellStyle name="40% - Accent1 3 6 2 4" xfId="29468" xr:uid="{3BFCC45F-580C-46E6-AB29-FA6CAB9D93C4}"/>
    <cellStyle name="40% - Accent1 3 6 2 5" xfId="12580" xr:uid="{7700A33B-C73D-43D5-BF84-5A9FC81E47C7}"/>
    <cellStyle name="40% - Accent1 3 6 3" xfId="6211" xr:uid="{00000000-0005-0000-0000-000036040000}"/>
    <cellStyle name="40% - Accent1 3 6 3 2" xfId="23094" xr:uid="{79ECE977-2841-4845-B865-BC358DF540BC}"/>
    <cellStyle name="40% - Accent1 3 6 3 3" xfId="31540" xr:uid="{9A444BC7-79E9-4FF3-BC31-DB8990141966}"/>
    <cellStyle name="40% - Accent1 3 6 3 4" xfId="14653" xr:uid="{DF4B90B6-C65A-431F-BCA4-111F3C9012B0}"/>
    <cellStyle name="40% - Accent1 3 6 4" xfId="18876" xr:uid="{12D981E1-A83E-4F86-A8C2-3E9AA642F67F}"/>
    <cellStyle name="40% - Accent1 3 6 5" xfId="27321" xr:uid="{C62A05F9-E0AF-46D7-AFD1-19807AD66B47}"/>
    <cellStyle name="40% - Accent1 3 6 6" xfId="10435" xr:uid="{B1056389-1791-475F-A61A-D3F1F4D6833A}"/>
    <cellStyle name="40% - Accent1 3 7" xfId="2317" xr:uid="{00000000-0005-0000-0000-000037040000}"/>
    <cellStyle name="40% - Accent1 3 7 2" xfId="6624" xr:uid="{00000000-0005-0000-0000-000038040000}"/>
    <cellStyle name="40% - Accent1 3 7 2 2" xfId="23507" xr:uid="{79309140-4B5D-4449-A9CD-2CDE2F70CCEC}"/>
    <cellStyle name="40% - Accent1 3 7 2 3" xfId="31953" xr:uid="{671CB351-DCFE-4BE1-9EF7-001AD7EB8B47}"/>
    <cellStyle name="40% - Accent1 3 7 2 4" xfId="15066" xr:uid="{C225D153-1DC8-4935-A69C-927363DC306E}"/>
    <cellStyle name="40% - Accent1 3 7 3" xfId="19289" xr:uid="{030B2EE9-7949-4521-95F4-22C1AB610DC6}"/>
    <cellStyle name="40% - Accent1 3 7 4" xfId="27734" xr:uid="{62F4CD83-E999-436D-827B-F1100BB03EB4}"/>
    <cellStyle name="40% - Accent1 3 7 5" xfId="10848" xr:uid="{F747B198-24C7-4552-A9A7-1459E0B7C5F3}"/>
    <cellStyle name="40% - Accent1 3 8" xfId="4558" xr:uid="{00000000-0005-0000-0000-000039040000}"/>
    <cellStyle name="40% - Accent1 3 8 2" xfId="21441" xr:uid="{DF80571B-B834-41BB-98AA-90C3352BD1E7}"/>
    <cellStyle name="40% - Accent1 3 8 3" xfId="29887" xr:uid="{7DA61372-B1BC-4D65-9948-2E9530A5656D}"/>
    <cellStyle name="40% - Accent1 3 8 4" xfId="13000" xr:uid="{B0F124B1-A3CD-4FF5-8B82-2CEDB8A86195}"/>
    <cellStyle name="40% - Accent1 3 9" xfId="17223" xr:uid="{F8A8D65C-3D58-412D-8623-E0D20B30EE0D}"/>
    <cellStyle name="40% - Accent1 4" xfId="56" xr:uid="{00000000-0005-0000-0000-00003A040000}"/>
    <cellStyle name="40% - Accent1 4 10" xfId="8784" xr:uid="{E6445842-57EE-437B-81E5-4717C30CEBDC}"/>
    <cellStyle name="40% - Accent1 4 2" xfId="625" xr:uid="{00000000-0005-0000-0000-00003B040000}"/>
    <cellStyle name="40% - Accent1 4 2 2" xfId="2896" xr:uid="{00000000-0005-0000-0000-00003C040000}"/>
    <cellStyle name="40% - Accent1 4 2 2 2" xfId="7119" xr:uid="{00000000-0005-0000-0000-00003D040000}"/>
    <cellStyle name="40% - Accent1 4 2 2 2 2" xfId="24002" xr:uid="{3DE28EF8-FA0A-439E-BC5D-946789668AD6}"/>
    <cellStyle name="40% - Accent1 4 2 2 2 3" xfId="32448" xr:uid="{338556F5-9ADE-42F7-AC24-D8532ACCABE5}"/>
    <cellStyle name="40% - Accent1 4 2 2 2 4" xfId="15561" xr:uid="{8F285F8B-874B-485E-82B7-BF64D12F41BF}"/>
    <cellStyle name="40% - Accent1 4 2 2 3" xfId="19784" xr:uid="{59ECD798-9907-4A7E-8331-8837C03D3052}"/>
    <cellStyle name="40% - Accent1 4 2 2 4" xfId="28231" xr:uid="{1D7CFC61-F123-4DDA-AB50-BC0DD3158CA7}"/>
    <cellStyle name="40% - Accent1 4 2 2 5" xfId="11343" xr:uid="{C44CA2B4-7C35-46B0-B7C1-EC2D58815AB6}"/>
    <cellStyle name="40% - Accent1 4 2 3" xfId="4974" xr:uid="{00000000-0005-0000-0000-00003E040000}"/>
    <cellStyle name="40% - Accent1 4 2 3 2" xfId="21857" xr:uid="{3AB9DEE4-E5E6-41BF-987A-24C96AC6120B}"/>
    <cellStyle name="40% - Accent1 4 2 3 3" xfId="30303" xr:uid="{7F0FF17B-F2CF-4D8D-B8BE-494C0C7BA4C6}"/>
    <cellStyle name="40% - Accent1 4 2 3 4" xfId="13416" xr:uid="{3D1402B6-CA45-40D2-9D98-3A58B98BA526}"/>
    <cellStyle name="40% - Accent1 4 2 4" xfId="17639" xr:uid="{47F475BB-6052-4556-9D8F-A0EBC6672EFD}"/>
    <cellStyle name="40% - Accent1 4 2 5" xfId="26084" xr:uid="{C65276BB-4228-433C-A0D7-CE12BF1C3ED6}"/>
    <cellStyle name="40% - Accent1 4 2 6" xfId="9198" xr:uid="{979FBEF8-0FFF-4620-84CE-E3D659FE34F4}"/>
    <cellStyle name="40% - Accent1 4 3" xfId="1078" xr:uid="{00000000-0005-0000-0000-00003F040000}"/>
    <cellStyle name="40% - Accent1 4 3 2" xfId="3309" xr:uid="{00000000-0005-0000-0000-000040040000}"/>
    <cellStyle name="40% - Accent1 4 3 2 2" xfId="7532" xr:uid="{00000000-0005-0000-0000-000041040000}"/>
    <cellStyle name="40% - Accent1 4 3 2 2 2" xfId="24415" xr:uid="{E7FC573F-6784-4695-BFA6-D4B0BFBF6062}"/>
    <cellStyle name="40% - Accent1 4 3 2 2 3" xfId="32861" xr:uid="{A6697DDB-587E-41B0-8325-E170D9698446}"/>
    <cellStyle name="40% - Accent1 4 3 2 2 4" xfId="15974" xr:uid="{5690E346-9947-44AB-A096-D68FFC47C3FD}"/>
    <cellStyle name="40% - Accent1 4 3 2 3" xfId="20197" xr:uid="{FE8345E2-9D53-4851-BB0C-AE8CB46D62B1}"/>
    <cellStyle name="40% - Accent1 4 3 2 4" xfId="28644" xr:uid="{2351F930-64B8-4B48-A098-FFDE43DCC011}"/>
    <cellStyle name="40% - Accent1 4 3 2 5" xfId="11756" xr:uid="{29AE1F37-4655-4F8C-A9DF-35BCEC368CFC}"/>
    <cellStyle name="40% - Accent1 4 3 3" xfId="5387" xr:uid="{00000000-0005-0000-0000-000042040000}"/>
    <cellStyle name="40% - Accent1 4 3 3 2" xfId="22270" xr:uid="{2E55636C-26CF-4333-B93A-52570FCF100A}"/>
    <cellStyle name="40% - Accent1 4 3 3 3" xfId="30716" xr:uid="{0DFB3215-2598-40C5-9AAD-9BB1E189A267}"/>
    <cellStyle name="40% - Accent1 4 3 3 4" xfId="13829" xr:uid="{ACF3A7D1-13AE-4969-AA57-2D9D0323820C}"/>
    <cellStyle name="40% - Accent1 4 3 4" xfId="18052" xr:uid="{859B0BF8-6300-41EB-A34E-EE448B337C28}"/>
    <cellStyle name="40% - Accent1 4 3 5" xfId="26497" xr:uid="{1E2257C2-7600-4D12-910C-B328C7DE954B}"/>
    <cellStyle name="40% - Accent1 4 3 6" xfId="9611" xr:uid="{F786D9CF-D6E6-4049-8C49-8BE7543A0A21}"/>
    <cellStyle name="40% - Accent1 4 4" xfId="1492" xr:uid="{00000000-0005-0000-0000-000043040000}"/>
    <cellStyle name="40% - Accent1 4 4 2" xfId="3722" xr:uid="{00000000-0005-0000-0000-000044040000}"/>
    <cellStyle name="40% - Accent1 4 4 2 2" xfId="7945" xr:uid="{00000000-0005-0000-0000-000045040000}"/>
    <cellStyle name="40% - Accent1 4 4 2 2 2" xfId="24828" xr:uid="{E69FEC79-85F9-4008-8344-F7B2739FAF47}"/>
    <cellStyle name="40% - Accent1 4 4 2 2 3" xfId="33274" xr:uid="{91E0A08B-3261-470E-A96E-A46AA362941C}"/>
    <cellStyle name="40% - Accent1 4 4 2 2 4" xfId="16387" xr:uid="{F2A7E667-454D-44B3-B5D5-1869E87BF139}"/>
    <cellStyle name="40% - Accent1 4 4 2 3" xfId="20610" xr:uid="{5AB7B9E4-A0FF-446F-A03E-870E08E8B2D4}"/>
    <cellStyle name="40% - Accent1 4 4 2 4" xfId="29057" xr:uid="{BC0F9EEA-87A3-41D6-B916-D165C8E3C371}"/>
    <cellStyle name="40% - Accent1 4 4 2 5" xfId="12169" xr:uid="{43658AD8-7761-44A6-AA19-0C66B0056B76}"/>
    <cellStyle name="40% - Accent1 4 4 3" xfId="5800" xr:uid="{00000000-0005-0000-0000-000046040000}"/>
    <cellStyle name="40% - Accent1 4 4 3 2" xfId="22683" xr:uid="{07E95B94-70FD-4DCA-8B86-E7E9D760E9FF}"/>
    <cellStyle name="40% - Accent1 4 4 3 3" xfId="31129" xr:uid="{C18B71E8-6094-46BD-BBFB-1DDA3A4AB72B}"/>
    <cellStyle name="40% - Accent1 4 4 3 4" xfId="14242" xr:uid="{C5A84DC1-6CEC-46D9-B3DE-1C8B71866DED}"/>
    <cellStyle name="40% - Accent1 4 4 4" xfId="18465" xr:uid="{B6F240B4-4369-4FA2-9BAD-21521E0B7796}"/>
    <cellStyle name="40% - Accent1 4 4 5" xfId="26910" xr:uid="{9D313B45-52AE-4C44-B4E3-B0E60BBCC071}"/>
    <cellStyle name="40% - Accent1 4 4 6" xfId="10024" xr:uid="{3C1E91A1-0380-4223-B9F8-4E4728F22094}"/>
    <cellStyle name="40% - Accent1 4 5" xfId="1906" xr:uid="{00000000-0005-0000-0000-000047040000}"/>
    <cellStyle name="40% - Accent1 4 5 2" xfId="4135" xr:uid="{00000000-0005-0000-0000-000048040000}"/>
    <cellStyle name="40% - Accent1 4 5 2 2" xfId="8358" xr:uid="{00000000-0005-0000-0000-000049040000}"/>
    <cellStyle name="40% - Accent1 4 5 2 2 2" xfId="25241" xr:uid="{AA863888-4424-4BB0-8181-1FC8827732D1}"/>
    <cellStyle name="40% - Accent1 4 5 2 2 3" xfId="33687" xr:uid="{D5DE3ADF-2AAF-44D2-B0AE-1EF5E19C5FDA}"/>
    <cellStyle name="40% - Accent1 4 5 2 2 4" xfId="16800" xr:uid="{41E86E7F-A4C4-4A19-845A-21C45831BEDD}"/>
    <cellStyle name="40% - Accent1 4 5 2 3" xfId="21023" xr:uid="{C9DC299D-E46D-47F8-81DA-DD818CF2C41A}"/>
    <cellStyle name="40% - Accent1 4 5 2 4" xfId="29470" xr:uid="{0209EA51-0EED-45BF-8F59-43E2FF9C43A4}"/>
    <cellStyle name="40% - Accent1 4 5 2 5" xfId="12582" xr:uid="{85AA048E-29F2-4D8D-B571-9476739D6AD7}"/>
    <cellStyle name="40% - Accent1 4 5 3" xfId="6213" xr:uid="{00000000-0005-0000-0000-00004A040000}"/>
    <cellStyle name="40% - Accent1 4 5 3 2" xfId="23096" xr:uid="{685DBE4F-5685-40C9-B36B-8109AAFFB642}"/>
    <cellStyle name="40% - Accent1 4 5 3 3" xfId="31542" xr:uid="{AE0C77DB-F359-4B66-9C71-FB6DC1E9BFA6}"/>
    <cellStyle name="40% - Accent1 4 5 3 4" xfId="14655" xr:uid="{9144EF04-7427-434F-B0F5-2DE7CEAAE510}"/>
    <cellStyle name="40% - Accent1 4 5 4" xfId="18878" xr:uid="{CBB9EF95-C8E7-4101-A9F2-A89F7931EC54}"/>
    <cellStyle name="40% - Accent1 4 5 5" xfId="27323" xr:uid="{0693766F-C10D-4C11-ABB6-B571DADCCB52}"/>
    <cellStyle name="40% - Accent1 4 5 6" xfId="10437" xr:uid="{539A9376-C72E-4EEA-A61A-04666FDB8DF0}"/>
    <cellStyle name="40% - Accent1 4 6" xfId="2319" xr:uid="{00000000-0005-0000-0000-00004B040000}"/>
    <cellStyle name="40% - Accent1 4 6 2" xfId="6626" xr:uid="{00000000-0005-0000-0000-00004C040000}"/>
    <cellStyle name="40% - Accent1 4 6 2 2" xfId="23509" xr:uid="{1A9CC488-BF5C-4439-8A0D-91882FAD25CE}"/>
    <cellStyle name="40% - Accent1 4 6 2 3" xfId="31955" xr:uid="{F8F16853-B547-4853-A24E-E8952F5CF820}"/>
    <cellStyle name="40% - Accent1 4 6 2 4" xfId="15068" xr:uid="{963FA682-5EDF-4457-8B68-B6CDA88D9823}"/>
    <cellStyle name="40% - Accent1 4 6 3" xfId="19291" xr:uid="{F364F2B1-47A8-434D-B81E-DAF293FC1D7E}"/>
    <cellStyle name="40% - Accent1 4 6 4" xfId="27736" xr:uid="{6A0835F6-5FA8-4548-B3AC-6161F205F1E0}"/>
    <cellStyle name="40% - Accent1 4 6 5" xfId="10850" xr:uid="{09C927AE-BDB2-4807-BDA3-B626187FDD97}"/>
    <cellStyle name="40% - Accent1 4 7" xfId="4560" xr:uid="{00000000-0005-0000-0000-00004D040000}"/>
    <cellStyle name="40% - Accent1 4 7 2" xfId="21443" xr:uid="{79747135-9262-4BE3-AB5B-B27474A6ADE8}"/>
    <cellStyle name="40% - Accent1 4 7 3" xfId="29889" xr:uid="{7382375D-6297-40A9-AA82-E877E77E4AF4}"/>
    <cellStyle name="40% - Accent1 4 7 4" xfId="13002" xr:uid="{A3E43CE3-CB57-4E3D-99E7-B22F10177EBB}"/>
    <cellStyle name="40% - Accent1 4 8" xfId="17225" xr:uid="{BFB03A6D-5DA9-4555-84DC-F76F3D3044C7}"/>
    <cellStyle name="40% - Accent1 4 9" xfId="25667" xr:uid="{D68D5700-3342-4EB4-8AB4-94BAA9B3DFC2}"/>
    <cellStyle name="40% - Accent1 5" xfId="618" xr:uid="{00000000-0005-0000-0000-00004E040000}"/>
    <cellStyle name="40% - Accent1 5 2" xfId="2889" xr:uid="{00000000-0005-0000-0000-00004F040000}"/>
    <cellStyle name="40% - Accent1 5 2 2" xfId="7112" xr:uid="{00000000-0005-0000-0000-000050040000}"/>
    <cellStyle name="40% - Accent1 5 2 2 2" xfId="23995" xr:uid="{1243F40D-20A2-41F2-87C9-084DAA9B1660}"/>
    <cellStyle name="40% - Accent1 5 2 2 3" xfId="32441" xr:uid="{BCC39C37-BD45-4773-A987-A6BF0F432017}"/>
    <cellStyle name="40% - Accent1 5 2 2 4" xfId="15554" xr:uid="{937A579A-816A-4DA2-90F6-E6F5CB263C84}"/>
    <cellStyle name="40% - Accent1 5 2 3" xfId="19777" xr:uid="{67E96030-526C-447E-B503-3DE40B915CBB}"/>
    <cellStyle name="40% - Accent1 5 2 4" xfId="28224" xr:uid="{CD5E0083-587F-4529-B822-465B0E22A7F6}"/>
    <cellStyle name="40% - Accent1 5 2 5" xfId="11336" xr:uid="{7E06A681-359E-491F-A32D-3022BE2E272F}"/>
    <cellStyle name="40% - Accent1 5 3" xfId="4967" xr:uid="{00000000-0005-0000-0000-000051040000}"/>
    <cellStyle name="40% - Accent1 5 3 2" xfId="21850" xr:uid="{0DE3391C-4609-440D-9AA0-1F9C9DC90E80}"/>
    <cellStyle name="40% - Accent1 5 3 3" xfId="30296" xr:uid="{2CD5F068-C9A0-4E50-B607-5EE03C5CF949}"/>
    <cellStyle name="40% - Accent1 5 3 4" xfId="13409" xr:uid="{5A4C6CA4-4361-4BA9-B3EE-6701B6C6170A}"/>
    <cellStyle name="40% - Accent1 5 4" xfId="17632" xr:uid="{838A00C0-EB93-4BB8-B479-D19A6ABFD3BA}"/>
    <cellStyle name="40% - Accent1 5 5" xfId="26077" xr:uid="{52F379DB-7C17-4746-98F4-86A814D6A62B}"/>
    <cellStyle name="40% - Accent1 5 6" xfId="9191" xr:uid="{A5015659-EA70-4542-939F-8B5BDCB81D87}"/>
    <cellStyle name="40% - Accent1 6" xfId="1071" xr:uid="{00000000-0005-0000-0000-000052040000}"/>
    <cellStyle name="40% - Accent1 6 2" xfId="3302" xr:uid="{00000000-0005-0000-0000-000053040000}"/>
    <cellStyle name="40% - Accent1 6 2 2" xfId="7525" xr:uid="{00000000-0005-0000-0000-000054040000}"/>
    <cellStyle name="40% - Accent1 6 2 2 2" xfId="24408" xr:uid="{5BFE4FF2-A5E0-4341-92C6-FFCD5DC8B399}"/>
    <cellStyle name="40% - Accent1 6 2 2 3" xfId="32854" xr:uid="{E03849A9-212B-4703-B996-C0088EBE804D}"/>
    <cellStyle name="40% - Accent1 6 2 2 4" xfId="15967" xr:uid="{C65C5B1C-90A6-47DD-9966-E0A33A2DFE0F}"/>
    <cellStyle name="40% - Accent1 6 2 3" xfId="20190" xr:uid="{377A6586-B82B-4235-9978-C47D7ED7ECBB}"/>
    <cellStyle name="40% - Accent1 6 2 4" xfId="28637" xr:uid="{6156A6BF-BA35-4F7F-9B31-55AB01DB0D24}"/>
    <cellStyle name="40% - Accent1 6 2 5" xfId="11749" xr:uid="{62EDE073-378D-4937-A1DD-4EAF472745F6}"/>
    <cellStyle name="40% - Accent1 6 3" xfId="5380" xr:uid="{00000000-0005-0000-0000-000055040000}"/>
    <cellStyle name="40% - Accent1 6 3 2" xfId="22263" xr:uid="{69012BA1-6AC9-490E-8FBF-96D16853BAEF}"/>
    <cellStyle name="40% - Accent1 6 3 3" xfId="30709" xr:uid="{D8735FC2-EA06-4C6E-A563-41A026EE366A}"/>
    <cellStyle name="40% - Accent1 6 3 4" xfId="13822" xr:uid="{4B8BD3D0-0F8E-4B40-99C5-A7C54A971F2A}"/>
    <cellStyle name="40% - Accent1 6 4" xfId="18045" xr:uid="{31C22CD5-CA0D-4081-9A34-D0752BECF352}"/>
    <cellStyle name="40% - Accent1 6 5" xfId="26490" xr:uid="{6E5A132E-D3FD-4C9B-8A3C-C7EC6F60ECC3}"/>
    <cellStyle name="40% - Accent1 6 6" xfId="9604" xr:uid="{B298008E-DCFF-4042-8EF0-FE0107ACC85E}"/>
    <cellStyle name="40% - Accent1 7" xfId="1485" xr:uid="{00000000-0005-0000-0000-000056040000}"/>
    <cellStyle name="40% - Accent1 7 2" xfId="3715" xr:uid="{00000000-0005-0000-0000-000057040000}"/>
    <cellStyle name="40% - Accent1 7 2 2" xfId="7938" xr:uid="{00000000-0005-0000-0000-000058040000}"/>
    <cellStyle name="40% - Accent1 7 2 2 2" xfId="24821" xr:uid="{1DC15DA8-DEC1-47BE-B931-DDE0F1506074}"/>
    <cellStyle name="40% - Accent1 7 2 2 3" xfId="33267" xr:uid="{E5701681-3E79-49EC-A972-836E7BFC8AE8}"/>
    <cellStyle name="40% - Accent1 7 2 2 4" xfId="16380" xr:uid="{79B91905-0F2A-4432-AD78-78AA0B33DE27}"/>
    <cellStyle name="40% - Accent1 7 2 3" xfId="20603" xr:uid="{E6BE795F-4D9C-40BD-B6F7-3315C91F6AD1}"/>
    <cellStyle name="40% - Accent1 7 2 4" xfId="29050" xr:uid="{8D554507-EF52-4B13-97F9-2F92F444331C}"/>
    <cellStyle name="40% - Accent1 7 2 5" xfId="12162" xr:uid="{3007EA46-A253-4476-91C1-1D61A1E66FEC}"/>
    <cellStyle name="40% - Accent1 7 3" xfId="5793" xr:uid="{00000000-0005-0000-0000-000059040000}"/>
    <cellStyle name="40% - Accent1 7 3 2" xfId="22676" xr:uid="{970B7BC6-DD53-4CAD-B68A-03D9AC166235}"/>
    <cellStyle name="40% - Accent1 7 3 3" xfId="31122" xr:uid="{C9415452-9E98-4514-8483-43C8D6EE5D47}"/>
    <cellStyle name="40% - Accent1 7 3 4" xfId="14235" xr:uid="{0D12E3B6-EE84-48B6-9D77-0671B49E526C}"/>
    <cellStyle name="40% - Accent1 7 4" xfId="18458" xr:uid="{1C5736A8-DDF2-4F8A-BFCD-65FC26CE1394}"/>
    <cellStyle name="40% - Accent1 7 5" xfId="26903" xr:uid="{9695B011-47B2-4278-A7F9-D3FA7FAE269A}"/>
    <cellStyle name="40% - Accent1 7 6" xfId="10017" xr:uid="{43C1CE09-26C4-4436-BC09-42B186EFF4E0}"/>
    <cellStyle name="40% - Accent1 8" xfId="1899" xr:uid="{00000000-0005-0000-0000-00005A040000}"/>
    <cellStyle name="40% - Accent1 8 2" xfId="4128" xr:uid="{00000000-0005-0000-0000-00005B040000}"/>
    <cellStyle name="40% - Accent1 8 2 2" xfId="8351" xr:uid="{00000000-0005-0000-0000-00005C040000}"/>
    <cellStyle name="40% - Accent1 8 2 2 2" xfId="25234" xr:uid="{B17D8B98-6135-405D-9B10-CE1E56FC6429}"/>
    <cellStyle name="40% - Accent1 8 2 2 3" xfId="33680" xr:uid="{B41A87AA-2450-4671-A040-731FB63EF357}"/>
    <cellStyle name="40% - Accent1 8 2 2 4" xfId="16793" xr:uid="{226D2F1B-6E49-407E-A2B8-A73A0F342B6B}"/>
    <cellStyle name="40% - Accent1 8 2 3" xfId="21016" xr:uid="{2F516D35-7B5C-4B3B-8E94-81B6A6EC99EE}"/>
    <cellStyle name="40% - Accent1 8 2 4" xfId="29463" xr:uid="{181A9348-DFF3-4F3C-AB46-38DA66656A37}"/>
    <cellStyle name="40% - Accent1 8 2 5" xfId="12575" xr:uid="{5B9AEC42-BC71-47BD-8BBE-BE529766C7A8}"/>
    <cellStyle name="40% - Accent1 8 3" xfId="6206" xr:uid="{00000000-0005-0000-0000-00005D040000}"/>
    <cellStyle name="40% - Accent1 8 3 2" xfId="23089" xr:uid="{0B4054BA-8136-4DF7-92B4-71FF171F9CA0}"/>
    <cellStyle name="40% - Accent1 8 3 3" xfId="31535" xr:uid="{553CFE34-FC73-4370-9294-22F36C6015EA}"/>
    <cellStyle name="40% - Accent1 8 3 4" xfId="14648" xr:uid="{95FFBEAA-720A-4DB2-A784-8669BC1E239C}"/>
    <cellStyle name="40% - Accent1 8 4" xfId="18871" xr:uid="{979844EE-F05B-4169-84C0-D2065CB3A8B0}"/>
    <cellStyle name="40% - Accent1 8 5" xfId="27316" xr:uid="{A9B30F5A-35CC-44DD-87E3-C85BEBC299F4}"/>
    <cellStyle name="40% - Accent1 8 6" xfId="10430" xr:uid="{B41B7826-9B1C-43E1-938C-D920CB012824}"/>
    <cellStyle name="40% - Accent1 9" xfId="2312" xr:uid="{00000000-0005-0000-0000-00005E040000}"/>
    <cellStyle name="40% - Accent1 9 2" xfId="6619" xr:uid="{00000000-0005-0000-0000-00005F040000}"/>
    <cellStyle name="40% - Accent1 9 2 2" xfId="23502" xr:uid="{80CA8FC5-B2AB-4AF8-8605-78798FAD840C}"/>
    <cellStyle name="40% - Accent1 9 2 3" xfId="31948" xr:uid="{C4965E9D-5E1A-4EE3-896E-2A99024A020C}"/>
    <cellStyle name="40% - Accent1 9 2 4" xfId="15061" xr:uid="{27C4C71F-E25C-487D-A402-27CB1AEDF058}"/>
    <cellStyle name="40% - Accent1 9 3" xfId="19284" xr:uid="{B178577D-BBFF-4758-8CEA-12B37366066C}"/>
    <cellStyle name="40% - Accent1 9 4" xfId="27729" xr:uid="{02A203A1-16E9-45CE-AF78-1CF0914B212D}"/>
    <cellStyle name="40% - Accent1 9 5" xfId="10843" xr:uid="{EA5C983A-41DD-409F-9066-8544091F630B}"/>
    <cellStyle name="40% - Accent2" xfId="57" builtinId="35" customBuiltin="1"/>
    <cellStyle name="40% - Accent2 10" xfId="4561" xr:uid="{00000000-0005-0000-0000-000061040000}"/>
    <cellStyle name="40% - Accent2 10 2" xfId="21444" xr:uid="{BBD133C9-7F20-46A5-8C9F-8FAFD0A72E58}"/>
    <cellStyle name="40% - Accent2 10 3" xfId="29890" xr:uid="{18EC02E6-4BA0-42EC-B51D-1A143AFBDFC3}"/>
    <cellStyle name="40% - Accent2 10 4" xfId="13003" xr:uid="{71FDFA6F-4F1E-40C9-BFDE-32482A9D6148}"/>
    <cellStyle name="40% - Accent2 11" xfId="17226" xr:uid="{B039A83E-7709-4466-8951-EEE2CB2BBF14}"/>
    <cellStyle name="40% - Accent2 12" xfId="25668" xr:uid="{AFD9A83A-6D35-4F58-9059-14D45255E12B}"/>
    <cellStyle name="40% - Accent2 13" xfId="8785" xr:uid="{318E727B-8846-4BB6-893D-2ABA6694AF31}"/>
    <cellStyle name="40% - Accent2 2" xfId="58" xr:uid="{00000000-0005-0000-0000-000062040000}"/>
    <cellStyle name="40% - Accent2 2 10" xfId="17227" xr:uid="{909ADE38-B6CF-4E98-B1D4-251C26A52423}"/>
    <cellStyle name="40% - Accent2 2 11" xfId="25669" xr:uid="{DFB2C1F9-E73C-407D-873C-C3686907EB40}"/>
    <cellStyle name="40% - Accent2 2 12" xfId="8786" xr:uid="{D1587CB7-F968-4529-8DA9-64B5BA104D9F}"/>
    <cellStyle name="40% - Accent2 2 2" xfId="59" xr:uid="{00000000-0005-0000-0000-000063040000}"/>
    <cellStyle name="40% - Accent2 2 2 10" xfId="25670" xr:uid="{BAD3D259-5635-435B-8B8C-19FC8F7EC31D}"/>
    <cellStyle name="40% - Accent2 2 2 11" xfId="8787" xr:uid="{7DA46AC3-4A67-4ECB-BED7-76BD938CC4C0}"/>
    <cellStyle name="40% - Accent2 2 2 2" xfId="60" xr:uid="{00000000-0005-0000-0000-000064040000}"/>
    <cellStyle name="40% - Accent2 2 2 2 10" xfId="8788" xr:uid="{DE683372-2A6A-41AE-8B5B-73E9F197552B}"/>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24006" xr:uid="{729ABB28-2CF1-4C5F-8252-241CEE575D6F}"/>
    <cellStyle name="40% - Accent2 2 2 2 2 2 2 3" xfId="32452" xr:uid="{22ABE6C2-6411-4DB8-92C3-86C51BD4DBEA}"/>
    <cellStyle name="40% - Accent2 2 2 2 2 2 2 4" xfId="15565" xr:uid="{E833BD07-6F5F-468E-8E4D-34D4309A7897}"/>
    <cellStyle name="40% - Accent2 2 2 2 2 2 3" xfId="19788" xr:uid="{796BA139-E0F3-4F2F-95DA-94B81ADF90EB}"/>
    <cellStyle name="40% - Accent2 2 2 2 2 2 4" xfId="28235" xr:uid="{794F1C23-556A-40AB-B79D-AE2C1DDAB45A}"/>
    <cellStyle name="40% - Accent2 2 2 2 2 2 5" xfId="11347" xr:uid="{CC99DA1D-5AE4-43C9-B718-7398F2F31CCE}"/>
    <cellStyle name="40% - Accent2 2 2 2 2 3" xfId="4978" xr:uid="{00000000-0005-0000-0000-000068040000}"/>
    <cellStyle name="40% - Accent2 2 2 2 2 3 2" xfId="21861" xr:uid="{D51061A2-1D15-4AF0-8290-9646079904ED}"/>
    <cellStyle name="40% - Accent2 2 2 2 2 3 3" xfId="30307" xr:uid="{34F6E00D-C9AB-4AFE-AFEE-B6E1A45EBFD0}"/>
    <cellStyle name="40% - Accent2 2 2 2 2 3 4" xfId="13420" xr:uid="{AA3003DF-4BB7-4DD1-B0A8-103F9A7D8C84}"/>
    <cellStyle name="40% - Accent2 2 2 2 2 4" xfId="17643" xr:uid="{87A5F8E1-FC1D-4CC4-876B-EDE3471D8194}"/>
    <cellStyle name="40% - Accent2 2 2 2 2 5" xfId="26088" xr:uid="{601B2912-53F7-4D69-A7E1-6BB65229E7EF}"/>
    <cellStyle name="40% - Accent2 2 2 2 2 6" xfId="9202" xr:uid="{71A60724-C732-4C64-B2F9-7F52D7A1984A}"/>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24419" xr:uid="{C28C4621-4949-478C-9F7F-712DBF0AF9C5}"/>
    <cellStyle name="40% - Accent2 2 2 2 3 2 2 3" xfId="32865" xr:uid="{839DEEA8-B2F5-4847-992B-02F28A6B20DB}"/>
    <cellStyle name="40% - Accent2 2 2 2 3 2 2 4" xfId="15978" xr:uid="{619C60A8-0EB8-4106-9A87-CD85D31AAA42}"/>
    <cellStyle name="40% - Accent2 2 2 2 3 2 3" xfId="20201" xr:uid="{5368E37C-A75B-44DE-AD5F-BD5250F3A383}"/>
    <cellStyle name="40% - Accent2 2 2 2 3 2 4" xfId="28648" xr:uid="{71B2B1C7-D638-434A-A393-0BFC8ED3963E}"/>
    <cellStyle name="40% - Accent2 2 2 2 3 2 5" xfId="11760" xr:uid="{0DCCDE57-6F80-49B0-A647-3ADBC7038EFF}"/>
    <cellStyle name="40% - Accent2 2 2 2 3 3" xfId="5391" xr:uid="{00000000-0005-0000-0000-00006C040000}"/>
    <cellStyle name="40% - Accent2 2 2 2 3 3 2" xfId="22274" xr:uid="{9D5129BC-766B-46B5-B662-F378157D8967}"/>
    <cellStyle name="40% - Accent2 2 2 2 3 3 3" xfId="30720" xr:uid="{6B91A05F-B41F-4959-830A-C117EB72ECEE}"/>
    <cellStyle name="40% - Accent2 2 2 2 3 3 4" xfId="13833" xr:uid="{685F549D-E066-401A-9913-E6024BC8ECC8}"/>
    <cellStyle name="40% - Accent2 2 2 2 3 4" xfId="18056" xr:uid="{A6009714-6A2E-4525-9AEB-39D2719D8632}"/>
    <cellStyle name="40% - Accent2 2 2 2 3 5" xfId="26501" xr:uid="{8BA59601-2D54-47BC-95B8-923855BE0428}"/>
    <cellStyle name="40% - Accent2 2 2 2 3 6" xfId="9615" xr:uid="{30F4B7C4-4B75-49C3-AA7B-F5F2F99D9AE3}"/>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24832" xr:uid="{05E5FDA1-1656-4F2C-90A0-373080D6232B}"/>
    <cellStyle name="40% - Accent2 2 2 2 4 2 2 3" xfId="33278" xr:uid="{0A0BDC04-BA2A-45B9-9765-C2F5C51A4A69}"/>
    <cellStyle name="40% - Accent2 2 2 2 4 2 2 4" xfId="16391" xr:uid="{297FD406-167A-4CD4-A50C-31CED08CCFCE}"/>
    <cellStyle name="40% - Accent2 2 2 2 4 2 3" xfId="20614" xr:uid="{1432D9E5-719B-4B7C-AADE-5698AE3CC9A3}"/>
    <cellStyle name="40% - Accent2 2 2 2 4 2 4" xfId="29061" xr:uid="{A00BF8BD-9474-4F7F-8B74-5DB7DA7BADD9}"/>
    <cellStyle name="40% - Accent2 2 2 2 4 2 5" xfId="12173" xr:uid="{5ABDAF9C-3A3D-46D2-8B34-6392DA3566A2}"/>
    <cellStyle name="40% - Accent2 2 2 2 4 3" xfId="5804" xr:uid="{00000000-0005-0000-0000-000070040000}"/>
    <cellStyle name="40% - Accent2 2 2 2 4 3 2" xfId="22687" xr:uid="{2FBDE73D-7A98-4DF5-A80B-AD0844708EBA}"/>
    <cellStyle name="40% - Accent2 2 2 2 4 3 3" xfId="31133" xr:uid="{32EB7214-B3F3-4F15-9B57-2934ADD88590}"/>
    <cellStyle name="40% - Accent2 2 2 2 4 3 4" xfId="14246" xr:uid="{43512FE7-B9B7-4D16-89EA-1CD9E2BDDD84}"/>
    <cellStyle name="40% - Accent2 2 2 2 4 4" xfId="18469" xr:uid="{50B9B3A8-6CD4-40E2-8690-31E759CE3F41}"/>
    <cellStyle name="40% - Accent2 2 2 2 4 5" xfId="26914" xr:uid="{68A1638E-CDEE-478F-BB47-DBB9CB67CDCC}"/>
    <cellStyle name="40% - Accent2 2 2 2 4 6" xfId="10028" xr:uid="{7CA07DC3-9F42-45AA-8CF3-BE7E7615CE24}"/>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25245" xr:uid="{211216CE-8A0E-4167-A914-53313C06B7A5}"/>
    <cellStyle name="40% - Accent2 2 2 2 5 2 2 3" xfId="33691" xr:uid="{4C67B38E-F44F-4738-B297-A8708744F87B}"/>
    <cellStyle name="40% - Accent2 2 2 2 5 2 2 4" xfId="16804" xr:uid="{FE213AB3-F060-4B9E-9ADC-AE42C30B2432}"/>
    <cellStyle name="40% - Accent2 2 2 2 5 2 3" xfId="21027" xr:uid="{284B29B3-7941-4A2E-90E0-325221BCEFB0}"/>
    <cellStyle name="40% - Accent2 2 2 2 5 2 4" xfId="29474" xr:uid="{8EDD6D87-8A30-4BFD-9E00-703C7EC5A6FA}"/>
    <cellStyle name="40% - Accent2 2 2 2 5 2 5" xfId="12586" xr:uid="{9A6D68E1-C1BA-4D14-A76F-366AD4BF52A4}"/>
    <cellStyle name="40% - Accent2 2 2 2 5 3" xfId="6217" xr:uid="{00000000-0005-0000-0000-000074040000}"/>
    <cellStyle name="40% - Accent2 2 2 2 5 3 2" xfId="23100" xr:uid="{87FE0AF8-CE78-4D48-A313-122136F80F91}"/>
    <cellStyle name="40% - Accent2 2 2 2 5 3 3" xfId="31546" xr:uid="{88D2330A-A4B1-4671-B525-A03149FAEAB4}"/>
    <cellStyle name="40% - Accent2 2 2 2 5 3 4" xfId="14659" xr:uid="{14D21091-67A9-414B-8100-D9C1CAD4447F}"/>
    <cellStyle name="40% - Accent2 2 2 2 5 4" xfId="18882" xr:uid="{D95B55F1-E8A7-499B-AFE4-F88CF1762D9D}"/>
    <cellStyle name="40% - Accent2 2 2 2 5 5" xfId="27327" xr:uid="{6127C0D3-6208-450D-A118-15379C57BA1C}"/>
    <cellStyle name="40% - Accent2 2 2 2 5 6" xfId="10441" xr:uid="{323ADE15-103C-4685-A46A-BCA55838EDE1}"/>
    <cellStyle name="40% - Accent2 2 2 2 6" xfId="2323" xr:uid="{00000000-0005-0000-0000-000075040000}"/>
    <cellStyle name="40% - Accent2 2 2 2 6 2" xfId="6630" xr:uid="{00000000-0005-0000-0000-000076040000}"/>
    <cellStyle name="40% - Accent2 2 2 2 6 2 2" xfId="23513" xr:uid="{0CA95CF3-2435-4816-9238-EC68975610ED}"/>
    <cellStyle name="40% - Accent2 2 2 2 6 2 3" xfId="31959" xr:uid="{C1875983-19B9-47EB-B676-2CB8B802C1BC}"/>
    <cellStyle name="40% - Accent2 2 2 2 6 2 4" xfId="15072" xr:uid="{35423764-EAFF-44F3-8D4F-18BD2B867A99}"/>
    <cellStyle name="40% - Accent2 2 2 2 6 3" xfId="19295" xr:uid="{AE7C8F0C-C8B9-422A-BD92-2C36E94FCA53}"/>
    <cellStyle name="40% - Accent2 2 2 2 6 4" xfId="27740" xr:uid="{894BF583-1E56-4AAF-8BA8-23800967EDF2}"/>
    <cellStyle name="40% - Accent2 2 2 2 6 5" xfId="10854" xr:uid="{19281295-F9DC-4A2A-BC20-29B44D5C21BA}"/>
    <cellStyle name="40% - Accent2 2 2 2 7" xfId="4564" xr:uid="{00000000-0005-0000-0000-000077040000}"/>
    <cellStyle name="40% - Accent2 2 2 2 7 2" xfId="21447" xr:uid="{341F55AD-29DA-4670-B9F5-1B4FFB1BD57D}"/>
    <cellStyle name="40% - Accent2 2 2 2 7 3" xfId="29893" xr:uid="{682BBB98-8932-4869-AD65-CEDEAE530F4D}"/>
    <cellStyle name="40% - Accent2 2 2 2 7 4" xfId="13006" xr:uid="{BE60902B-B190-46CB-9B61-291AF583A776}"/>
    <cellStyle name="40% - Accent2 2 2 2 8" xfId="17229" xr:uid="{BFEA6A40-E109-4992-8E4E-D2E5491E77C6}"/>
    <cellStyle name="40% - Accent2 2 2 2 9" xfId="25671" xr:uid="{06884C2F-A790-461A-BE21-28E63331BC0E}"/>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24005" xr:uid="{BBF20623-1F44-4260-BA9F-94E6D68B4D75}"/>
    <cellStyle name="40% - Accent2 2 2 3 2 2 3" xfId="32451" xr:uid="{E7CDB585-1A9C-4D5B-8DC5-0C9181B24CA8}"/>
    <cellStyle name="40% - Accent2 2 2 3 2 2 4" xfId="15564" xr:uid="{20F9C526-DB94-46B1-9146-8D091908EF88}"/>
    <cellStyle name="40% - Accent2 2 2 3 2 3" xfId="19787" xr:uid="{60C76DCB-2A95-4A08-9F11-78EDBB4B3658}"/>
    <cellStyle name="40% - Accent2 2 2 3 2 4" xfId="28234" xr:uid="{473ABD7E-0C1C-4F8A-B28F-76B8BEDBF99A}"/>
    <cellStyle name="40% - Accent2 2 2 3 2 5" xfId="11346" xr:uid="{F6F1DEF7-DDF1-4D86-B414-E2BD3E62EF4B}"/>
    <cellStyle name="40% - Accent2 2 2 3 3" xfId="4977" xr:uid="{00000000-0005-0000-0000-00007B040000}"/>
    <cellStyle name="40% - Accent2 2 2 3 3 2" xfId="21860" xr:uid="{9F037A03-FF01-4008-B02D-807F5C06BBEB}"/>
    <cellStyle name="40% - Accent2 2 2 3 3 3" xfId="30306" xr:uid="{350A7305-C48D-44DA-B984-482B54B57B96}"/>
    <cellStyle name="40% - Accent2 2 2 3 3 4" xfId="13419" xr:uid="{59FDB3C4-A7AF-4BFC-8A79-F6AE0DEF3570}"/>
    <cellStyle name="40% - Accent2 2 2 3 4" xfId="17642" xr:uid="{C56B0142-61E0-461F-BFBB-ED42455CA0A2}"/>
    <cellStyle name="40% - Accent2 2 2 3 5" xfId="26087" xr:uid="{543AC31F-328F-4042-9EA9-42686951308F}"/>
    <cellStyle name="40% - Accent2 2 2 3 6" xfId="9201" xr:uid="{3ED2DAB9-78EE-4B33-9028-2926D0E894F7}"/>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24418" xr:uid="{7590BEEE-D988-47FE-A159-B0E4B4B170D8}"/>
    <cellStyle name="40% - Accent2 2 2 4 2 2 3" xfId="32864" xr:uid="{70546132-38BA-46FB-A683-E882FB2EBF1A}"/>
    <cellStyle name="40% - Accent2 2 2 4 2 2 4" xfId="15977" xr:uid="{75425C32-3319-4187-A168-7F310F007C0D}"/>
    <cellStyle name="40% - Accent2 2 2 4 2 3" xfId="20200" xr:uid="{807DCBDF-DA5B-42B8-BD5E-63CC5C5FA3DE}"/>
    <cellStyle name="40% - Accent2 2 2 4 2 4" xfId="28647" xr:uid="{F005E2C0-C4D8-45AE-857F-108013DDFAEE}"/>
    <cellStyle name="40% - Accent2 2 2 4 2 5" xfId="11759" xr:uid="{C2923EA1-C82E-4023-9E38-124FF0A2E541}"/>
    <cellStyle name="40% - Accent2 2 2 4 3" xfId="5390" xr:uid="{00000000-0005-0000-0000-00007F040000}"/>
    <cellStyle name="40% - Accent2 2 2 4 3 2" xfId="22273" xr:uid="{9577BFE2-5C94-4231-92B3-A32CCCA3512B}"/>
    <cellStyle name="40% - Accent2 2 2 4 3 3" xfId="30719" xr:uid="{4B98C8E9-E2F9-40D7-B983-CB2AC682900A}"/>
    <cellStyle name="40% - Accent2 2 2 4 3 4" xfId="13832" xr:uid="{640FE2CE-0A32-4F9B-9F6B-7F4B91746872}"/>
    <cellStyle name="40% - Accent2 2 2 4 4" xfId="18055" xr:uid="{43659D19-3AA3-4996-BA72-A7C3CA8CD0FC}"/>
    <cellStyle name="40% - Accent2 2 2 4 5" xfId="26500" xr:uid="{D88FBBB4-F8FC-4A32-AB38-C4CD5E36DBD1}"/>
    <cellStyle name="40% - Accent2 2 2 4 6" xfId="9614" xr:uid="{C4CC9339-77EC-420E-85E1-7FF5968FED34}"/>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24831" xr:uid="{0E5B58BA-878E-491E-B85C-A767E9B4FAED}"/>
    <cellStyle name="40% - Accent2 2 2 5 2 2 3" xfId="33277" xr:uid="{8C8E43F2-9723-4E78-A447-BFE65CA2FFA3}"/>
    <cellStyle name="40% - Accent2 2 2 5 2 2 4" xfId="16390" xr:uid="{EC64831B-6A7C-417B-BB94-48CFB8848D60}"/>
    <cellStyle name="40% - Accent2 2 2 5 2 3" xfId="20613" xr:uid="{AA098951-FA86-4F9E-9B3B-133333C1A0C3}"/>
    <cellStyle name="40% - Accent2 2 2 5 2 4" xfId="29060" xr:uid="{88254A6A-2840-4CF3-AE97-D2FC4C1EB0E5}"/>
    <cellStyle name="40% - Accent2 2 2 5 2 5" xfId="12172" xr:uid="{AFDCE398-948D-4044-9467-8BDF52014344}"/>
    <cellStyle name="40% - Accent2 2 2 5 3" xfId="5803" xr:uid="{00000000-0005-0000-0000-000083040000}"/>
    <cellStyle name="40% - Accent2 2 2 5 3 2" xfId="22686" xr:uid="{59CE5110-7BEE-482D-886B-59F839B5F715}"/>
    <cellStyle name="40% - Accent2 2 2 5 3 3" xfId="31132" xr:uid="{556A2452-BA44-4655-8E0A-506CCDFA14A5}"/>
    <cellStyle name="40% - Accent2 2 2 5 3 4" xfId="14245" xr:uid="{B41E95D6-DD2B-4A28-AD0A-C87F40C9C587}"/>
    <cellStyle name="40% - Accent2 2 2 5 4" xfId="18468" xr:uid="{5B8E974D-D121-4D64-9337-72522EE326A8}"/>
    <cellStyle name="40% - Accent2 2 2 5 5" xfId="26913" xr:uid="{F8EE4774-CEA9-44F5-9E53-AA847592EAB2}"/>
    <cellStyle name="40% - Accent2 2 2 5 6" xfId="10027" xr:uid="{1CB68641-C000-42B9-949B-F432A8DA0F00}"/>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25244" xr:uid="{FB61B06A-26DF-434B-9957-1A92DF123CE2}"/>
    <cellStyle name="40% - Accent2 2 2 6 2 2 3" xfId="33690" xr:uid="{168C5397-0C09-4BCF-BEA3-BC97B84606A1}"/>
    <cellStyle name="40% - Accent2 2 2 6 2 2 4" xfId="16803" xr:uid="{D4FCD65A-A152-49B5-883B-C5D361F1C1EE}"/>
    <cellStyle name="40% - Accent2 2 2 6 2 3" xfId="21026" xr:uid="{B5BA5967-FB72-4DD6-BC8B-649F28931CDA}"/>
    <cellStyle name="40% - Accent2 2 2 6 2 4" xfId="29473" xr:uid="{AE1CB57A-04E7-4FA3-9CA2-C6EA91FBCE4A}"/>
    <cellStyle name="40% - Accent2 2 2 6 2 5" xfId="12585" xr:uid="{D05A8FB4-4CFC-4737-A9AB-B20EF51A14BA}"/>
    <cellStyle name="40% - Accent2 2 2 6 3" xfId="6216" xr:uid="{00000000-0005-0000-0000-000087040000}"/>
    <cellStyle name="40% - Accent2 2 2 6 3 2" xfId="23099" xr:uid="{FB01117E-F03A-460C-9538-83B37EC70B7B}"/>
    <cellStyle name="40% - Accent2 2 2 6 3 3" xfId="31545" xr:uid="{E45E565C-ECFE-4457-806B-5F18E5E88A03}"/>
    <cellStyle name="40% - Accent2 2 2 6 3 4" xfId="14658" xr:uid="{45F1459C-5BA1-47F4-BB1B-E816D8F8CB2D}"/>
    <cellStyle name="40% - Accent2 2 2 6 4" xfId="18881" xr:uid="{CD24C079-CA37-457F-99EB-BDF8F6CDFA86}"/>
    <cellStyle name="40% - Accent2 2 2 6 5" xfId="27326" xr:uid="{D4C0AEAC-8A6B-4ED7-98D3-11066AF0EEF7}"/>
    <cellStyle name="40% - Accent2 2 2 6 6" xfId="10440" xr:uid="{BE4F3CEE-3552-4361-8AF9-B3467A4F158F}"/>
    <cellStyle name="40% - Accent2 2 2 7" xfId="2322" xr:uid="{00000000-0005-0000-0000-000088040000}"/>
    <cellStyle name="40% - Accent2 2 2 7 2" xfId="6629" xr:uid="{00000000-0005-0000-0000-000089040000}"/>
    <cellStyle name="40% - Accent2 2 2 7 2 2" xfId="23512" xr:uid="{E24978BD-79EB-40B9-9B3D-3259BC76142E}"/>
    <cellStyle name="40% - Accent2 2 2 7 2 3" xfId="31958" xr:uid="{AEBC33AE-CDAC-4364-B3FB-1ACFF9F87696}"/>
    <cellStyle name="40% - Accent2 2 2 7 2 4" xfId="15071" xr:uid="{0A7D24E1-FE7A-45B6-9F5E-0F00D5D26D87}"/>
    <cellStyle name="40% - Accent2 2 2 7 3" xfId="19294" xr:uid="{56783DB0-7BB6-4307-BC6C-6DAF1AE7AB3F}"/>
    <cellStyle name="40% - Accent2 2 2 7 4" xfId="27739" xr:uid="{D16D7EFD-EF07-4852-8FB8-7F564029A633}"/>
    <cellStyle name="40% - Accent2 2 2 7 5" xfId="10853" xr:uid="{362C3953-752D-4B98-A549-E738497FCCF3}"/>
    <cellStyle name="40% - Accent2 2 2 8" xfId="4563" xr:uid="{00000000-0005-0000-0000-00008A040000}"/>
    <cellStyle name="40% - Accent2 2 2 8 2" xfId="21446" xr:uid="{8E8D7A31-D02E-4CD0-8338-B7D72929C686}"/>
    <cellStyle name="40% - Accent2 2 2 8 3" xfId="29892" xr:uid="{CA7B9843-5A76-47FA-A3F4-11F4614B7ADF}"/>
    <cellStyle name="40% - Accent2 2 2 8 4" xfId="13005" xr:uid="{2B54EB1E-A4A5-4A67-B741-CD772E9A0319}"/>
    <cellStyle name="40% - Accent2 2 2 9" xfId="17228" xr:uid="{B77CED98-FE97-41BB-9C31-C7F1A501B628}"/>
    <cellStyle name="40% - Accent2 2 3" xfId="61" xr:uid="{00000000-0005-0000-0000-00008B040000}"/>
    <cellStyle name="40% - Accent2 2 3 10" xfId="8789" xr:uid="{C31C788B-1F7F-4D60-B6A4-5C1900D95C16}"/>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24007" xr:uid="{A4782510-E0A0-4681-ABCB-1D15FB392045}"/>
    <cellStyle name="40% - Accent2 2 3 2 2 2 3" xfId="32453" xr:uid="{FDD326A9-64F9-40EE-B3D4-EFD02FF88F70}"/>
    <cellStyle name="40% - Accent2 2 3 2 2 2 4" xfId="15566" xr:uid="{80E535DE-4ED7-44EE-BA54-C5979E2B6314}"/>
    <cellStyle name="40% - Accent2 2 3 2 2 3" xfId="19789" xr:uid="{37BBFF2B-4915-43C9-A4DA-A02AC672397B}"/>
    <cellStyle name="40% - Accent2 2 3 2 2 4" xfId="28236" xr:uid="{0D20C1EF-4257-4834-AFA0-1D39D2615E27}"/>
    <cellStyle name="40% - Accent2 2 3 2 2 5" xfId="11348" xr:uid="{930CE0CA-4854-4C67-B38E-FB723552BF8E}"/>
    <cellStyle name="40% - Accent2 2 3 2 3" xfId="4979" xr:uid="{00000000-0005-0000-0000-00008F040000}"/>
    <cellStyle name="40% - Accent2 2 3 2 3 2" xfId="21862" xr:uid="{4C0D18F0-FB07-47D5-9982-5B12A28EA7FA}"/>
    <cellStyle name="40% - Accent2 2 3 2 3 3" xfId="30308" xr:uid="{B43B3EAF-7874-4F90-987F-B313ADCC7F42}"/>
    <cellStyle name="40% - Accent2 2 3 2 3 4" xfId="13421" xr:uid="{475CDF49-41CF-4E9C-A5EE-4E77F1F75CE4}"/>
    <cellStyle name="40% - Accent2 2 3 2 4" xfId="17644" xr:uid="{EA29BB84-E415-417B-A5E6-79AC4EB6B97F}"/>
    <cellStyle name="40% - Accent2 2 3 2 5" xfId="26089" xr:uid="{0EEA8887-362C-4801-95C6-053080237D28}"/>
    <cellStyle name="40% - Accent2 2 3 2 6" xfId="9203" xr:uid="{65B9E458-216B-4AA1-B3B7-33B7C7E7E726}"/>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24420" xr:uid="{68018211-2EB4-459D-B25E-834909BCCD55}"/>
    <cellStyle name="40% - Accent2 2 3 3 2 2 3" xfId="32866" xr:uid="{188F2AC3-22B2-4D39-AA13-FB2E9A39D4D3}"/>
    <cellStyle name="40% - Accent2 2 3 3 2 2 4" xfId="15979" xr:uid="{4216E0E5-E3F1-4DBB-A303-DFFF9E0CAEC3}"/>
    <cellStyle name="40% - Accent2 2 3 3 2 3" xfId="20202" xr:uid="{D2509E66-A657-4566-B3F5-C58363114998}"/>
    <cellStyle name="40% - Accent2 2 3 3 2 4" xfId="28649" xr:uid="{2E02D35A-C37B-4140-A2E6-382859A30316}"/>
    <cellStyle name="40% - Accent2 2 3 3 2 5" xfId="11761" xr:uid="{184BE8D4-4C1A-46F3-A715-1DA3CDDFAF30}"/>
    <cellStyle name="40% - Accent2 2 3 3 3" xfId="5392" xr:uid="{00000000-0005-0000-0000-000093040000}"/>
    <cellStyle name="40% - Accent2 2 3 3 3 2" xfId="22275" xr:uid="{5E7568CC-285C-42FE-B0A1-92C27C278072}"/>
    <cellStyle name="40% - Accent2 2 3 3 3 3" xfId="30721" xr:uid="{A118068A-306B-440D-A744-6BD0B3975EE5}"/>
    <cellStyle name="40% - Accent2 2 3 3 3 4" xfId="13834" xr:uid="{B7CAA1A0-E9D1-48CC-AFE2-494439B0011B}"/>
    <cellStyle name="40% - Accent2 2 3 3 4" xfId="18057" xr:uid="{4546BAE2-3489-468F-AEC1-F80F401E37CB}"/>
    <cellStyle name="40% - Accent2 2 3 3 5" xfId="26502" xr:uid="{2D65A058-FE30-4BE5-BA4B-90BAD8367DE5}"/>
    <cellStyle name="40% - Accent2 2 3 3 6" xfId="9616" xr:uid="{A4CC1CBD-710C-4BAB-BE8D-ED508A58D66A}"/>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24833" xr:uid="{2E211675-E817-4FDF-86D0-AD610CD1BF72}"/>
    <cellStyle name="40% - Accent2 2 3 4 2 2 3" xfId="33279" xr:uid="{4DE8E08C-9D18-4BAA-A4EA-3644C78F3547}"/>
    <cellStyle name="40% - Accent2 2 3 4 2 2 4" xfId="16392" xr:uid="{E57742AC-B3BE-48F7-8565-A56A4A4A1AC2}"/>
    <cellStyle name="40% - Accent2 2 3 4 2 3" xfId="20615" xr:uid="{8B346E9B-905B-417B-A696-A114C4C5B566}"/>
    <cellStyle name="40% - Accent2 2 3 4 2 4" xfId="29062" xr:uid="{E4385DED-281E-4DD3-96B4-8EF4D12E6403}"/>
    <cellStyle name="40% - Accent2 2 3 4 2 5" xfId="12174" xr:uid="{6DAC2C90-5925-44AB-81BC-B934A6DD66A6}"/>
    <cellStyle name="40% - Accent2 2 3 4 3" xfId="5805" xr:uid="{00000000-0005-0000-0000-000097040000}"/>
    <cellStyle name="40% - Accent2 2 3 4 3 2" xfId="22688" xr:uid="{2118AA38-24E4-4353-B7EB-1DF7388C58B7}"/>
    <cellStyle name="40% - Accent2 2 3 4 3 3" xfId="31134" xr:uid="{7471427E-7351-49D1-829E-F62803DA2C97}"/>
    <cellStyle name="40% - Accent2 2 3 4 3 4" xfId="14247" xr:uid="{B07CFC02-7B32-4389-810F-0251E76A018D}"/>
    <cellStyle name="40% - Accent2 2 3 4 4" xfId="18470" xr:uid="{7ACDA56B-64D2-4DE9-8757-FADD4E97ADBB}"/>
    <cellStyle name="40% - Accent2 2 3 4 5" xfId="26915" xr:uid="{D0804DA8-3BBB-42E2-A630-66267AA04FD2}"/>
    <cellStyle name="40% - Accent2 2 3 4 6" xfId="10029" xr:uid="{41F9185B-9D4E-4950-9C57-C7D840176601}"/>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25246" xr:uid="{08B9AB75-EFD1-4311-AF1C-5961518482AF}"/>
    <cellStyle name="40% - Accent2 2 3 5 2 2 3" xfId="33692" xr:uid="{D6D234E3-DCF2-41AC-A1C9-EC4DE0F5CB69}"/>
    <cellStyle name="40% - Accent2 2 3 5 2 2 4" xfId="16805" xr:uid="{43E52055-5B56-409A-AC92-6A9D457273CE}"/>
    <cellStyle name="40% - Accent2 2 3 5 2 3" xfId="21028" xr:uid="{B5B8BC7B-F1BB-4F78-A79A-97BB559E621F}"/>
    <cellStyle name="40% - Accent2 2 3 5 2 4" xfId="29475" xr:uid="{371ECA4B-1066-4FBE-BAAF-ABF3B3B7FCBE}"/>
    <cellStyle name="40% - Accent2 2 3 5 2 5" xfId="12587" xr:uid="{DA502454-C7D1-45F5-BC1E-1E1BC54ABB51}"/>
    <cellStyle name="40% - Accent2 2 3 5 3" xfId="6218" xr:uid="{00000000-0005-0000-0000-00009B040000}"/>
    <cellStyle name="40% - Accent2 2 3 5 3 2" xfId="23101" xr:uid="{8B37B3A3-8296-49A6-89FA-4413F0AE9AD7}"/>
    <cellStyle name="40% - Accent2 2 3 5 3 3" xfId="31547" xr:uid="{1739105C-FEAD-490D-A435-FF81983BFB8F}"/>
    <cellStyle name="40% - Accent2 2 3 5 3 4" xfId="14660" xr:uid="{C4584B96-6576-4A42-A873-F966C40CF465}"/>
    <cellStyle name="40% - Accent2 2 3 5 4" xfId="18883" xr:uid="{71B40C9F-E5D2-4434-B898-5A706D487A0C}"/>
    <cellStyle name="40% - Accent2 2 3 5 5" xfId="27328" xr:uid="{65302755-DC80-4914-B5AF-30861E79D0A5}"/>
    <cellStyle name="40% - Accent2 2 3 5 6" xfId="10442" xr:uid="{9BD6A028-666D-4C45-9501-CCFD753FEEA8}"/>
    <cellStyle name="40% - Accent2 2 3 6" xfId="2324" xr:uid="{00000000-0005-0000-0000-00009C040000}"/>
    <cellStyle name="40% - Accent2 2 3 6 2" xfId="6631" xr:uid="{00000000-0005-0000-0000-00009D040000}"/>
    <cellStyle name="40% - Accent2 2 3 6 2 2" xfId="23514" xr:uid="{47F6E315-47BA-4EBA-AB62-61734040139E}"/>
    <cellStyle name="40% - Accent2 2 3 6 2 3" xfId="31960" xr:uid="{98EB6E42-F53F-4B28-9A75-33548BC6F1C1}"/>
    <cellStyle name="40% - Accent2 2 3 6 2 4" xfId="15073" xr:uid="{55C9334D-2951-4C5B-8793-FB3D74E7F850}"/>
    <cellStyle name="40% - Accent2 2 3 6 3" xfId="19296" xr:uid="{BA7DEFB4-DCDF-4569-9843-BF7C4AB5DB9E}"/>
    <cellStyle name="40% - Accent2 2 3 6 4" xfId="27741" xr:uid="{B84B0091-9AF4-444C-A136-D5CE0C8330E7}"/>
    <cellStyle name="40% - Accent2 2 3 6 5" xfId="10855" xr:uid="{F2CF43E4-6A81-42DE-BAFD-A5C84D3D1429}"/>
    <cellStyle name="40% - Accent2 2 3 7" xfId="4565" xr:uid="{00000000-0005-0000-0000-00009E040000}"/>
    <cellStyle name="40% - Accent2 2 3 7 2" xfId="21448" xr:uid="{6F197043-D85C-4BB6-B4E8-1C7DE3541277}"/>
    <cellStyle name="40% - Accent2 2 3 7 3" xfId="29894" xr:uid="{0338E0F2-98DC-418A-B1F3-877182FE66D6}"/>
    <cellStyle name="40% - Accent2 2 3 7 4" xfId="13007" xr:uid="{34188EE9-3EBA-4CEA-AE44-0237F72F4B09}"/>
    <cellStyle name="40% - Accent2 2 3 8" xfId="17230" xr:uid="{BE63B711-6F21-4FB1-A330-5A9D837BBA18}"/>
    <cellStyle name="40% - Accent2 2 3 9" xfId="25672" xr:uid="{94DBFBE6-DE53-4181-A577-F76F11AD3A7B}"/>
    <cellStyle name="40% - Accent2 2 4" xfId="627" xr:uid="{00000000-0005-0000-0000-00009F040000}"/>
    <cellStyle name="40% - Accent2 2 4 2" xfId="2898" xr:uid="{00000000-0005-0000-0000-0000A0040000}"/>
    <cellStyle name="40% - Accent2 2 4 2 2" xfId="7121" xr:uid="{00000000-0005-0000-0000-0000A1040000}"/>
    <cellStyle name="40% - Accent2 2 4 2 2 2" xfId="24004" xr:uid="{2E97AA9D-0C45-4092-B76A-14F01C29AAD7}"/>
    <cellStyle name="40% - Accent2 2 4 2 2 3" xfId="32450" xr:uid="{E414695E-B012-4715-A3D7-7879E2746584}"/>
    <cellStyle name="40% - Accent2 2 4 2 2 4" xfId="15563" xr:uid="{9CBF6E47-FF28-45C1-95D9-3FDE75395249}"/>
    <cellStyle name="40% - Accent2 2 4 2 3" xfId="19786" xr:uid="{C80B8735-672F-4A97-BCA0-D8716A90AC98}"/>
    <cellStyle name="40% - Accent2 2 4 2 4" xfId="28233" xr:uid="{5218DD76-C4DA-45E0-ADC8-C42DBCCD3B0C}"/>
    <cellStyle name="40% - Accent2 2 4 2 5" xfId="11345" xr:uid="{B5455656-F81E-4B0E-A0BD-4673248FC966}"/>
    <cellStyle name="40% - Accent2 2 4 3" xfId="4976" xr:uid="{00000000-0005-0000-0000-0000A2040000}"/>
    <cellStyle name="40% - Accent2 2 4 3 2" xfId="21859" xr:uid="{32E39B2F-137A-4524-B5A2-1062417CFC6F}"/>
    <cellStyle name="40% - Accent2 2 4 3 3" xfId="30305" xr:uid="{E183D08E-7139-40DE-97DB-2AB49DEBBD1C}"/>
    <cellStyle name="40% - Accent2 2 4 3 4" xfId="13418" xr:uid="{8A46CB94-7F04-45BA-8FEA-614819269EA0}"/>
    <cellStyle name="40% - Accent2 2 4 4" xfId="17641" xr:uid="{9FC7CEE3-20DC-442D-84E4-F91235BA0FBE}"/>
    <cellStyle name="40% - Accent2 2 4 5" xfId="26086" xr:uid="{82066BD2-9FF0-4801-8985-3BD7C5A7551E}"/>
    <cellStyle name="40% - Accent2 2 4 6" xfId="9200" xr:uid="{7EEF7F17-13E5-4796-ADB9-822F5DEA5866}"/>
    <cellStyle name="40% - Accent2 2 5" xfId="1080" xr:uid="{00000000-0005-0000-0000-0000A3040000}"/>
    <cellStyle name="40% - Accent2 2 5 2" xfId="3311" xr:uid="{00000000-0005-0000-0000-0000A4040000}"/>
    <cellStyle name="40% - Accent2 2 5 2 2" xfId="7534" xr:uid="{00000000-0005-0000-0000-0000A5040000}"/>
    <cellStyle name="40% - Accent2 2 5 2 2 2" xfId="24417" xr:uid="{F9549DB5-23F8-4A0B-B7D6-78DC2B8962FA}"/>
    <cellStyle name="40% - Accent2 2 5 2 2 3" xfId="32863" xr:uid="{2CEF95E3-1739-4468-82D7-54CBAF250B12}"/>
    <cellStyle name="40% - Accent2 2 5 2 2 4" xfId="15976" xr:uid="{F0007BAB-7A68-4981-B2AC-A821F905E1D1}"/>
    <cellStyle name="40% - Accent2 2 5 2 3" xfId="20199" xr:uid="{1FF0A18B-9F31-4AF2-8329-55F7BC3B2907}"/>
    <cellStyle name="40% - Accent2 2 5 2 4" xfId="28646" xr:uid="{DD20AE25-FB57-4A9D-B172-421CBAA21BF5}"/>
    <cellStyle name="40% - Accent2 2 5 2 5" xfId="11758" xr:uid="{84F32539-77C8-49F9-8CFC-1DB0DD3187A5}"/>
    <cellStyle name="40% - Accent2 2 5 3" xfId="5389" xr:uid="{00000000-0005-0000-0000-0000A6040000}"/>
    <cellStyle name="40% - Accent2 2 5 3 2" xfId="22272" xr:uid="{C8AB3A45-0B4B-4D46-9145-9D0B229640CB}"/>
    <cellStyle name="40% - Accent2 2 5 3 3" xfId="30718" xr:uid="{716B0CC0-C311-4BEE-AA7B-9B1906E93C43}"/>
    <cellStyle name="40% - Accent2 2 5 3 4" xfId="13831" xr:uid="{5D00B209-48B2-4813-86C7-1BE0296376C6}"/>
    <cellStyle name="40% - Accent2 2 5 4" xfId="18054" xr:uid="{D808AD97-B146-458D-A2C4-5429FC2417EA}"/>
    <cellStyle name="40% - Accent2 2 5 5" xfId="26499" xr:uid="{B0F7C5C0-F323-4196-8A7B-A3D420F34F9B}"/>
    <cellStyle name="40% - Accent2 2 5 6" xfId="9613" xr:uid="{CAF9AD56-0586-4DED-B1BA-5CE1494693A0}"/>
    <cellStyle name="40% - Accent2 2 6" xfId="1494" xr:uid="{00000000-0005-0000-0000-0000A7040000}"/>
    <cellStyle name="40% - Accent2 2 6 2" xfId="3724" xr:uid="{00000000-0005-0000-0000-0000A8040000}"/>
    <cellStyle name="40% - Accent2 2 6 2 2" xfId="7947" xr:uid="{00000000-0005-0000-0000-0000A9040000}"/>
    <cellStyle name="40% - Accent2 2 6 2 2 2" xfId="24830" xr:uid="{9D312E94-A6E4-412E-AA6B-0A7C04BCBC6C}"/>
    <cellStyle name="40% - Accent2 2 6 2 2 3" xfId="33276" xr:uid="{2F6B922F-D0D4-4B4F-A530-F1F15B2F6A82}"/>
    <cellStyle name="40% - Accent2 2 6 2 2 4" xfId="16389" xr:uid="{8B5F337E-0C23-4755-AB1D-2A819B3367E5}"/>
    <cellStyle name="40% - Accent2 2 6 2 3" xfId="20612" xr:uid="{FF5E114E-7375-4158-9B6C-E8BDDF90FB41}"/>
    <cellStyle name="40% - Accent2 2 6 2 4" xfId="29059" xr:uid="{CC2D5951-38D6-452C-AD66-E93EB517F9A3}"/>
    <cellStyle name="40% - Accent2 2 6 2 5" xfId="12171" xr:uid="{C43F5481-8CF8-40E0-921B-98EE903BFB8E}"/>
    <cellStyle name="40% - Accent2 2 6 3" xfId="5802" xr:uid="{00000000-0005-0000-0000-0000AA040000}"/>
    <cellStyle name="40% - Accent2 2 6 3 2" xfId="22685" xr:uid="{A8368012-56D5-4AC7-B575-32985E789992}"/>
    <cellStyle name="40% - Accent2 2 6 3 3" xfId="31131" xr:uid="{5273CA4A-4B67-4D5E-8F23-003B2D3EB626}"/>
    <cellStyle name="40% - Accent2 2 6 3 4" xfId="14244" xr:uid="{71F426A9-41E7-4519-A26E-98C10319D990}"/>
    <cellStyle name="40% - Accent2 2 6 4" xfId="18467" xr:uid="{E12FB6DA-5629-4D49-B3EA-2ACDEF0443F5}"/>
    <cellStyle name="40% - Accent2 2 6 5" xfId="26912" xr:uid="{01C062BF-E873-4F1A-A439-0CDCA1CDD91A}"/>
    <cellStyle name="40% - Accent2 2 6 6" xfId="10026" xr:uid="{7319171D-1ECC-47C4-AF89-CF711239A80E}"/>
    <cellStyle name="40% - Accent2 2 7" xfId="1908" xr:uid="{00000000-0005-0000-0000-0000AB040000}"/>
    <cellStyle name="40% - Accent2 2 7 2" xfId="4137" xr:uid="{00000000-0005-0000-0000-0000AC040000}"/>
    <cellStyle name="40% - Accent2 2 7 2 2" xfId="8360" xr:uid="{00000000-0005-0000-0000-0000AD040000}"/>
    <cellStyle name="40% - Accent2 2 7 2 2 2" xfId="25243" xr:uid="{C2DB5B3E-3FCE-4230-9B6F-4AB5A9C6DA45}"/>
    <cellStyle name="40% - Accent2 2 7 2 2 3" xfId="33689" xr:uid="{7A5C38BC-F7FC-4206-9302-C333C8978ED5}"/>
    <cellStyle name="40% - Accent2 2 7 2 2 4" xfId="16802" xr:uid="{104EC434-D469-4859-830F-0574CFA54340}"/>
    <cellStyle name="40% - Accent2 2 7 2 3" xfId="21025" xr:uid="{7A5DD51E-4B64-453E-9AC9-7356A39EF9AC}"/>
    <cellStyle name="40% - Accent2 2 7 2 4" xfId="29472" xr:uid="{4F83F58C-2638-40EC-A028-993F35B1CFE0}"/>
    <cellStyle name="40% - Accent2 2 7 2 5" xfId="12584" xr:uid="{215F5E5E-B781-4D8C-A798-DB184D4F4683}"/>
    <cellStyle name="40% - Accent2 2 7 3" xfId="6215" xr:uid="{00000000-0005-0000-0000-0000AE040000}"/>
    <cellStyle name="40% - Accent2 2 7 3 2" xfId="23098" xr:uid="{E458C0D0-A889-4C19-A197-57CA0738387C}"/>
    <cellStyle name="40% - Accent2 2 7 3 3" xfId="31544" xr:uid="{89194DF1-7543-4D48-8426-94DE746E5C39}"/>
    <cellStyle name="40% - Accent2 2 7 3 4" xfId="14657" xr:uid="{EFE30BE2-361E-4AD8-BF25-290114E8B647}"/>
    <cellStyle name="40% - Accent2 2 7 4" xfId="18880" xr:uid="{CF050DF3-175A-41FF-8572-2C4133054E2A}"/>
    <cellStyle name="40% - Accent2 2 7 5" xfId="27325" xr:uid="{E029848C-950F-4F5A-9D6E-6BD404B5CBB6}"/>
    <cellStyle name="40% - Accent2 2 7 6" xfId="10439" xr:uid="{C1EA793C-98DA-4739-9B90-1BCA705F4F5D}"/>
    <cellStyle name="40% - Accent2 2 8" xfId="2321" xr:uid="{00000000-0005-0000-0000-0000AF040000}"/>
    <cellStyle name="40% - Accent2 2 8 2" xfId="6628" xr:uid="{00000000-0005-0000-0000-0000B0040000}"/>
    <cellStyle name="40% - Accent2 2 8 2 2" xfId="23511" xr:uid="{29740E82-C883-49D9-AD60-F346126A50A1}"/>
    <cellStyle name="40% - Accent2 2 8 2 3" xfId="31957" xr:uid="{69020062-917B-42E0-AE02-FC2718674036}"/>
    <cellStyle name="40% - Accent2 2 8 2 4" xfId="15070" xr:uid="{901F66CB-A483-47BB-A45E-4912781D5821}"/>
    <cellStyle name="40% - Accent2 2 8 3" xfId="19293" xr:uid="{00CA419A-1D6A-44A8-A443-92D3D270A73C}"/>
    <cellStyle name="40% - Accent2 2 8 4" xfId="27738" xr:uid="{D947BA05-BBAF-42C5-9F9F-745BA9410EB2}"/>
    <cellStyle name="40% - Accent2 2 8 5" xfId="10852" xr:uid="{F5BC2528-B07C-42D2-B045-6177DC9582DA}"/>
    <cellStyle name="40% - Accent2 2 9" xfId="4562" xr:uid="{00000000-0005-0000-0000-0000B1040000}"/>
    <cellStyle name="40% - Accent2 2 9 2" xfId="21445" xr:uid="{19988369-77E0-4B83-A2EF-AABA6299B8A1}"/>
    <cellStyle name="40% - Accent2 2 9 3" xfId="29891" xr:uid="{29342D2E-954B-45BC-B21A-76419EF9C703}"/>
    <cellStyle name="40% - Accent2 2 9 4" xfId="13004" xr:uid="{DE7C7BA6-0374-4D77-A537-80FFB924409A}"/>
    <cellStyle name="40% - Accent2 3" xfId="62" xr:uid="{00000000-0005-0000-0000-0000B2040000}"/>
    <cellStyle name="40% - Accent2 3 10" xfId="25673" xr:uid="{8133FA87-60EF-4A86-BD8B-17259E65BBFB}"/>
    <cellStyle name="40% - Accent2 3 11" xfId="8790" xr:uid="{1C39E82E-F3F3-4C24-B93C-1E1F4A42B57C}"/>
    <cellStyle name="40% - Accent2 3 2" xfId="63" xr:uid="{00000000-0005-0000-0000-0000B3040000}"/>
    <cellStyle name="40% - Accent2 3 2 10" xfId="8791" xr:uid="{C6AE61BD-4DAE-4820-9698-6BF743AE71F7}"/>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24009" xr:uid="{7318A1D9-0811-45A8-AC88-880995E732F6}"/>
    <cellStyle name="40% - Accent2 3 2 2 2 2 3" xfId="32455" xr:uid="{DE08AB87-7965-4741-B75E-B8AD30389EDD}"/>
    <cellStyle name="40% - Accent2 3 2 2 2 2 4" xfId="15568" xr:uid="{C668B2CD-0EB8-45D3-BD9C-CE4177F91707}"/>
    <cellStyle name="40% - Accent2 3 2 2 2 3" xfId="19791" xr:uid="{2438D6FD-552F-4D94-B2CB-C2FBF7B21ECB}"/>
    <cellStyle name="40% - Accent2 3 2 2 2 4" xfId="28238" xr:uid="{FDB0C229-E32F-444E-A2A5-017F6CDD980D}"/>
    <cellStyle name="40% - Accent2 3 2 2 2 5" xfId="11350" xr:uid="{9D4F9591-28A8-45FA-B7ED-693562D1ED43}"/>
    <cellStyle name="40% - Accent2 3 2 2 3" xfId="4981" xr:uid="{00000000-0005-0000-0000-0000B7040000}"/>
    <cellStyle name="40% - Accent2 3 2 2 3 2" xfId="21864" xr:uid="{D0710BE8-9556-4B0B-A23D-8F01BF1A106D}"/>
    <cellStyle name="40% - Accent2 3 2 2 3 3" xfId="30310" xr:uid="{DEBBE58A-4B13-46CF-BB59-C5D452202E2E}"/>
    <cellStyle name="40% - Accent2 3 2 2 3 4" xfId="13423" xr:uid="{12A23C5B-F181-489B-ADF7-A0481F1BA20A}"/>
    <cellStyle name="40% - Accent2 3 2 2 4" xfId="17646" xr:uid="{E03F70F9-CAC8-4C8B-8BC5-2B512D3AB29F}"/>
    <cellStyle name="40% - Accent2 3 2 2 5" xfId="26091" xr:uid="{68CA73E2-5147-433F-BEE0-1B28AC6A2D65}"/>
    <cellStyle name="40% - Accent2 3 2 2 6" xfId="9205" xr:uid="{7C977CF1-4E82-4FC2-9BDF-E6CF94DDF167}"/>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24422" xr:uid="{2F0B0E30-8396-4D6C-8456-01D59C0BDF48}"/>
    <cellStyle name="40% - Accent2 3 2 3 2 2 3" xfId="32868" xr:uid="{524ABCC6-C550-4DAD-A8B4-86D00EABED8C}"/>
    <cellStyle name="40% - Accent2 3 2 3 2 2 4" xfId="15981" xr:uid="{09007AEF-3817-48E7-B790-6405CB5E7753}"/>
    <cellStyle name="40% - Accent2 3 2 3 2 3" xfId="20204" xr:uid="{DE0D92B0-490B-4BBC-99D7-78372274C511}"/>
    <cellStyle name="40% - Accent2 3 2 3 2 4" xfId="28651" xr:uid="{0DCC964E-11F9-449E-93ED-CD64D7E4C5B4}"/>
    <cellStyle name="40% - Accent2 3 2 3 2 5" xfId="11763" xr:uid="{9B18D6F4-6536-4FFC-A749-51BBF96C8D0E}"/>
    <cellStyle name="40% - Accent2 3 2 3 3" xfId="5394" xr:uid="{00000000-0005-0000-0000-0000BB040000}"/>
    <cellStyle name="40% - Accent2 3 2 3 3 2" xfId="22277" xr:uid="{9579D84B-989F-4102-89DB-D34E5FEE4078}"/>
    <cellStyle name="40% - Accent2 3 2 3 3 3" xfId="30723" xr:uid="{1D6858C3-0150-4D20-8D22-25B041C92693}"/>
    <cellStyle name="40% - Accent2 3 2 3 3 4" xfId="13836" xr:uid="{BD9DE23C-BEC0-41EA-9361-AE856659B00A}"/>
    <cellStyle name="40% - Accent2 3 2 3 4" xfId="18059" xr:uid="{27E88B01-837D-468F-929B-1EC48299440A}"/>
    <cellStyle name="40% - Accent2 3 2 3 5" xfId="26504" xr:uid="{F0A6CF08-C49A-4773-82D2-080C86F09F1A}"/>
    <cellStyle name="40% - Accent2 3 2 3 6" xfId="9618" xr:uid="{80873C94-49AC-43D3-BEE8-03D885F97CDD}"/>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24835" xr:uid="{59D1E261-2919-483F-A1F3-F4DE912EFE53}"/>
    <cellStyle name="40% - Accent2 3 2 4 2 2 3" xfId="33281" xr:uid="{C831AF6A-BE1A-4FCE-98EB-CC2A0E744FCA}"/>
    <cellStyle name="40% - Accent2 3 2 4 2 2 4" xfId="16394" xr:uid="{072D99FB-5D2A-4649-A8E2-76B143735C33}"/>
    <cellStyle name="40% - Accent2 3 2 4 2 3" xfId="20617" xr:uid="{FFA62148-C3FB-444F-B8C1-84082BAEC9B8}"/>
    <cellStyle name="40% - Accent2 3 2 4 2 4" xfId="29064" xr:uid="{5FEEDBB3-09C3-49A9-861D-029ACF5BD57F}"/>
    <cellStyle name="40% - Accent2 3 2 4 2 5" xfId="12176" xr:uid="{D77AAB49-CE3D-42AA-B8C2-33D60B5A9BDF}"/>
    <cellStyle name="40% - Accent2 3 2 4 3" xfId="5807" xr:uid="{00000000-0005-0000-0000-0000BF040000}"/>
    <cellStyle name="40% - Accent2 3 2 4 3 2" xfId="22690" xr:uid="{66190A03-6C60-4CF1-8F04-8C730B07771E}"/>
    <cellStyle name="40% - Accent2 3 2 4 3 3" xfId="31136" xr:uid="{647EFA79-75CF-4420-B076-91D28FF440F3}"/>
    <cellStyle name="40% - Accent2 3 2 4 3 4" xfId="14249" xr:uid="{FEE43230-32AA-47B0-BA30-CC8A9D9BC685}"/>
    <cellStyle name="40% - Accent2 3 2 4 4" xfId="18472" xr:uid="{2621E7F8-61C7-4BD9-B802-0BFA244FF2A7}"/>
    <cellStyle name="40% - Accent2 3 2 4 5" xfId="26917" xr:uid="{EE26E386-58A6-4430-ABC0-46183CB17BC7}"/>
    <cellStyle name="40% - Accent2 3 2 4 6" xfId="10031" xr:uid="{FB5EFA9C-0A37-4752-9338-DEE12D62D235}"/>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25248" xr:uid="{03152E56-37BB-48DF-BD91-8EA4E072F312}"/>
    <cellStyle name="40% - Accent2 3 2 5 2 2 3" xfId="33694" xr:uid="{616B78DE-5D5D-44BD-9637-28CEE6CEE5AA}"/>
    <cellStyle name="40% - Accent2 3 2 5 2 2 4" xfId="16807" xr:uid="{873FB367-E7D9-4A03-AFF3-DD1E1B8B62F3}"/>
    <cellStyle name="40% - Accent2 3 2 5 2 3" xfId="21030" xr:uid="{7F8C3AF7-7385-48F9-BF93-334DC2ABB9AB}"/>
    <cellStyle name="40% - Accent2 3 2 5 2 4" xfId="29477" xr:uid="{9D90674A-FDA0-4546-9C78-4C0D68835ED6}"/>
    <cellStyle name="40% - Accent2 3 2 5 2 5" xfId="12589" xr:uid="{49D14730-589F-4206-8D53-AAB78DA0280F}"/>
    <cellStyle name="40% - Accent2 3 2 5 3" xfId="6220" xr:uid="{00000000-0005-0000-0000-0000C3040000}"/>
    <cellStyle name="40% - Accent2 3 2 5 3 2" xfId="23103" xr:uid="{591A0C21-C9B5-4C9C-9A28-AEAE0B9E6C94}"/>
    <cellStyle name="40% - Accent2 3 2 5 3 3" xfId="31549" xr:uid="{E6E96797-65B3-4907-B1AD-AECEC59D0224}"/>
    <cellStyle name="40% - Accent2 3 2 5 3 4" xfId="14662" xr:uid="{D85BB90E-895B-4F5A-8238-8DDBDCD0424D}"/>
    <cellStyle name="40% - Accent2 3 2 5 4" xfId="18885" xr:uid="{19DF03B7-0A39-44AB-9ACA-E639113DC324}"/>
    <cellStyle name="40% - Accent2 3 2 5 5" xfId="27330" xr:uid="{8F342120-CCB5-49D0-8BF2-E4B83D783DE5}"/>
    <cellStyle name="40% - Accent2 3 2 5 6" xfId="10444" xr:uid="{6AF1DC2A-C64A-4C05-8C89-D08454259357}"/>
    <cellStyle name="40% - Accent2 3 2 6" xfId="2326" xr:uid="{00000000-0005-0000-0000-0000C4040000}"/>
    <cellStyle name="40% - Accent2 3 2 6 2" xfId="6633" xr:uid="{00000000-0005-0000-0000-0000C5040000}"/>
    <cellStyle name="40% - Accent2 3 2 6 2 2" xfId="23516" xr:uid="{6A0AD0C5-DC18-45B4-A27B-F09CF927D1F9}"/>
    <cellStyle name="40% - Accent2 3 2 6 2 3" xfId="31962" xr:uid="{43F31A40-6400-4CBB-8F26-69AE824CBD0C}"/>
    <cellStyle name="40% - Accent2 3 2 6 2 4" xfId="15075" xr:uid="{67C25269-0228-4199-BC03-E13D55A77361}"/>
    <cellStyle name="40% - Accent2 3 2 6 3" xfId="19298" xr:uid="{A552C072-4002-4A2D-A1C8-AE4E030ABA84}"/>
    <cellStyle name="40% - Accent2 3 2 6 4" xfId="27743" xr:uid="{AC0C6CE5-DC33-4795-AB83-680AEA0767B7}"/>
    <cellStyle name="40% - Accent2 3 2 6 5" xfId="10857" xr:uid="{662458A7-7AC5-46A1-A258-369DB0D069D4}"/>
    <cellStyle name="40% - Accent2 3 2 7" xfId="4567" xr:uid="{00000000-0005-0000-0000-0000C6040000}"/>
    <cellStyle name="40% - Accent2 3 2 7 2" xfId="21450" xr:uid="{3725BF6D-2544-41EC-BD99-CCD1F88A8702}"/>
    <cellStyle name="40% - Accent2 3 2 7 3" xfId="29896" xr:uid="{E2E1B1E8-08AC-4469-A2E5-03BDEFC4DEAD}"/>
    <cellStyle name="40% - Accent2 3 2 7 4" xfId="13009" xr:uid="{85B1DD27-F4C7-4836-B3D8-F5615083331E}"/>
    <cellStyle name="40% - Accent2 3 2 8" xfId="17232" xr:uid="{82E4E502-5B76-42C8-8DF9-9C23D4B170B2}"/>
    <cellStyle name="40% - Accent2 3 2 9" xfId="25674" xr:uid="{6AE4ED84-1268-4698-B26F-2D078C9AD9C8}"/>
    <cellStyle name="40% - Accent2 3 3" xfId="631" xr:uid="{00000000-0005-0000-0000-0000C7040000}"/>
    <cellStyle name="40% - Accent2 3 3 2" xfId="2902" xr:uid="{00000000-0005-0000-0000-0000C8040000}"/>
    <cellStyle name="40% - Accent2 3 3 2 2" xfId="7125" xr:uid="{00000000-0005-0000-0000-0000C9040000}"/>
    <cellStyle name="40% - Accent2 3 3 2 2 2" xfId="24008" xr:uid="{120C5808-2119-4A0D-8AAE-8705B8B932B7}"/>
    <cellStyle name="40% - Accent2 3 3 2 2 3" xfId="32454" xr:uid="{E554BFF9-C2B5-41DD-AF10-670C9FBBC5F6}"/>
    <cellStyle name="40% - Accent2 3 3 2 2 4" xfId="15567" xr:uid="{7D645BFB-5135-4CBE-B0F7-495A2C40AD3C}"/>
    <cellStyle name="40% - Accent2 3 3 2 3" xfId="19790" xr:uid="{CEE232CA-6F5D-4213-BEEF-B220A0BC3AC7}"/>
    <cellStyle name="40% - Accent2 3 3 2 4" xfId="28237" xr:uid="{E31C5811-1724-4EF0-B08C-24133F89BA52}"/>
    <cellStyle name="40% - Accent2 3 3 2 5" xfId="11349" xr:uid="{A4D6EB48-E248-4331-92AA-44E91AFC1CEF}"/>
    <cellStyle name="40% - Accent2 3 3 3" xfId="4980" xr:uid="{00000000-0005-0000-0000-0000CA040000}"/>
    <cellStyle name="40% - Accent2 3 3 3 2" xfId="21863" xr:uid="{6515BF7B-CDBF-43F4-8185-D35EF1213879}"/>
    <cellStyle name="40% - Accent2 3 3 3 3" xfId="30309" xr:uid="{F5D76DF5-845E-49B2-9946-8C310AF4DF32}"/>
    <cellStyle name="40% - Accent2 3 3 3 4" xfId="13422" xr:uid="{351F2E4D-D9CC-4702-B700-359CC28E0143}"/>
    <cellStyle name="40% - Accent2 3 3 4" xfId="17645" xr:uid="{E7ED5200-A962-4555-8085-C57DAEE8A2E1}"/>
    <cellStyle name="40% - Accent2 3 3 5" xfId="26090" xr:uid="{64D5FEC7-510F-42B6-89E2-4C36E58C2485}"/>
    <cellStyle name="40% - Accent2 3 3 6" xfId="9204" xr:uid="{C6887660-BFD2-4116-9700-65997B9E53B2}"/>
    <cellStyle name="40% - Accent2 3 4" xfId="1084" xr:uid="{00000000-0005-0000-0000-0000CB040000}"/>
    <cellStyle name="40% - Accent2 3 4 2" xfId="3315" xr:uid="{00000000-0005-0000-0000-0000CC040000}"/>
    <cellStyle name="40% - Accent2 3 4 2 2" xfId="7538" xr:uid="{00000000-0005-0000-0000-0000CD040000}"/>
    <cellStyle name="40% - Accent2 3 4 2 2 2" xfId="24421" xr:uid="{61F99AF5-45AD-4E93-AB11-059AC7A927D5}"/>
    <cellStyle name="40% - Accent2 3 4 2 2 3" xfId="32867" xr:uid="{A4E13EC8-C584-4FD7-8B0B-0C1A64E64286}"/>
    <cellStyle name="40% - Accent2 3 4 2 2 4" xfId="15980" xr:uid="{1E68E262-22E3-4E0C-A314-32234F3FE1AF}"/>
    <cellStyle name="40% - Accent2 3 4 2 3" xfId="20203" xr:uid="{57C85161-201A-4DED-8F66-9FFDFA15542D}"/>
    <cellStyle name="40% - Accent2 3 4 2 4" xfId="28650" xr:uid="{7AD5DAE6-DFAC-47FA-B6A7-B6814064BBE0}"/>
    <cellStyle name="40% - Accent2 3 4 2 5" xfId="11762" xr:uid="{0374E942-BE18-4C28-8A62-8438626EE435}"/>
    <cellStyle name="40% - Accent2 3 4 3" xfId="5393" xr:uid="{00000000-0005-0000-0000-0000CE040000}"/>
    <cellStyle name="40% - Accent2 3 4 3 2" xfId="22276" xr:uid="{59AE9B19-AC00-48D0-8761-D48B06D23709}"/>
    <cellStyle name="40% - Accent2 3 4 3 3" xfId="30722" xr:uid="{E4C2DDAF-9C3C-4B41-943F-FCD646F95870}"/>
    <cellStyle name="40% - Accent2 3 4 3 4" xfId="13835" xr:uid="{F8D3E7A9-3860-4A4A-8FD0-93CAB1628BA0}"/>
    <cellStyle name="40% - Accent2 3 4 4" xfId="18058" xr:uid="{F5689534-A2D1-4A91-AA27-80356EF5858C}"/>
    <cellStyle name="40% - Accent2 3 4 5" xfId="26503" xr:uid="{E37093A4-0556-4819-A3F8-C9A57C2A3921}"/>
    <cellStyle name="40% - Accent2 3 4 6" xfId="9617" xr:uid="{F3A4160E-F51A-423A-9735-DCFDB9EE7B63}"/>
    <cellStyle name="40% - Accent2 3 5" xfId="1498" xr:uid="{00000000-0005-0000-0000-0000CF040000}"/>
    <cellStyle name="40% - Accent2 3 5 2" xfId="3728" xr:uid="{00000000-0005-0000-0000-0000D0040000}"/>
    <cellStyle name="40% - Accent2 3 5 2 2" xfId="7951" xr:uid="{00000000-0005-0000-0000-0000D1040000}"/>
    <cellStyle name="40% - Accent2 3 5 2 2 2" xfId="24834" xr:uid="{8854EACF-2603-4B15-B95C-AAD4B3F5693B}"/>
    <cellStyle name="40% - Accent2 3 5 2 2 3" xfId="33280" xr:uid="{9A86C237-E240-4780-AA85-B9C097363F4F}"/>
    <cellStyle name="40% - Accent2 3 5 2 2 4" xfId="16393" xr:uid="{160C629F-02FD-4692-A5B1-1F4970BCCF32}"/>
    <cellStyle name="40% - Accent2 3 5 2 3" xfId="20616" xr:uid="{92E9B026-016C-47BB-B69F-F2F5448A4AB6}"/>
    <cellStyle name="40% - Accent2 3 5 2 4" xfId="29063" xr:uid="{5CA77F3B-944A-47CC-9A37-FC479B303958}"/>
    <cellStyle name="40% - Accent2 3 5 2 5" xfId="12175" xr:uid="{20263FF5-88D1-45A1-8F31-8140C75487B1}"/>
    <cellStyle name="40% - Accent2 3 5 3" xfId="5806" xr:uid="{00000000-0005-0000-0000-0000D2040000}"/>
    <cellStyle name="40% - Accent2 3 5 3 2" xfId="22689" xr:uid="{504E5D0E-625B-462C-A911-435718C9DA6E}"/>
    <cellStyle name="40% - Accent2 3 5 3 3" xfId="31135" xr:uid="{04EDF7A7-6F99-4096-A95C-8F735A3B11E2}"/>
    <cellStyle name="40% - Accent2 3 5 3 4" xfId="14248" xr:uid="{51A8837D-EB39-4A8B-B49B-4DB092B22ABB}"/>
    <cellStyle name="40% - Accent2 3 5 4" xfId="18471" xr:uid="{ED37977C-BADF-43A8-812A-ACD726897E74}"/>
    <cellStyle name="40% - Accent2 3 5 5" xfId="26916" xr:uid="{6BA5DB9C-4218-448F-9657-DF399DFCE0B3}"/>
    <cellStyle name="40% - Accent2 3 5 6" xfId="10030" xr:uid="{53617344-9C41-439E-AC36-7F078F80482F}"/>
    <cellStyle name="40% - Accent2 3 6" xfId="1912" xr:uid="{00000000-0005-0000-0000-0000D3040000}"/>
    <cellStyle name="40% - Accent2 3 6 2" xfId="4141" xr:uid="{00000000-0005-0000-0000-0000D4040000}"/>
    <cellStyle name="40% - Accent2 3 6 2 2" xfId="8364" xr:uid="{00000000-0005-0000-0000-0000D5040000}"/>
    <cellStyle name="40% - Accent2 3 6 2 2 2" xfId="25247" xr:uid="{7F36867C-3A4A-4195-A917-7D1CA7DAF94F}"/>
    <cellStyle name="40% - Accent2 3 6 2 2 3" xfId="33693" xr:uid="{4F26B5AB-7254-4A4E-84B7-EEFB66E9E677}"/>
    <cellStyle name="40% - Accent2 3 6 2 2 4" xfId="16806" xr:uid="{C653ADE2-35B3-4515-B842-29DCE7AA879A}"/>
    <cellStyle name="40% - Accent2 3 6 2 3" xfId="21029" xr:uid="{8B8D3FB6-C225-44C3-9DC6-4D26C0918CDC}"/>
    <cellStyle name="40% - Accent2 3 6 2 4" xfId="29476" xr:uid="{11FCB0C2-77BC-451A-8083-290C74D0CF61}"/>
    <cellStyle name="40% - Accent2 3 6 2 5" xfId="12588" xr:uid="{D1BE21D5-BEB1-4D14-8804-0606ABDB5272}"/>
    <cellStyle name="40% - Accent2 3 6 3" xfId="6219" xr:uid="{00000000-0005-0000-0000-0000D6040000}"/>
    <cellStyle name="40% - Accent2 3 6 3 2" xfId="23102" xr:uid="{4F283006-E78D-4AC4-B8B5-585BF9C667FF}"/>
    <cellStyle name="40% - Accent2 3 6 3 3" xfId="31548" xr:uid="{603A14F2-102D-4FEF-8F80-6B4EE1C42CF0}"/>
    <cellStyle name="40% - Accent2 3 6 3 4" xfId="14661" xr:uid="{A0BF8303-CAAD-4653-853B-3A0FFA34D081}"/>
    <cellStyle name="40% - Accent2 3 6 4" xfId="18884" xr:uid="{43B4DA53-BEFF-44B3-B67A-15ABC0DBF3B5}"/>
    <cellStyle name="40% - Accent2 3 6 5" xfId="27329" xr:uid="{3C976D47-6527-4540-8932-4FF0F21C8DFF}"/>
    <cellStyle name="40% - Accent2 3 6 6" xfId="10443" xr:uid="{E8EEFF19-2D0E-4DD5-B517-CB91A88B65FF}"/>
    <cellStyle name="40% - Accent2 3 7" xfId="2325" xr:uid="{00000000-0005-0000-0000-0000D7040000}"/>
    <cellStyle name="40% - Accent2 3 7 2" xfId="6632" xr:uid="{00000000-0005-0000-0000-0000D8040000}"/>
    <cellStyle name="40% - Accent2 3 7 2 2" xfId="23515" xr:uid="{B7FE76F0-61FC-48F5-9C37-6C1CCCD9F8DC}"/>
    <cellStyle name="40% - Accent2 3 7 2 3" xfId="31961" xr:uid="{EE5FA099-BC10-4286-8A2F-99E8E99DC148}"/>
    <cellStyle name="40% - Accent2 3 7 2 4" xfId="15074" xr:uid="{63C864E6-4A44-47A0-A964-0968E1035D76}"/>
    <cellStyle name="40% - Accent2 3 7 3" xfId="19297" xr:uid="{99B02CC1-FAD2-44A4-87CA-3C6661BA8069}"/>
    <cellStyle name="40% - Accent2 3 7 4" xfId="27742" xr:uid="{D068FA3B-2594-4786-8780-C8589117E8C6}"/>
    <cellStyle name="40% - Accent2 3 7 5" xfId="10856" xr:uid="{0D0B657F-058B-42C8-8EFC-B3C812776E59}"/>
    <cellStyle name="40% - Accent2 3 8" xfId="4566" xr:uid="{00000000-0005-0000-0000-0000D9040000}"/>
    <cellStyle name="40% - Accent2 3 8 2" xfId="21449" xr:uid="{9F9FF5AE-63A1-43B2-B75D-39AE0408B100}"/>
    <cellStyle name="40% - Accent2 3 8 3" xfId="29895" xr:uid="{E22D90BB-0B6E-46B9-A4CD-D90D86C85F27}"/>
    <cellStyle name="40% - Accent2 3 8 4" xfId="13008" xr:uid="{49EF868C-6A13-4F97-9F94-EEA31D681E1C}"/>
    <cellStyle name="40% - Accent2 3 9" xfId="17231" xr:uid="{CAA3644D-733B-43A4-AEE9-B8F905423C57}"/>
    <cellStyle name="40% - Accent2 4" xfId="64" xr:uid="{00000000-0005-0000-0000-0000DA040000}"/>
    <cellStyle name="40% - Accent2 4 10" xfId="8792" xr:uid="{13294E16-7299-45C0-8577-2D75661BC922}"/>
    <cellStyle name="40% - Accent2 4 2" xfId="633" xr:uid="{00000000-0005-0000-0000-0000DB040000}"/>
    <cellStyle name="40% - Accent2 4 2 2" xfId="2904" xr:uid="{00000000-0005-0000-0000-0000DC040000}"/>
    <cellStyle name="40% - Accent2 4 2 2 2" xfId="7127" xr:uid="{00000000-0005-0000-0000-0000DD040000}"/>
    <cellStyle name="40% - Accent2 4 2 2 2 2" xfId="24010" xr:uid="{853DE6DE-F40B-4699-91B8-362C34B41F79}"/>
    <cellStyle name="40% - Accent2 4 2 2 2 3" xfId="32456" xr:uid="{A44D2014-03F1-4053-8D40-AD9C2F230804}"/>
    <cellStyle name="40% - Accent2 4 2 2 2 4" xfId="15569" xr:uid="{EA913177-0AC2-412D-85F3-D4BA68C54D4E}"/>
    <cellStyle name="40% - Accent2 4 2 2 3" xfId="19792" xr:uid="{5BDD42BA-AA96-49A2-9A06-2C2F29023A9E}"/>
    <cellStyle name="40% - Accent2 4 2 2 4" xfId="28239" xr:uid="{11E1EF11-B15D-4DF2-94EC-2A5465A9312A}"/>
    <cellStyle name="40% - Accent2 4 2 2 5" xfId="11351" xr:uid="{0DD55F1F-ACEA-4E74-8BD6-AA8B3594909A}"/>
    <cellStyle name="40% - Accent2 4 2 3" xfId="4982" xr:uid="{00000000-0005-0000-0000-0000DE040000}"/>
    <cellStyle name="40% - Accent2 4 2 3 2" xfId="21865" xr:uid="{000D352A-5BC8-4BCA-8462-EAB1B82CC2E3}"/>
    <cellStyle name="40% - Accent2 4 2 3 3" xfId="30311" xr:uid="{2D3D5A44-BF85-4088-9E5F-F95187E9E0EE}"/>
    <cellStyle name="40% - Accent2 4 2 3 4" xfId="13424" xr:uid="{9B3C9CEB-1D31-420C-8307-A38AAD25CC51}"/>
    <cellStyle name="40% - Accent2 4 2 4" xfId="17647" xr:uid="{A2C35A87-2E22-4AB6-8A26-1AF3C0FC9B92}"/>
    <cellStyle name="40% - Accent2 4 2 5" xfId="26092" xr:uid="{76E3FCBD-45E8-4E55-BD6F-E0FB4B0D8278}"/>
    <cellStyle name="40% - Accent2 4 2 6" xfId="9206" xr:uid="{7992C5D0-9724-459D-9D1F-081C32520FD3}"/>
    <cellStyle name="40% - Accent2 4 3" xfId="1086" xr:uid="{00000000-0005-0000-0000-0000DF040000}"/>
    <cellStyle name="40% - Accent2 4 3 2" xfId="3317" xr:uid="{00000000-0005-0000-0000-0000E0040000}"/>
    <cellStyle name="40% - Accent2 4 3 2 2" xfId="7540" xr:uid="{00000000-0005-0000-0000-0000E1040000}"/>
    <cellStyle name="40% - Accent2 4 3 2 2 2" xfId="24423" xr:uid="{50055E91-4B14-4F84-BAAB-867ACADDF8B3}"/>
    <cellStyle name="40% - Accent2 4 3 2 2 3" xfId="32869" xr:uid="{4FC5A6C1-D532-42B1-8644-FC13BB76F898}"/>
    <cellStyle name="40% - Accent2 4 3 2 2 4" xfId="15982" xr:uid="{6F69D0E4-D069-4321-9361-4E3467EC1AEE}"/>
    <cellStyle name="40% - Accent2 4 3 2 3" xfId="20205" xr:uid="{C1CC9773-8E79-46A4-A165-A25D87792C7E}"/>
    <cellStyle name="40% - Accent2 4 3 2 4" xfId="28652" xr:uid="{A4701CD2-1EBA-42F2-BC09-5B2CD28BEF37}"/>
    <cellStyle name="40% - Accent2 4 3 2 5" xfId="11764" xr:uid="{86BB080B-6831-467D-9DAD-B79EE70B8439}"/>
    <cellStyle name="40% - Accent2 4 3 3" xfId="5395" xr:uid="{00000000-0005-0000-0000-0000E2040000}"/>
    <cellStyle name="40% - Accent2 4 3 3 2" xfId="22278" xr:uid="{C1724B5F-D269-416A-AB80-3942C41EE426}"/>
    <cellStyle name="40% - Accent2 4 3 3 3" xfId="30724" xr:uid="{B9BF27BF-873B-4310-9A1D-8F0246815131}"/>
    <cellStyle name="40% - Accent2 4 3 3 4" xfId="13837" xr:uid="{EBE7DCBD-166B-4BCF-ABC3-878012717F6D}"/>
    <cellStyle name="40% - Accent2 4 3 4" xfId="18060" xr:uid="{17A94812-C53F-4C64-8D7A-B09C7EB0697B}"/>
    <cellStyle name="40% - Accent2 4 3 5" xfId="26505" xr:uid="{5BE81B65-2A9D-450D-9C35-3F71A5D5202F}"/>
    <cellStyle name="40% - Accent2 4 3 6" xfId="9619" xr:uid="{A46666BC-41B7-478B-AAD6-BC35A32C0B17}"/>
    <cellStyle name="40% - Accent2 4 4" xfId="1500" xr:uid="{00000000-0005-0000-0000-0000E3040000}"/>
    <cellStyle name="40% - Accent2 4 4 2" xfId="3730" xr:uid="{00000000-0005-0000-0000-0000E4040000}"/>
    <cellStyle name="40% - Accent2 4 4 2 2" xfId="7953" xr:uid="{00000000-0005-0000-0000-0000E5040000}"/>
    <cellStyle name="40% - Accent2 4 4 2 2 2" xfId="24836" xr:uid="{50479C05-0978-4991-B8D1-8C80AE768BF1}"/>
    <cellStyle name="40% - Accent2 4 4 2 2 3" xfId="33282" xr:uid="{712FC968-8E03-44A2-9BAE-3902069622CF}"/>
    <cellStyle name="40% - Accent2 4 4 2 2 4" xfId="16395" xr:uid="{CE5A462D-DDFF-4BF3-8B9E-CFCFCCA4537D}"/>
    <cellStyle name="40% - Accent2 4 4 2 3" xfId="20618" xr:uid="{424FCCFE-AC28-4B2A-9391-E1130485F0F2}"/>
    <cellStyle name="40% - Accent2 4 4 2 4" xfId="29065" xr:uid="{4CE65AC8-5815-49E7-A4F5-7FA7FCDC9FC7}"/>
    <cellStyle name="40% - Accent2 4 4 2 5" xfId="12177" xr:uid="{6F7F3C90-E4DB-4C1C-8446-AED2A080933F}"/>
    <cellStyle name="40% - Accent2 4 4 3" xfId="5808" xr:uid="{00000000-0005-0000-0000-0000E6040000}"/>
    <cellStyle name="40% - Accent2 4 4 3 2" xfId="22691" xr:uid="{1409278F-D2FD-4418-BD6A-12CA5691B790}"/>
    <cellStyle name="40% - Accent2 4 4 3 3" xfId="31137" xr:uid="{03AAAC90-4558-4C5F-B020-41F4722B665E}"/>
    <cellStyle name="40% - Accent2 4 4 3 4" xfId="14250" xr:uid="{8A4F6079-F45E-4229-9B94-37AD21D473C7}"/>
    <cellStyle name="40% - Accent2 4 4 4" xfId="18473" xr:uid="{79A25C7D-8738-45DE-8E10-3134FE45964B}"/>
    <cellStyle name="40% - Accent2 4 4 5" xfId="26918" xr:uid="{818D4E74-7062-4C97-9BDD-2EE7B2FC01FA}"/>
    <cellStyle name="40% - Accent2 4 4 6" xfId="10032" xr:uid="{AA9CE160-FBE2-4461-B62B-E406CE5B4623}"/>
    <cellStyle name="40% - Accent2 4 5" xfId="1914" xr:uid="{00000000-0005-0000-0000-0000E7040000}"/>
    <cellStyle name="40% - Accent2 4 5 2" xfId="4143" xr:uid="{00000000-0005-0000-0000-0000E8040000}"/>
    <cellStyle name="40% - Accent2 4 5 2 2" xfId="8366" xr:uid="{00000000-0005-0000-0000-0000E9040000}"/>
    <cellStyle name="40% - Accent2 4 5 2 2 2" xfId="25249" xr:uid="{E0A276E6-2C1D-46B4-8B62-B64C1CF755DD}"/>
    <cellStyle name="40% - Accent2 4 5 2 2 3" xfId="33695" xr:uid="{02BF27B3-4CDD-40EA-917A-7AE18C8A92E5}"/>
    <cellStyle name="40% - Accent2 4 5 2 2 4" xfId="16808" xr:uid="{0A9DCF5B-4297-4DE7-86C1-632F43DFBC32}"/>
    <cellStyle name="40% - Accent2 4 5 2 3" xfId="21031" xr:uid="{DA0FF2D3-50AC-4F94-B059-D62BB5FC0E2A}"/>
    <cellStyle name="40% - Accent2 4 5 2 4" xfId="29478" xr:uid="{AD8A53B2-93DE-4D22-94BD-F0FD899F142C}"/>
    <cellStyle name="40% - Accent2 4 5 2 5" xfId="12590" xr:uid="{015483B6-EBF0-42ED-BDE7-FC0E559BFF8B}"/>
    <cellStyle name="40% - Accent2 4 5 3" xfId="6221" xr:uid="{00000000-0005-0000-0000-0000EA040000}"/>
    <cellStyle name="40% - Accent2 4 5 3 2" xfId="23104" xr:uid="{D2E57415-43A6-437E-A2A8-D11B7B9F088F}"/>
    <cellStyle name="40% - Accent2 4 5 3 3" xfId="31550" xr:uid="{F3D84A46-6D7F-4DEA-BBF0-F1504EC520E2}"/>
    <cellStyle name="40% - Accent2 4 5 3 4" xfId="14663" xr:uid="{96FB33C5-85F5-4BEE-8316-6DAFABB6B985}"/>
    <cellStyle name="40% - Accent2 4 5 4" xfId="18886" xr:uid="{CF60929B-990F-417E-A7DE-697D4C45AD0A}"/>
    <cellStyle name="40% - Accent2 4 5 5" xfId="27331" xr:uid="{53073490-4D4C-464C-9956-3EE5076E81FF}"/>
    <cellStyle name="40% - Accent2 4 5 6" xfId="10445" xr:uid="{9F157E92-60E1-40A0-897E-6229D4ABE624}"/>
    <cellStyle name="40% - Accent2 4 6" xfId="2327" xr:uid="{00000000-0005-0000-0000-0000EB040000}"/>
    <cellStyle name="40% - Accent2 4 6 2" xfId="6634" xr:uid="{00000000-0005-0000-0000-0000EC040000}"/>
    <cellStyle name="40% - Accent2 4 6 2 2" xfId="23517" xr:uid="{1A57A9EA-9A0A-420C-B871-F577AE2557B5}"/>
    <cellStyle name="40% - Accent2 4 6 2 3" xfId="31963" xr:uid="{331EBB42-16DB-46D0-A5DC-39423B4FC647}"/>
    <cellStyle name="40% - Accent2 4 6 2 4" xfId="15076" xr:uid="{60F55FE4-2629-4441-9B05-84D8E2761A62}"/>
    <cellStyle name="40% - Accent2 4 6 3" xfId="19299" xr:uid="{085BFC57-84F5-4124-9518-97F531745718}"/>
    <cellStyle name="40% - Accent2 4 6 4" xfId="27744" xr:uid="{2533517E-B735-4B95-982D-55E82F303CBC}"/>
    <cellStyle name="40% - Accent2 4 6 5" xfId="10858" xr:uid="{C11546A4-14CF-4035-A619-CA2D2E874E35}"/>
    <cellStyle name="40% - Accent2 4 7" xfId="4568" xr:uid="{00000000-0005-0000-0000-0000ED040000}"/>
    <cellStyle name="40% - Accent2 4 7 2" xfId="21451" xr:uid="{CE235A72-5DCB-4A5B-9269-193A1BDE6B8B}"/>
    <cellStyle name="40% - Accent2 4 7 3" xfId="29897" xr:uid="{78CB109C-0EDA-493D-A49D-B51203EF7117}"/>
    <cellStyle name="40% - Accent2 4 7 4" xfId="13010" xr:uid="{41E15A73-F295-4177-B44B-BC5350FF6B94}"/>
    <cellStyle name="40% - Accent2 4 8" xfId="17233" xr:uid="{36E94035-082B-4EFB-ADA5-1089DE8ED03C}"/>
    <cellStyle name="40% - Accent2 4 9" xfId="25675" xr:uid="{4AAF250E-5C18-44E6-88A4-BE849BFCC5FB}"/>
    <cellStyle name="40% - Accent2 5" xfId="626" xr:uid="{00000000-0005-0000-0000-0000EE040000}"/>
    <cellStyle name="40% - Accent2 5 2" xfId="2897" xr:uid="{00000000-0005-0000-0000-0000EF040000}"/>
    <cellStyle name="40% - Accent2 5 2 2" xfId="7120" xr:uid="{00000000-0005-0000-0000-0000F0040000}"/>
    <cellStyle name="40% - Accent2 5 2 2 2" xfId="24003" xr:uid="{B4D889A9-D13E-4C72-B7BB-E0982115491E}"/>
    <cellStyle name="40% - Accent2 5 2 2 3" xfId="32449" xr:uid="{FC9870BB-CE74-4121-AABD-9DF16837E2E8}"/>
    <cellStyle name="40% - Accent2 5 2 2 4" xfId="15562" xr:uid="{F16185ED-0F5D-4F40-BE56-10288943E2BB}"/>
    <cellStyle name="40% - Accent2 5 2 3" xfId="19785" xr:uid="{D3E2D5A2-DE5C-4701-90B3-8DCC89EF7D94}"/>
    <cellStyle name="40% - Accent2 5 2 4" xfId="28232" xr:uid="{394AE7FE-582D-46C7-9F33-4E492459BAC1}"/>
    <cellStyle name="40% - Accent2 5 2 5" xfId="11344" xr:uid="{255E196F-AC6D-4B74-A5D1-BD3731C1B58E}"/>
    <cellStyle name="40% - Accent2 5 3" xfId="4975" xr:uid="{00000000-0005-0000-0000-0000F1040000}"/>
    <cellStyle name="40% - Accent2 5 3 2" xfId="21858" xr:uid="{E3635449-B576-4994-A76A-56D2EFF13449}"/>
    <cellStyle name="40% - Accent2 5 3 3" xfId="30304" xr:uid="{497ADA7F-1D2D-452F-B285-63BBE755A9E4}"/>
    <cellStyle name="40% - Accent2 5 3 4" xfId="13417" xr:uid="{3C2D660D-FD28-48B5-9FA1-705629AC5A3D}"/>
    <cellStyle name="40% - Accent2 5 4" xfId="17640" xr:uid="{3D60C271-9876-47EE-A1AF-1BE0791891F6}"/>
    <cellStyle name="40% - Accent2 5 5" xfId="26085" xr:uid="{A2E48FB5-11BD-42FD-A551-0F48E79F7353}"/>
    <cellStyle name="40% - Accent2 5 6" xfId="9199" xr:uid="{A4713B7E-8CF5-41CE-B951-6F8DB4C70FBC}"/>
    <cellStyle name="40% - Accent2 6" xfId="1079" xr:uid="{00000000-0005-0000-0000-0000F2040000}"/>
    <cellStyle name="40% - Accent2 6 2" xfId="3310" xr:uid="{00000000-0005-0000-0000-0000F3040000}"/>
    <cellStyle name="40% - Accent2 6 2 2" xfId="7533" xr:uid="{00000000-0005-0000-0000-0000F4040000}"/>
    <cellStyle name="40% - Accent2 6 2 2 2" xfId="24416" xr:uid="{B6160090-0462-42D8-86AF-872E8CA31F7F}"/>
    <cellStyle name="40% - Accent2 6 2 2 3" xfId="32862" xr:uid="{9046E450-4AB7-459B-8D96-BDEA3B5A47C8}"/>
    <cellStyle name="40% - Accent2 6 2 2 4" xfId="15975" xr:uid="{F6D5D9D4-B5AD-4076-9CAB-0E7F21198A4C}"/>
    <cellStyle name="40% - Accent2 6 2 3" xfId="20198" xr:uid="{48D93634-8175-4205-898A-BE2FBE042EE5}"/>
    <cellStyle name="40% - Accent2 6 2 4" xfId="28645" xr:uid="{0A211D78-7A57-47C0-854C-DA5CF5F6AEFF}"/>
    <cellStyle name="40% - Accent2 6 2 5" xfId="11757" xr:uid="{536616BF-7FE3-4392-B4B4-4D399E8B0A05}"/>
    <cellStyle name="40% - Accent2 6 3" xfId="5388" xr:uid="{00000000-0005-0000-0000-0000F5040000}"/>
    <cellStyle name="40% - Accent2 6 3 2" xfId="22271" xr:uid="{CCF824AE-D1CD-4D77-8671-F2C916925A3F}"/>
    <cellStyle name="40% - Accent2 6 3 3" xfId="30717" xr:uid="{0F082CB3-25FB-4ECD-911E-AE2741C038D5}"/>
    <cellStyle name="40% - Accent2 6 3 4" xfId="13830" xr:uid="{53B16BDF-8592-471B-8E98-1447C9E85880}"/>
    <cellStyle name="40% - Accent2 6 4" xfId="18053" xr:uid="{F3BFFDAD-CBF9-4AEF-A4B1-80C47C06E653}"/>
    <cellStyle name="40% - Accent2 6 5" xfId="26498" xr:uid="{B8D2B593-019C-404C-9499-44CEFE42D8A3}"/>
    <cellStyle name="40% - Accent2 6 6" xfId="9612" xr:uid="{2F7CBE30-B456-4352-AA6A-90F88A8CAE59}"/>
    <cellStyle name="40% - Accent2 7" xfId="1493" xr:uid="{00000000-0005-0000-0000-0000F6040000}"/>
    <cellStyle name="40% - Accent2 7 2" xfId="3723" xr:uid="{00000000-0005-0000-0000-0000F7040000}"/>
    <cellStyle name="40% - Accent2 7 2 2" xfId="7946" xr:uid="{00000000-0005-0000-0000-0000F8040000}"/>
    <cellStyle name="40% - Accent2 7 2 2 2" xfId="24829" xr:uid="{EFED29A4-DCCD-4FFA-B1B1-53F739FE2C13}"/>
    <cellStyle name="40% - Accent2 7 2 2 3" xfId="33275" xr:uid="{AF485B26-C5E7-4514-B45C-6502BBB8D824}"/>
    <cellStyle name="40% - Accent2 7 2 2 4" xfId="16388" xr:uid="{EC1840B8-D0EE-4003-97E7-A05EFA3E030F}"/>
    <cellStyle name="40% - Accent2 7 2 3" xfId="20611" xr:uid="{45E47F3C-23D1-4881-8331-5345953CA0DF}"/>
    <cellStyle name="40% - Accent2 7 2 4" xfId="29058" xr:uid="{684D33AD-33EA-463F-8338-BFEC22EAA3A5}"/>
    <cellStyle name="40% - Accent2 7 2 5" xfId="12170" xr:uid="{483BF828-5862-4A8E-928B-9668B7B3D3A1}"/>
    <cellStyle name="40% - Accent2 7 3" xfId="5801" xr:uid="{00000000-0005-0000-0000-0000F9040000}"/>
    <cellStyle name="40% - Accent2 7 3 2" xfId="22684" xr:uid="{F10B88B7-BDAD-4C33-9DF2-446A7710BF9B}"/>
    <cellStyle name="40% - Accent2 7 3 3" xfId="31130" xr:uid="{1F12FE86-0E64-49B1-9B41-49347184595D}"/>
    <cellStyle name="40% - Accent2 7 3 4" xfId="14243" xr:uid="{1A9FC6D7-049B-4B67-90D8-C9DCA3A7AC11}"/>
    <cellStyle name="40% - Accent2 7 4" xfId="18466" xr:uid="{D9A821A7-DD08-479A-8C64-D76FA2396779}"/>
    <cellStyle name="40% - Accent2 7 5" xfId="26911" xr:uid="{DDE1EF26-1FA7-4F51-B980-4F1EA897D605}"/>
    <cellStyle name="40% - Accent2 7 6" xfId="10025" xr:uid="{55888B1E-8B00-44E9-8FA1-E701EF3B6623}"/>
    <cellStyle name="40% - Accent2 8" xfId="1907" xr:uid="{00000000-0005-0000-0000-0000FA040000}"/>
    <cellStyle name="40% - Accent2 8 2" xfId="4136" xr:uid="{00000000-0005-0000-0000-0000FB040000}"/>
    <cellStyle name="40% - Accent2 8 2 2" xfId="8359" xr:uid="{00000000-0005-0000-0000-0000FC040000}"/>
    <cellStyle name="40% - Accent2 8 2 2 2" xfId="25242" xr:uid="{17285220-1B76-453A-8918-8B6BF1C1EEA7}"/>
    <cellStyle name="40% - Accent2 8 2 2 3" xfId="33688" xr:uid="{6AFE2EEA-4DB1-4F20-ACB5-CD5B2AFB9BF9}"/>
    <cellStyle name="40% - Accent2 8 2 2 4" xfId="16801" xr:uid="{3BD01C4B-D034-4D3B-B797-4BB23B25FEA0}"/>
    <cellStyle name="40% - Accent2 8 2 3" xfId="21024" xr:uid="{043FC37C-F72F-4AD8-BACC-F9CE473B34FD}"/>
    <cellStyle name="40% - Accent2 8 2 4" xfId="29471" xr:uid="{1D627063-78E0-441E-B323-A7A85C28AE15}"/>
    <cellStyle name="40% - Accent2 8 2 5" xfId="12583" xr:uid="{93462A35-FAA3-4AEB-BB9A-1D71561A0A96}"/>
    <cellStyle name="40% - Accent2 8 3" xfId="6214" xr:uid="{00000000-0005-0000-0000-0000FD040000}"/>
    <cellStyle name="40% - Accent2 8 3 2" xfId="23097" xr:uid="{009CC9EC-E2E7-4268-B8D5-8CC8937AB367}"/>
    <cellStyle name="40% - Accent2 8 3 3" xfId="31543" xr:uid="{9D9064A6-DA84-414A-9584-EAB2CC4D31B0}"/>
    <cellStyle name="40% - Accent2 8 3 4" xfId="14656" xr:uid="{2C0E1A3C-C6BD-4142-99F0-F1A2EE0C6F10}"/>
    <cellStyle name="40% - Accent2 8 4" xfId="18879" xr:uid="{B6C378E4-97F6-4F86-B6BB-438BBF926E44}"/>
    <cellStyle name="40% - Accent2 8 5" xfId="27324" xr:uid="{34CC83AC-C802-4E82-8078-48768B23948B}"/>
    <cellStyle name="40% - Accent2 8 6" xfId="10438" xr:uid="{69BF8C81-F447-4B2A-AB7C-761010F70017}"/>
    <cellStyle name="40% - Accent2 9" xfId="2320" xr:uid="{00000000-0005-0000-0000-0000FE040000}"/>
    <cellStyle name="40% - Accent2 9 2" xfId="6627" xr:uid="{00000000-0005-0000-0000-0000FF040000}"/>
    <cellStyle name="40% - Accent2 9 2 2" xfId="23510" xr:uid="{7D7E24B8-6EAA-468B-BDDB-89D7ABB40358}"/>
    <cellStyle name="40% - Accent2 9 2 3" xfId="31956" xr:uid="{46B2C1FA-217B-4317-AD5B-68914E38E7AD}"/>
    <cellStyle name="40% - Accent2 9 2 4" xfId="15069" xr:uid="{E28F9F7E-5358-425A-84A7-024B46D76532}"/>
    <cellStyle name="40% - Accent2 9 3" xfId="19292" xr:uid="{C58A92A1-84CE-45B7-957F-F5686D40B5A1}"/>
    <cellStyle name="40% - Accent2 9 4" xfId="27737" xr:uid="{E7372B5F-418C-434B-A248-DA76211FAAC5}"/>
    <cellStyle name="40% - Accent2 9 5" xfId="10851" xr:uid="{BDBA7D60-85B9-4045-A032-F6BA52485619}"/>
    <cellStyle name="40% - Accent3" xfId="65" builtinId="39" customBuiltin="1"/>
    <cellStyle name="40% - Accent3 10" xfId="4569" xr:uid="{00000000-0005-0000-0000-000001050000}"/>
    <cellStyle name="40% - Accent3 10 2" xfId="21452" xr:uid="{7466DFDA-A942-42E9-868A-3424FC4A8F98}"/>
    <cellStyle name="40% - Accent3 10 3" xfId="29898" xr:uid="{9A082448-9974-4F87-8FD7-4AFE6E4DAD37}"/>
    <cellStyle name="40% - Accent3 10 4" xfId="13011" xr:uid="{2A3A557D-E02B-4D95-8CCA-0C3B7F1E3839}"/>
    <cellStyle name="40% - Accent3 11" xfId="17234" xr:uid="{8128EEE0-5723-49A5-AD7D-FC65C7B8E92C}"/>
    <cellStyle name="40% - Accent3 12" xfId="25676" xr:uid="{2636B7ED-34B3-47CE-9D5A-B1AE50AD46D4}"/>
    <cellStyle name="40% - Accent3 13" xfId="8793" xr:uid="{E46B9AA5-37BF-4558-8805-8F6D11C1CF98}"/>
    <cellStyle name="40% - Accent3 2" xfId="66" xr:uid="{00000000-0005-0000-0000-000002050000}"/>
    <cellStyle name="40% - Accent3 2 10" xfId="17235" xr:uid="{7F0C4457-939B-4F28-A999-DE6625844073}"/>
    <cellStyle name="40% - Accent3 2 11" xfId="25677" xr:uid="{2F9F0B55-1D43-444C-B21E-9ECE9EBBB2F6}"/>
    <cellStyle name="40% - Accent3 2 12" xfId="8794" xr:uid="{152D01A3-0A35-4752-9B64-8131E6712D26}"/>
    <cellStyle name="40% - Accent3 2 2" xfId="67" xr:uid="{00000000-0005-0000-0000-000003050000}"/>
    <cellStyle name="40% - Accent3 2 2 10" xfId="25678" xr:uid="{0D7DFC0B-9FB9-4AB5-846D-C66A54957985}"/>
    <cellStyle name="40% - Accent3 2 2 11" xfId="8795" xr:uid="{FAEFFEB6-DB8C-433B-8A3F-94E39FA0CDEB}"/>
    <cellStyle name="40% - Accent3 2 2 2" xfId="68" xr:uid="{00000000-0005-0000-0000-000004050000}"/>
    <cellStyle name="40% - Accent3 2 2 2 10" xfId="8796" xr:uid="{744030FF-257E-4EA8-8491-F0B6CA24608A}"/>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24014" xr:uid="{12B0AEDB-D0DA-4339-A90C-6413D1305B66}"/>
    <cellStyle name="40% - Accent3 2 2 2 2 2 2 3" xfId="32460" xr:uid="{19E3C870-FC32-49D8-803F-21E2153B46D4}"/>
    <cellStyle name="40% - Accent3 2 2 2 2 2 2 4" xfId="15573" xr:uid="{F1B52C5E-809C-4B9B-9F81-369D8394490C}"/>
    <cellStyle name="40% - Accent3 2 2 2 2 2 3" xfId="19796" xr:uid="{F37BEAB6-6D42-45E4-BF5A-BCE334B650A9}"/>
    <cellStyle name="40% - Accent3 2 2 2 2 2 4" xfId="28243" xr:uid="{2A752C9A-8E1E-4432-936C-AADB949E5829}"/>
    <cellStyle name="40% - Accent3 2 2 2 2 2 5" xfId="11355" xr:uid="{61C91F6D-9400-4B18-B7C6-D2F3A338E05C}"/>
    <cellStyle name="40% - Accent3 2 2 2 2 3" xfId="4986" xr:uid="{00000000-0005-0000-0000-000008050000}"/>
    <cellStyle name="40% - Accent3 2 2 2 2 3 2" xfId="21869" xr:uid="{75A425B5-2FCB-42E1-B5EB-ECBD60A57273}"/>
    <cellStyle name="40% - Accent3 2 2 2 2 3 3" xfId="30315" xr:uid="{4FBEA7B1-6A95-4472-86CD-886F2186A21F}"/>
    <cellStyle name="40% - Accent3 2 2 2 2 3 4" xfId="13428" xr:uid="{B311F91B-8652-4207-8E0A-B1B500F83EDF}"/>
    <cellStyle name="40% - Accent3 2 2 2 2 4" xfId="17651" xr:uid="{41DA608A-9CA5-4EF9-9CDF-09E6FBA70E29}"/>
    <cellStyle name="40% - Accent3 2 2 2 2 5" xfId="26096" xr:uid="{AF92B361-5085-4E76-A4A6-65D8A7DDAAFC}"/>
    <cellStyle name="40% - Accent3 2 2 2 2 6" xfId="9210" xr:uid="{EDBCA118-A958-4AAE-8206-9185042260B7}"/>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24427" xr:uid="{A7D5D49F-B2C8-4576-9F02-5E9317424D09}"/>
    <cellStyle name="40% - Accent3 2 2 2 3 2 2 3" xfId="32873" xr:uid="{332E1691-25D3-457B-8935-13C2B1E897FA}"/>
    <cellStyle name="40% - Accent3 2 2 2 3 2 2 4" xfId="15986" xr:uid="{350456D1-D282-4E88-A9B6-A9A359992978}"/>
    <cellStyle name="40% - Accent3 2 2 2 3 2 3" xfId="20209" xr:uid="{2B61B500-6B5A-479B-BD6F-3393993F04C6}"/>
    <cellStyle name="40% - Accent3 2 2 2 3 2 4" xfId="28656" xr:uid="{C9216F87-99B3-4724-BDD0-0CDD58FD0D91}"/>
    <cellStyle name="40% - Accent3 2 2 2 3 2 5" xfId="11768" xr:uid="{DF13BE45-8AF5-4FD8-969B-DD59B8AEF980}"/>
    <cellStyle name="40% - Accent3 2 2 2 3 3" xfId="5399" xr:uid="{00000000-0005-0000-0000-00000C050000}"/>
    <cellStyle name="40% - Accent3 2 2 2 3 3 2" xfId="22282" xr:uid="{EFD5F76F-184F-43CB-A15E-88895D6AC6F0}"/>
    <cellStyle name="40% - Accent3 2 2 2 3 3 3" xfId="30728" xr:uid="{25FD8C62-10CA-42D6-B662-436893BB82AC}"/>
    <cellStyle name="40% - Accent3 2 2 2 3 3 4" xfId="13841" xr:uid="{6E225DA7-E386-462B-8DA4-5C1F57A8879C}"/>
    <cellStyle name="40% - Accent3 2 2 2 3 4" xfId="18064" xr:uid="{A9E3DC4D-5400-4929-9D52-6B73BD9A6715}"/>
    <cellStyle name="40% - Accent3 2 2 2 3 5" xfId="26509" xr:uid="{78F8DBEB-1AE5-4CF5-B564-FE219441AE45}"/>
    <cellStyle name="40% - Accent3 2 2 2 3 6" xfId="9623" xr:uid="{97F46D51-2375-473A-94BB-0868E6E7D8B3}"/>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24840" xr:uid="{1FA88DDE-EE22-4F3F-A13E-CF6FEC46CA64}"/>
    <cellStyle name="40% - Accent3 2 2 2 4 2 2 3" xfId="33286" xr:uid="{CB06B75F-A676-46A3-8014-1FB2722FC113}"/>
    <cellStyle name="40% - Accent3 2 2 2 4 2 2 4" xfId="16399" xr:uid="{B3610328-F7B4-4000-928B-3F6ED79D5DBC}"/>
    <cellStyle name="40% - Accent3 2 2 2 4 2 3" xfId="20622" xr:uid="{13DD906C-8600-47BF-BAF8-F9B7D14B3DEF}"/>
    <cellStyle name="40% - Accent3 2 2 2 4 2 4" xfId="29069" xr:uid="{7FE8E709-A064-4D1B-ADBA-74FD50FE3C18}"/>
    <cellStyle name="40% - Accent3 2 2 2 4 2 5" xfId="12181" xr:uid="{5A9798D6-B612-4911-A5CA-566D99910678}"/>
    <cellStyle name="40% - Accent3 2 2 2 4 3" xfId="5812" xr:uid="{00000000-0005-0000-0000-000010050000}"/>
    <cellStyle name="40% - Accent3 2 2 2 4 3 2" xfId="22695" xr:uid="{0BC0B513-7140-40AD-A92F-BD4A7C077E35}"/>
    <cellStyle name="40% - Accent3 2 2 2 4 3 3" xfId="31141" xr:uid="{5A780F5E-3A0A-4F1F-9F5F-908D10AC5BE2}"/>
    <cellStyle name="40% - Accent3 2 2 2 4 3 4" xfId="14254" xr:uid="{4D1134B0-8BDD-484A-BAB0-1229065A30BA}"/>
    <cellStyle name="40% - Accent3 2 2 2 4 4" xfId="18477" xr:uid="{557EF534-DE52-4CD2-BF91-724B37565812}"/>
    <cellStyle name="40% - Accent3 2 2 2 4 5" xfId="26922" xr:uid="{54C0BFE6-F794-4CA0-83AD-02A6B812EE78}"/>
    <cellStyle name="40% - Accent3 2 2 2 4 6" xfId="10036" xr:uid="{4BC804F5-EF2E-49CD-99E3-D07F9BA1788D}"/>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25253" xr:uid="{D8559F64-92E7-42FC-966F-CB42129268F4}"/>
    <cellStyle name="40% - Accent3 2 2 2 5 2 2 3" xfId="33699" xr:uid="{97A3C70D-2B93-456B-A4D9-F2BB173653F2}"/>
    <cellStyle name="40% - Accent3 2 2 2 5 2 2 4" xfId="16812" xr:uid="{149C890C-DF74-4F7B-8B46-984F0A7238B6}"/>
    <cellStyle name="40% - Accent3 2 2 2 5 2 3" xfId="21035" xr:uid="{4157A031-BCB5-47C7-AEFE-B16594E74FCD}"/>
    <cellStyle name="40% - Accent3 2 2 2 5 2 4" xfId="29482" xr:uid="{F63B08CB-73E6-4D7D-87C8-07ABF401C5A3}"/>
    <cellStyle name="40% - Accent3 2 2 2 5 2 5" xfId="12594" xr:uid="{3485850E-1998-4955-9D3C-682D5E9E04AC}"/>
    <cellStyle name="40% - Accent3 2 2 2 5 3" xfId="6225" xr:uid="{00000000-0005-0000-0000-000014050000}"/>
    <cellStyle name="40% - Accent3 2 2 2 5 3 2" xfId="23108" xr:uid="{B594C163-9C37-498F-82F5-E224B4F28AE6}"/>
    <cellStyle name="40% - Accent3 2 2 2 5 3 3" xfId="31554" xr:uid="{19BBAF2E-820E-4297-B157-ECF83EEF5E81}"/>
    <cellStyle name="40% - Accent3 2 2 2 5 3 4" xfId="14667" xr:uid="{E0BA9AEE-CE01-4C29-A1B6-20EF5C017D94}"/>
    <cellStyle name="40% - Accent3 2 2 2 5 4" xfId="18890" xr:uid="{FE4D9971-05BD-47A7-BCA8-A1259665D0B6}"/>
    <cellStyle name="40% - Accent3 2 2 2 5 5" xfId="27335" xr:uid="{43ADFD87-7562-4350-9FD1-35C4417A4208}"/>
    <cellStyle name="40% - Accent3 2 2 2 5 6" xfId="10449" xr:uid="{2BBC5C5C-F53F-41C2-87F6-3AEC84BCD770}"/>
    <cellStyle name="40% - Accent3 2 2 2 6" xfId="2331" xr:uid="{00000000-0005-0000-0000-000015050000}"/>
    <cellStyle name="40% - Accent3 2 2 2 6 2" xfId="6638" xr:uid="{00000000-0005-0000-0000-000016050000}"/>
    <cellStyle name="40% - Accent3 2 2 2 6 2 2" xfId="23521" xr:uid="{360D7C9C-74F8-4BB3-8D02-6D61EFEB8D52}"/>
    <cellStyle name="40% - Accent3 2 2 2 6 2 3" xfId="31967" xr:uid="{D7AF2715-4CD3-487D-BD5D-A83B2B865757}"/>
    <cellStyle name="40% - Accent3 2 2 2 6 2 4" xfId="15080" xr:uid="{1BEB90F8-041A-49DD-AF89-862B2058EC5B}"/>
    <cellStyle name="40% - Accent3 2 2 2 6 3" xfId="19303" xr:uid="{CA55FED0-7738-45E3-8D36-A2B8A1B17B44}"/>
    <cellStyle name="40% - Accent3 2 2 2 6 4" xfId="27748" xr:uid="{45CB218A-D661-47E5-957C-F8F0EAC6F55C}"/>
    <cellStyle name="40% - Accent3 2 2 2 6 5" xfId="10862" xr:uid="{832290E1-86BD-4CA5-A2FD-437B4251F886}"/>
    <cellStyle name="40% - Accent3 2 2 2 7" xfId="4572" xr:uid="{00000000-0005-0000-0000-000017050000}"/>
    <cellStyle name="40% - Accent3 2 2 2 7 2" xfId="21455" xr:uid="{72E889EE-4A2B-486D-8D57-0F1577F7156E}"/>
    <cellStyle name="40% - Accent3 2 2 2 7 3" xfId="29901" xr:uid="{45D22AA5-17BE-487C-896A-91A795D3AAAC}"/>
    <cellStyle name="40% - Accent3 2 2 2 7 4" xfId="13014" xr:uid="{10107CE9-7DF0-4ABA-99ED-1310C7029CC1}"/>
    <cellStyle name="40% - Accent3 2 2 2 8" xfId="17237" xr:uid="{1C78F503-90CB-4267-BEC0-04AE95D2F6DB}"/>
    <cellStyle name="40% - Accent3 2 2 2 9" xfId="25679" xr:uid="{452349DD-3767-45E9-BEF9-987BC2B2F300}"/>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24013" xr:uid="{92F0BD5D-776F-4761-81D5-33B1E688DFFB}"/>
    <cellStyle name="40% - Accent3 2 2 3 2 2 3" xfId="32459" xr:uid="{E0ED6335-22FA-4D81-9CCF-9F3A28B68AE2}"/>
    <cellStyle name="40% - Accent3 2 2 3 2 2 4" xfId="15572" xr:uid="{926DD48C-F1F4-4272-A94A-1C6561672604}"/>
    <cellStyle name="40% - Accent3 2 2 3 2 3" xfId="19795" xr:uid="{B68BD422-D49B-43F6-8CB3-A78AACA3CF39}"/>
    <cellStyle name="40% - Accent3 2 2 3 2 4" xfId="28242" xr:uid="{747E81EC-895B-4B1C-90A7-B327F67D99E3}"/>
    <cellStyle name="40% - Accent3 2 2 3 2 5" xfId="11354" xr:uid="{996789C2-A9C7-48BD-98CD-333958BCAF1C}"/>
    <cellStyle name="40% - Accent3 2 2 3 3" xfId="4985" xr:uid="{00000000-0005-0000-0000-00001B050000}"/>
    <cellStyle name="40% - Accent3 2 2 3 3 2" xfId="21868" xr:uid="{397CAA88-F6F0-41EE-A0E5-6AAAF7FF36DB}"/>
    <cellStyle name="40% - Accent3 2 2 3 3 3" xfId="30314" xr:uid="{736B5133-AFB4-4F4E-BE49-C1FDC190A400}"/>
    <cellStyle name="40% - Accent3 2 2 3 3 4" xfId="13427" xr:uid="{B8CCDC6A-DDBA-44CE-9DB0-472987CAA0F6}"/>
    <cellStyle name="40% - Accent3 2 2 3 4" xfId="17650" xr:uid="{6D39F244-7ED8-4852-8EF6-F71B618E18A4}"/>
    <cellStyle name="40% - Accent3 2 2 3 5" xfId="26095" xr:uid="{A1401608-2484-4190-AD4B-2E492D4A1699}"/>
    <cellStyle name="40% - Accent3 2 2 3 6" xfId="9209" xr:uid="{57487D0E-878C-4070-8264-662530BE7999}"/>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24426" xr:uid="{6F331699-7190-4FFD-93CF-A5DC8F2BCD67}"/>
    <cellStyle name="40% - Accent3 2 2 4 2 2 3" xfId="32872" xr:uid="{22969C43-959C-4D47-BC04-6A4E57BBBB90}"/>
    <cellStyle name="40% - Accent3 2 2 4 2 2 4" xfId="15985" xr:uid="{D68AFAB1-E450-4227-9D75-CEECB7A96D69}"/>
    <cellStyle name="40% - Accent3 2 2 4 2 3" xfId="20208" xr:uid="{3EDD40AE-C463-449A-A36A-F32BBAEAF0B3}"/>
    <cellStyle name="40% - Accent3 2 2 4 2 4" xfId="28655" xr:uid="{6C87C7D4-3FA7-47C2-9CFE-C028183231C7}"/>
    <cellStyle name="40% - Accent3 2 2 4 2 5" xfId="11767" xr:uid="{6FB705A5-18E3-44FA-BA4B-84589295ACAD}"/>
    <cellStyle name="40% - Accent3 2 2 4 3" xfId="5398" xr:uid="{00000000-0005-0000-0000-00001F050000}"/>
    <cellStyle name="40% - Accent3 2 2 4 3 2" xfId="22281" xr:uid="{A2E76C50-5496-4F3C-8F43-321CDEFC1C33}"/>
    <cellStyle name="40% - Accent3 2 2 4 3 3" xfId="30727" xr:uid="{D635F914-6B29-4844-BFA6-878620BCA146}"/>
    <cellStyle name="40% - Accent3 2 2 4 3 4" xfId="13840" xr:uid="{1B505158-CC75-44D9-8454-15ACF38E54D3}"/>
    <cellStyle name="40% - Accent3 2 2 4 4" xfId="18063" xr:uid="{8317E3DA-290C-48E5-B8B5-2DF971F9B5BF}"/>
    <cellStyle name="40% - Accent3 2 2 4 5" xfId="26508" xr:uid="{FBA9D537-77B0-4BDE-A54F-DB273F07785E}"/>
    <cellStyle name="40% - Accent3 2 2 4 6" xfId="9622" xr:uid="{A9E6C862-C63C-4ECB-A165-B848636640E6}"/>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24839" xr:uid="{A56B29F8-E234-4D41-A858-D886130CD224}"/>
    <cellStyle name="40% - Accent3 2 2 5 2 2 3" xfId="33285" xr:uid="{7DE9CD05-880C-4597-9446-EA9ACF892B09}"/>
    <cellStyle name="40% - Accent3 2 2 5 2 2 4" xfId="16398" xr:uid="{51741C5C-50D7-4356-B4A1-2D3CD6D42049}"/>
    <cellStyle name="40% - Accent3 2 2 5 2 3" xfId="20621" xr:uid="{897E37BA-5BB1-4B9F-B1ED-6E7013C351E1}"/>
    <cellStyle name="40% - Accent3 2 2 5 2 4" xfId="29068" xr:uid="{9248DD10-1624-456B-9474-8BDB89B06B6A}"/>
    <cellStyle name="40% - Accent3 2 2 5 2 5" xfId="12180" xr:uid="{AB3255E7-56C6-4A58-B45F-2727A745D6B4}"/>
    <cellStyle name="40% - Accent3 2 2 5 3" xfId="5811" xr:uid="{00000000-0005-0000-0000-000023050000}"/>
    <cellStyle name="40% - Accent3 2 2 5 3 2" xfId="22694" xr:uid="{55E25B19-D5D6-42DD-A34E-AF425A886F68}"/>
    <cellStyle name="40% - Accent3 2 2 5 3 3" xfId="31140" xr:uid="{DD0B675A-7148-4FF6-B59C-1AB7CB9ED9D3}"/>
    <cellStyle name="40% - Accent3 2 2 5 3 4" xfId="14253" xr:uid="{9B9D58DF-51F7-48FB-A37D-0EFB765EB52B}"/>
    <cellStyle name="40% - Accent3 2 2 5 4" xfId="18476" xr:uid="{0F3ADE1A-6507-4887-B0CB-33768050F4A8}"/>
    <cellStyle name="40% - Accent3 2 2 5 5" xfId="26921" xr:uid="{1A49574F-6771-4A30-8B04-47AFE83E806D}"/>
    <cellStyle name="40% - Accent3 2 2 5 6" xfId="10035" xr:uid="{A69F9AFC-0D08-459E-8D99-8E922A14F8BE}"/>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25252" xr:uid="{258EC5A7-C38E-4CF6-95F9-6CFDFCC4102E}"/>
    <cellStyle name="40% - Accent3 2 2 6 2 2 3" xfId="33698" xr:uid="{40763604-5CA2-4337-9361-BF5E1279FEB0}"/>
    <cellStyle name="40% - Accent3 2 2 6 2 2 4" xfId="16811" xr:uid="{B908C7EA-CA5C-417D-A789-C8FFECE986DA}"/>
    <cellStyle name="40% - Accent3 2 2 6 2 3" xfId="21034" xr:uid="{4D6B826C-FE8A-495A-AFB2-683C5C4CB610}"/>
    <cellStyle name="40% - Accent3 2 2 6 2 4" xfId="29481" xr:uid="{CA439389-FC66-4E75-87BF-B46CA1C69B45}"/>
    <cellStyle name="40% - Accent3 2 2 6 2 5" xfId="12593" xr:uid="{F2BE1DFA-19DD-421A-9A69-31696215B7BE}"/>
    <cellStyle name="40% - Accent3 2 2 6 3" xfId="6224" xr:uid="{00000000-0005-0000-0000-000027050000}"/>
    <cellStyle name="40% - Accent3 2 2 6 3 2" xfId="23107" xr:uid="{827F4253-F4CC-4D23-B8C1-E7DBACE0D137}"/>
    <cellStyle name="40% - Accent3 2 2 6 3 3" xfId="31553" xr:uid="{6CED1849-DB3E-494F-AF7C-DEE37B166287}"/>
    <cellStyle name="40% - Accent3 2 2 6 3 4" xfId="14666" xr:uid="{52FCBD68-F4C0-433C-8A63-792FE59F5433}"/>
    <cellStyle name="40% - Accent3 2 2 6 4" xfId="18889" xr:uid="{348E6D4C-2185-4A63-981F-DF8EC76EA5FA}"/>
    <cellStyle name="40% - Accent3 2 2 6 5" xfId="27334" xr:uid="{37FA9F51-8F66-4135-8831-71106FA78139}"/>
    <cellStyle name="40% - Accent3 2 2 6 6" xfId="10448" xr:uid="{1F6D8E60-58D7-43C2-8FD0-828D3C8F8BFA}"/>
    <cellStyle name="40% - Accent3 2 2 7" xfId="2330" xr:uid="{00000000-0005-0000-0000-000028050000}"/>
    <cellStyle name="40% - Accent3 2 2 7 2" xfId="6637" xr:uid="{00000000-0005-0000-0000-000029050000}"/>
    <cellStyle name="40% - Accent3 2 2 7 2 2" xfId="23520" xr:uid="{FA388CCE-D186-4C79-9FDB-E014E82F67A6}"/>
    <cellStyle name="40% - Accent3 2 2 7 2 3" xfId="31966" xr:uid="{B45CBDB8-4868-41DD-A80C-7DA83CDBB9A1}"/>
    <cellStyle name="40% - Accent3 2 2 7 2 4" xfId="15079" xr:uid="{DC74E06F-2640-439C-B64B-CF97073FCE14}"/>
    <cellStyle name="40% - Accent3 2 2 7 3" xfId="19302" xr:uid="{0D23B903-DEAB-4580-AC93-74982798023E}"/>
    <cellStyle name="40% - Accent3 2 2 7 4" xfId="27747" xr:uid="{31ED8C25-96C1-47C9-A69A-5F3B0913214F}"/>
    <cellStyle name="40% - Accent3 2 2 7 5" xfId="10861" xr:uid="{76B39753-9E60-45CC-B070-3D940A05B62A}"/>
    <cellStyle name="40% - Accent3 2 2 8" xfId="4571" xr:uid="{00000000-0005-0000-0000-00002A050000}"/>
    <cellStyle name="40% - Accent3 2 2 8 2" xfId="21454" xr:uid="{8E3130CF-8EA1-4BD5-937D-AA9CB39027C9}"/>
    <cellStyle name="40% - Accent3 2 2 8 3" xfId="29900" xr:uid="{907A8D76-696B-4747-9227-320F37844182}"/>
    <cellStyle name="40% - Accent3 2 2 8 4" xfId="13013" xr:uid="{186E1EA2-1EF9-4A67-A107-EEAC38380193}"/>
    <cellStyle name="40% - Accent3 2 2 9" xfId="17236" xr:uid="{25BAFC45-525E-4B39-887A-CBF52019D8DB}"/>
    <cellStyle name="40% - Accent3 2 3" xfId="69" xr:uid="{00000000-0005-0000-0000-00002B050000}"/>
    <cellStyle name="40% - Accent3 2 3 10" xfId="8797" xr:uid="{79370741-ABAD-43AA-BBBB-93D2BDB06804}"/>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24015" xr:uid="{DDA080D9-B11F-4A80-9CC5-1008FE6E6472}"/>
    <cellStyle name="40% - Accent3 2 3 2 2 2 3" xfId="32461" xr:uid="{93E76FED-F1AB-422E-9445-7289606E34E6}"/>
    <cellStyle name="40% - Accent3 2 3 2 2 2 4" xfId="15574" xr:uid="{79C2BDC2-013D-4FC0-B29B-5F2F59D633B2}"/>
    <cellStyle name="40% - Accent3 2 3 2 2 3" xfId="19797" xr:uid="{E70AFF1B-EB64-4CCE-868A-2894AE0B1D0D}"/>
    <cellStyle name="40% - Accent3 2 3 2 2 4" xfId="28244" xr:uid="{094661FC-F33D-40B1-B38B-BE3D238DD52C}"/>
    <cellStyle name="40% - Accent3 2 3 2 2 5" xfId="11356" xr:uid="{7A00907A-0DAA-4626-960B-B69FB5F08F2B}"/>
    <cellStyle name="40% - Accent3 2 3 2 3" xfId="4987" xr:uid="{00000000-0005-0000-0000-00002F050000}"/>
    <cellStyle name="40% - Accent3 2 3 2 3 2" xfId="21870" xr:uid="{55CA31B3-3BBB-4E32-881B-7CD104BA4E58}"/>
    <cellStyle name="40% - Accent3 2 3 2 3 3" xfId="30316" xr:uid="{02A58B11-73D7-4044-AE29-1300655FFEBA}"/>
    <cellStyle name="40% - Accent3 2 3 2 3 4" xfId="13429" xr:uid="{0886B537-14E0-486F-89CA-2EC2BD1DA7B4}"/>
    <cellStyle name="40% - Accent3 2 3 2 4" xfId="17652" xr:uid="{428E4A6F-D74F-4432-B28D-BC40FE0413D3}"/>
    <cellStyle name="40% - Accent3 2 3 2 5" xfId="26097" xr:uid="{13FA0C99-0A76-4F11-BEA1-ABCCCA1E6ADB}"/>
    <cellStyle name="40% - Accent3 2 3 2 6" xfId="9211" xr:uid="{851D6C95-5B06-4D35-9E32-022C03727211}"/>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24428" xr:uid="{17E278A4-8CC1-42F1-8864-3BECE565A07D}"/>
    <cellStyle name="40% - Accent3 2 3 3 2 2 3" xfId="32874" xr:uid="{8C644DF4-60C1-4E21-B64E-C7A5A6A3F3BA}"/>
    <cellStyle name="40% - Accent3 2 3 3 2 2 4" xfId="15987" xr:uid="{157065AB-B351-463E-A86D-F431DE165866}"/>
    <cellStyle name="40% - Accent3 2 3 3 2 3" xfId="20210" xr:uid="{9F76BEC5-DD54-49E4-A7B7-7D06EDF1CB3B}"/>
    <cellStyle name="40% - Accent3 2 3 3 2 4" xfId="28657" xr:uid="{3E774734-B627-489D-83A5-38EAF21F053C}"/>
    <cellStyle name="40% - Accent3 2 3 3 2 5" xfId="11769" xr:uid="{641DF768-1DC7-4380-A46F-E5E8106890CD}"/>
    <cellStyle name="40% - Accent3 2 3 3 3" xfId="5400" xr:uid="{00000000-0005-0000-0000-000033050000}"/>
    <cellStyle name="40% - Accent3 2 3 3 3 2" xfId="22283" xr:uid="{CD50B022-0475-451B-BDCE-D0D7EC7C91DD}"/>
    <cellStyle name="40% - Accent3 2 3 3 3 3" xfId="30729" xr:uid="{521E2782-630A-4456-9D10-0A6E8EF4160B}"/>
    <cellStyle name="40% - Accent3 2 3 3 3 4" xfId="13842" xr:uid="{A13CB2F9-95F9-4910-82BD-EA2580CA97E9}"/>
    <cellStyle name="40% - Accent3 2 3 3 4" xfId="18065" xr:uid="{802B2CA2-B911-4BAD-81EB-B6FB498FB4CF}"/>
    <cellStyle name="40% - Accent3 2 3 3 5" xfId="26510" xr:uid="{E64406A6-2E50-4C84-B64A-3EFF8C2C3D68}"/>
    <cellStyle name="40% - Accent3 2 3 3 6" xfId="9624" xr:uid="{79219D09-15E5-4B1D-9405-A5D44A739FBD}"/>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24841" xr:uid="{4AAA9374-6375-40EC-8BCE-DCE8A0D4C2E8}"/>
    <cellStyle name="40% - Accent3 2 3 4 2 2 3" xfId="33287" xr:uid="{A5BBA586-CF58-4B4B-AB18-7B2928CEF5BC}"/>
    <cellStyle name="40% - Accent3 2 3 4 2 2 4" xfId="16400" xr:uid="{5D6CF6B2-9601-4733-89D0-02287252DB60}"/>
    <cellStyle name="40% - Accent3 2 3 4 2 3" xfId="20623" xr:uid="{AAD03F96-B5CC-4475-AEF1-553EFF1B296C}"/>
    <cellStyle name="40% - Accent3 2 3 4 2 4" xfId="29070" xr:uid="{865FBD4C-61AF-4AAC-85F4-928358078EB8}"/>
    <cellStyle name="40% - Accent3 2 3 4 2 5" xfId="12182" xr:uid="{8889E47B-DE43-4E05-8BA5-4BC0AAEF142B}"/>
    <cellStyle name="40% - Accent3 2 3 4 3" xfId="5813" xr:uid="{00000000-0005-0000-0000-000037050000}"/>
    <cellStyle name="40% - Accent3 2 3 4 3 2" xfId="22696" xr:uid="{F9D1BC36-B927-432A-89CA-4B01DB1E6381}"/>
    <cellStyle name="40% - Accent3 2 3 4 3 3" xfId="31142" xr:uid="{45F24157-9F58-4B0D-98E7-910930A776C2}"/>
    <cellStyle name="40% - Accent3 2 3 4 3 4" xfId="14255" xr:uid="{4B684EE7-6E38-4EE2-AC4B-F091CDE55B0A}"/>
    <cellStyle name="40% - Accent3 2 3 4 4" xfId="18478" xr:uid="{1B22FC53-A85A-46EA-A6DA-D428B5A1700B}"/>
    <cellStyle name="40% - Accent3 2 3 4 5" xfId="26923" xr:uid="{F3ABEF66-0D23-4125-986E-D2A73CD3D586}"/>
    <cellStyle name="40% - Accent3 2 3 4 6" xfId="10037" xr:uid="{2149BDFA-D21E-4A70-8C89-C9B20BD8694A}"/>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25254" xr:uid="{B3E89828-6BD8-4EF7-B4CE-1B3B4C4588D9}"/>
    <cellStyle name="40% - Accent3 2 3 5 2 2 3" xfId="33700" xr:uid="{1339F4C1-7939-445B-A923-17D9720DF296}"/>
    <cellStyle name="40% - Accent3 2 3 5 2 2 4" xfId="16813" xr:uid="{A5AA830F-E162-4570-B957-862950ACE8AA}"/>
    <cellStyle name="40% - Accent3 2 3 5 2 3" xfId="21036" xr:uid="{A5DED13D-D7EC-4BAB-97C7-50B569D69D44}"/>
    <cellStyle name="40% - Accent3 2 3 5 2 4" xfId="29483" xr:uid="{478917AE-3205-488A-A534-278180C1C234}"/>
    <cellStyle name="40% - Accent3 2 3 5 2 5" xfId="12595" xr:uid="{D5FAC64D-047B-4F15-8CA2-A475787880CC}"/>
    <cellStyle name="40% - Accent3 2 3 5 3" xfId="6226" xr:uid="{00000000-0005-0000-0000-00003B050000}"/>
    <cellStyle name="40% - Accent3 2 3 5 3 2" xfId="23109" xr:uid="{7404A632-2F37-4E10-B7E2-FE521DF4B8CF}"/>
    <cellStyle name="40% - Accent3 2 3 5 3 3" xfId="31555" xr:uid="{C057425F-D21B-4C41-A2A6-52C30F890573}"/>
    <cellStyle name="40% - Accent3 2 3 5 3 4" xfId="14668" xr:uid="{5B459186-0203-43FC-A837-4C3A5B531AB4}"/>
    <cellStyle name="40% - Accent3 2 3 5 4" xfId="18891" xr:uid="{8EF7F793-DA06-4AA6-970F-19EACE16CC9B}"/>
    <cellStyle name="40% - Accent3 2 3 5 5" xfId="27336" xr:uid="{7F1CF540-3E74-4E2D-BC89-68A7060941FF}"/>
    <cellStyle name="40% - Accent3 2 3 5 6" xfId="10450" xr:uid="{79162894-147D-4B93-AA3A-81FD6F0E454D}"/>
    <cellStyle name="40% - Accent3 2 3 6" xfId="2332" xr:uid="{00000000-0005-0000-0000-00003C050000}"/>
    <cellStyle name="40% - Accent3 2 3 6 2" xfId="6639" xr:uid="{00000000-0005-0000-0000-00003D050000}"/>
    <cellStyle name="40% - Accent3 2 3 6 2 2" xfId="23522" xr:uid="{2AD03CA3-7573-4D2F-8BB7-9F8A0FE3AD68}"/>
    <cellStyle name="40% - Accent3 2 3 6 2 3" xfId="31968" xr:uid="{DF45560D-E23B-41CC-814E-70ED2ED19E0A}"/>
    <cellStyle name="40% - Accent3 2 3 6 2 4" xfId="15081" xr:uid="{CD613F7A-E451-4706-A6C4-B759CC43699B}"/>
    <cellStyle name="40% - Accent3 2 3 6 3" xfId="19304" xr:uid="{68012989-3DA2-439F-9626-A75F23E1E240}"/>
    <cellStyle name="40% - Accent3 2 3 6 4" xfId="27749" xr:uid="{5CC06905-0082-4F4E-9C5B-670601AF84BB}"/>
    <cellStyle name="40% - Accent3 2 3 6 5" xfId="10863" xr:uid="{AE5BD011-BBF0-4EDC-BEB1-47C69F3906B3}"/>
    <cellStyle name="40% - Accent3 2 3 7" xfId="4573" xr:uid="{00000000-0005-0000-0000-00003E050000}"/>
    <cellStyle name="40% - Accent3 2 3 7 2" xfId="21456" xr:uid="{733FE4FD-8DBD-4DFB-9D61-6363290F1A76}"/>
    <cellStyle name="40% - Accent3 2 3 7 3" xfId="29902" xr:uid="{00072455-F774-4856-8588-F77B4328EE85}"/>
    <cellStyle name="40% - Accent3 2 3 7 4" xfId="13015" xr:uid="{593F2122-7411-4924-B2D5-4BBFB4BCBB2B}"/>
    <cellStyle name="40% - Accent3 2 3 8" xfId="17238" xr:uid="{30219640-1EB6-40BF-8685-BB5632EEA416}"/>
    <cellStyle name="40% - Accent3 2 3 9" xfId="25680" xr:uid="{6489AC8C-9F47-434D-AA32-66CB54E9DE11}"/>
    <cellStyle name="40% - Accent3 2 4" xfId="635" xr:uid="{00000000-0005-0000-0000-00003F050000}"/>
    <cellStyle name="40% - Accent3 2 4 2" xfId="2906" xr:uid="{00000000-0005-0000-0000-000040050000}"/>
    <cellStyle name="40% - Accent3 2 4 2 2" xfId="7129" xr:uid="{00000000-0005-0000-0000-000041050000}"/>
    <cellStyle name="40% - Accent3 2 4 2 2 2" xfId="24012" xr:uid="{E498B44D-AC37-45CD-A010-29B36A854F4F}"/>
    <cellStyle name="40% - Accent3 2 4 2 2 3" xfId="32458" xr:uid="{23F85788-256E-4910-ACAC-81B166EEA0C6}"/>
    <cellStyle name="40% - Accent3 2 4 2 2 4" xfId="15571" xr:uid="{A1AB25C9-E7DB-4CD7-8DB3-B98FC82ED649}"/>
    <cellStyle name="40% - Accent3 2 4 2 3" xfId="19794" xr:uid="{DAED9148-00D5-492E-B25E-019E9934D48D}"/>
    <cellStyle name="40% - Accent3 2 4 2 4" xfId="28241" xr:uid="{187A0D85-AB23-4CE7-8423-78C0CBACADD0}"/>
    <cellStyle name="40% - Accent3 2 4 2 5" xfId="11353" xr:uid="{AFC422D6-E78A-44FF-B521-AB7E8512ACC4}"/>
    <cellStyle name="40% - Accent3 2 4 3" xfId="4984" xr:uid="{00000000-0005-0000-0000-000042050000}"/>
    <cellStyle name="40% - Accent3 2 4 3 2" xfId="21867" xr:uid="{8B204AE7-00A0-47C8-9FA2-7E16D980B9BC}"/>
    <cellStyle name="40% - Accent3 2 4 3 3" xfId="30313" xr:uid="{286E3316-E9B2-4978-9207-77D4C81F5DEB}"/>
    <cellStyle name="40% - Accent3 2 4 3 4" xfId="13426" xr:uid="{0FB7C163-614F-4BC6-9CFA-745C19B56FE9}"/>
    <cellStyle name="40% - Accent3 2 4 4" xfId="17649" xr:uid="{CCA6D17A-0323-4687-A333-52BCD1AFBBC1}"/>
    <cellStyle name="40% - Accent3 2 4 5" xfId="26094" xr:uid="{38909A6B-A656-4B9B-B109-1BBE50F9E5ED}"/>
    <cellStyle name="40% - Accent3 2 4 6" xfId="9208" xr:uid="{9BA7812F-C6BF-4A3F-B611-EBE53BA143BC}"/>
    <cellStyle name="40% - Accent3 2 5" xfId="1088" xr:uid="{00000000-0005-0000-0000-000043050000}"/>
    <cellStyle name="40% - Accent3 2 5 2" xfId="3319" xr:uid="{00000000-0005-0000-0000-000044050000}"/>
    <cellStyle name="40% - Accent3 2 5 2 2" xfId="7542" xr:uid="{00000000-0005-0000-0000-000045050000}"/>
    <cellStyle name="40% - Accent3 2 5 2 2 2" xfId="24425" xr:uid="{6D7FA504-F039-4A1F-9987-F36703D900F1}"/>
    <cellStyle name="40% - Accent3 2 5 2 2 3" xfId="32871" xr:uid="{54E9C380-4514-4410-8AF8-EE3C9EB22465}"/>
    <cellStyle name="40% - Accent3 2 5 2 2 4" xfId="15984" xr:uid="{433276FE-7E80-485B-A700-8B63FD07CEEE}"/>
    <cellStyle name="40% - Accent3 2 5 2 3" xfId="20207" xr:uid="{A26847AB-DF03-4DC7-A51A-F4DBCB4694AE}"/>
    <cellStyle name="40% - Accent3 2 5 2 4" xfId="28654" xr:uid="{3F915930-0E7F-4879-B78B-B2E867EF23A8}"/>
    <cellStyle name="40% - Accent3 2 5 2 5" xfId="11766" xr:uid="{7C603BB9-4733-4294-A482-03D57848B764}"/>
    <cellStyle name="40% - Accent3 2 5 3" xfId="5397" xr:uid="{00000000-0005-0000-0000-000046050000}"/>
    <cellStyle name="40% - Accent3 2 5 3 2" xfId="22280" xr:uid="{63A15FC7-0219-4DBC-B71B-81C6BFDDE7F5}"/>
    <cellStyle name="40% - Accent3 2 5 3 3" xfId="30726" xr:uid="{C3B2549C-8E5C-4993-AEDE-4AB74032FC74}"/>
    <cellStyle name="40% - Accent3 2 5 3 4" xfId="13839" xr:uid="{64FD799F-9D58-4AE7-975E-1275CB7D62A7}"/>
    <cellStyle name="40% - Accent3 2 5 4" xfId="18062" xr:uid="{404E0DA1-EE07-4903-AA8D-07667453579A}"/>
    <cellStyle name="40% - Accent3 2 5 5" xfId="26507" xr:uid="{53FD4FBC-6B6F-4564-ADB2-7148FFF19E14}"/>
    <cellStyle name="40% - Accent3 2 5 6" xfId="9621" xr:uid="{BC57F7CE-C1FF-42C7-A5E2-424DC6BC9BB1}"/>
    <cellStyle name="40% - Accent3 2 6" xfId="1502" xr:uid="{00000000-0005-0000-0000-000047050000}"/>
    <cellStyle name="40% - Accent3 2 6 2" xfId="3732" xr:uid="{00000000-0005-0000-0000-000048050000}"/>
    <cellStyle name="40% - Accent3 2 6 2 2" xfId="7955" xr:uid="{00000000-0005-0000-0000-000049050000}"/>
    <cellStyle name="40% - Accent3 2 6 2 2 2" xfId="24838" xr:uid="{4C312A1D-7BA4-4DAF-A52C-7152E6F150B0}"/>
    <cellStyle name="40% - Accent3 2 6 2 2 3" xfId="33284" xr:uid="{E4FDCA40-C3A5-4378-8651-8215CF8F7318}"/>
    <cellStyle name="40% - Accent3 2 6 2 2 4" xfId="16397" xr:uid="{71DA903A-A615-465A-9A42-151A4BD22DCA}"/>
    <cellStyle name="40% - Accent3 2 6 2 3" xfId="20620" xr:uid="{95580C97-02F7-47F5-874E-C78FBCE68A3B}"/>
    <cellStyle name="40% - Accent3 2 6 2 4" xfId="29067" xr:uid="{6B87236C-47D8-4E82-A93B-5F75144CD050}"/>
    <cellStyle name="40% - Accent3 2 6 2 5" xfId="12179" xr:uid="{3A594EFD-C4E5-4AD9-B21A-D270C0D81C3F}"/>
    <cellStyle name="40% - Accent3 2 6 3" xfId="5810" xr:uid="{00000000-0005-0000-0000-00004A050000}"/>
    <cellStyle name="40% - Accent3 2 6 3 2" xfId="22693" xr:uid="{C6CDA03C-2E8B-4DE4-8F7F-7618986257B3}"/>
    <cellStyle name="40% - Accent3 2 6 3 3" xfId="31139" xr:uid="{A076158C-5898-4C51-ACA7-973E19F543D7}"/>
    <cellStyle name="40% - Accent3 2 6 3 4" xfId="14252" xr:uid="{D1D61A1A-FF0B-4BDF-B054-C5C23D68CB85}"/>
    <cellStyle name="40% - Accent3 2 6 4" xfId="18475" xr:uid="{9827EFA7-EE76-4B2E-BA3E-63E8B99B7B19}"/>
    <cellStyle name="40% - Accent3 2 6 5" xfId="26920" xr:uid="{87F36391-6921-464C-A017-7C7663E10A16}"/>
    <cellStyle name="40% - Accent3 2 6 6" xfId="10034" xr:uid="{074230B4-9C8F-4230-9870-BA20CD21D6FF}"/>
    <cellStyle name="40% - Accent3 2 7" xfId="1916" xr:uid="{00000000-0005-0000-0000-00004B050000}"/>
    <cellStyle name="40% - Accent3 2 7 2" xfId="4145" xr:uid="{00000000-0005-0000-0000-00004C050000}"/>
    <cellStyle name="40% - Accent3 2 7 2 2" xfId="8368" xr:uid="{00000000-0005-0000-0000-00004D050000}"/>
    <cellStyle name="40% - Accent3 2 7 2 2 2" xfId="25251" xr:uid="{302AE2EF-A87D-481A-9CC3-A787B31C3930}"/>
    <cellStyle name="40% - Accent3 2 7 2 2 3" xfId="33697" xr:uid="{9D0958B9-EAF9-4215-86EA-906B12E17EC5}"/>
    <cellStyle name="40% - Accent3 2 7 2 2 4" xfId="16810" xr:uid="{FA3FCD22-51E1-44CB-AA28-EF15FB81640B}"/>
    <cellStyle name="40% - Accent3 2 7 2 3" xfId="21033" xr:uid="{46F26DF6-FB3F-4041-903E-E0296FB993FD}"/>
    <cellStyle name="40% - Accent3 2 7 2 4" xfId="29480" xr:uid="{E6DF3F8D-7882-4B97-96A0-44A9148B5201}"/>
    <cellStyle name="40% - Accent3 2 7 2 5" xfId="12592" xr:uid="{997376F9-957B-4416-A7CF-55B11FE1EEE0}"/>
    <cellStyle name="40% - Accent3 2 7 3" xfId="6223" xr:uid="{00000000-0005-0000-0000-00004E050000}"/>
    <cellStyle name="40% - Accent3 2 7 3 2" xfId="23106" xr:uid="{EC188E21-2E39-41B5-82B6-AE4F701A97E3}"/>
    <cellStyle name="40% - Accent3 2 7 3 3" xfId="31552" xr:uid="{391CD9EC-EA2D-4AAF-BDA3-BE67549DD2BB}"/>
    <cellStyle name="40% - Accent3 2 7 3 4" xfId="14665" xr:uid="{09EBE62B-1E97-49E2-B55F-ABE97A7762C6}"/>
    <cellStyle name="40% - Accent3 2 7 4" xfId="18888" xr:uid="{CD1AEB9C-6796-4E30-B055-14531053CA62}"/>
    <cellStyle name="40% - Accent3 2 7 5" xfId="27333" xr:uid="{1739DD48-4B54-48D4-A069-1E75ABFBC1D2}"/>
    <cellStyle name="40% - Accent3 2 7 6" xfId="10447" xr:uid="{2800C142-9317-4678-814D-0F73B24874F7}"/>
    <cellStyle name="40% - Accent3 2 8" xfId="2329" xr:uid="{00000000-0005-0000-0000-00004F050000}"/>
    <cellStyle name="40% - Accent3 2 8 2" xfId="6636" xr:uid="{00000000-0005-0000-0000-000050050000}"/>
    <cellStyle name="40% - Accent3 2 8 2 2" xfId="23519" xr:uid="{58A83F57-1B24-459D-8559-FADD0CAD4B81}"/>
    <cellStyle name="40% - Accent3 2 8 2 3" xfId="31965" xr:uid="{D9FCB606-CF3C-4CF8-B4D9-8B67DBE85E31}"/>
    <cellStyle name="40% - Accent3 2 8 2 4" xfId="15078" xr:uid="{CA061F1D-2181-4CA8-8014-7FDD95219418}"/>
    <cellStyle name="40% - Accent3 2 8 3" xfId="19301" xr:uid="{E4F1821D-9D8A-4949-A396-726B5C6E67F3}"/>
    <cellStyle name="40% - Accent3 2 8 4" xfId="27746" xr:uid="{D4486465-AECA-4493-A0A3-683AD07F24BA}"/>
    <cellStyle name="40% - Accent3 2 8 5" xfId="10860" xr:uid="{E30987FD-C59D-4A8D-AB12-94E93E2FD1C0}"/>
    <cellStyle name="40% - Accent3 2 9" xfId="4570" xr:uid="{00000000-0005-0000-0000-000051050000}"/>
    <cellStyle name="40% - Accent3 2 9 2" xfId="21453" xr:uid="{A0DF5AFA-99A3-4958-8205-E7FCDE3D035D}"/>
    <cellStyle name="40% - Accent3 2 9 3" xfId="29899" xr:uid="{8C79782A-1D23-422D-8749-9C0CAAC232F0}"/>
    <cellStyle name="40% - Accent3 2 9 4" xfId="13012" xr:uid="{81E39FDD-612A-4438-B368-E102F90264C9}"/>
    <cellStyle name="40% - Accent3 3" xfId="70" xr:uid="{00000000-0005-0000-0000-000052050000}"/>
    <cellStyle name="40% - Accent3 3 10" xfId="25681" xr:uid="{40621458-5D49-45C6-84AA-8A07EEDC3C21}"/>
    <cellStyle name="40% - Accent3 3 11" xfId="8798" xr:uid="{D8B0F746-DB31-4B93-97C7-0D4573A0212F}"/>
    <cellStyle name="40% - Accent3 3 2" xfId="71" xr:uid="{00000000-0005-0000-0000-000053050000}"/>
    <cellStyle name="40% - Accent3 3 2 10" xfId="8799" xr:uid="{18C866B6-4052-4857-943D-0F309C1FC4DC}"/>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24017" xr:uid="{2F7AEB33-C3AC-4D37-AA90-07BC19E01A3C}"/>
    <cellStyle name="40% - Accent3 3 2 2 2 2 3" xfId="32463" xr:uid="{1C280C88-223B-44F5-84B1-6D7F67B3750F}"/>
    <cellStyle name="40% - Accent3 3 2 2 2 2 4" xfId="15576" xr:uid="{03AE4BA6-6B24-4150-B8BA-9068F86DFAD0}"/>
    <cellStyle name="40% - Accent3 3 2 2 2 3" xfId="19799" xr:uid="{3CF3398C-54EE-419B-B2E4-E6B8EAA9F5D7}"/>
    <cellStyle name="40% - Accent3 3 2 2 2 4" xfId="28246" xr:uid="{906A67A0-0F5D-42B1-AC50-7758D3960F54}"/>
    <cellStyle name="40% - Accent3 3 2 2 2 5" xfId="11358" xr:uid="{4D07F0E2-DAB7-4124-AF94-EF8575B64383}"/>
    <cellStyle name="40% - Accent3 3 2 2 3" xfId="4989" xr:uid="{00000000-0005-0000-0000-000057050000}"/>
    <cellStyle name="40% - Accent3 3 2 2 3 2" xfId="21872" xr:uid="{F8F796B8-8792-413C-84D8-CC8D36ACD04E}"/>
    <cellStyle name="40% - Accent3 3 2 2 3 3" xfId="30318" xr:uid="{BD89C159-1DB3-4D6C-8A7E-35C4B3FFD337}"/>
    <cellStyle name="40% - Accent3 3 2 2 3 4" xfId="13431" xr:uid="{CBEB4EA4-977D-45A0-A1B8-355A81CE4EE6}"/>
    <cellStyle name="40% - Accent3 3 2 2 4" xfId="17654" xr:uid="{61C70324-E570-4A6D-BC9D-CE9DDCA19224}"/>
    <cellStyle name="40% - Accent3 3 2 2 5" xfId="26099" xr:uid="{236201BA-DAAF-432F-B699-C015F7B809E1}"/>
    <cellStyle name="40% - Accent3 3 2 2 6" xfId="9213" xr:uid="{52A985D3-DFD2-4AAC-884B-F45FA83EE51E}"/>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24430" xr:uid="{9AD5C2E5-85BE-4026-B6C7-388B0CABB289}"/>
    <cellStyle name="40% - Accent3 3 2 3 2 2 3" xfId="32876" xr:uid="{F64FCA19-4B0A-4451-BFCF-2BBAA7509914}"/>
    <cellStyle name="40% - Accent3 3 2 3 2 2 4" xfId="15989" xr:uid="{412BBB3E-2FC1-4D61-919D-9D2102FDD689}"/>
    <cellStyle name="40% - Accent3 3 2 3 2 3" xfId="20212" xr:uid="{51EF048F-0689-4E1C-85D3-84910E624453}"/>
    <cellStyle name="40% - Accent3 3 2 3 2 4" xfId="28659" xr:uid="{5207E559-8771-4090-9AD8-CAED538A7FE1}"/>
    <cellStyle name="40% - Accent3 3 2 3 2 5" xfId="11771" xr:uid="{673BE069-6A3F-4A41-9D80-EA4DC0236EFE}"/>
    <cellStyle name="40% - Accent3 3 2 3 3" xfId="5402" xr:uid="{00000000-0005-0000-0000-00005B050000}"/>
    <cellStyle name="40% - Accent3 3 2 3 3 2" xfId="22285" xr:uid="{F3EE14E1-9F83-40D1-8750-B0EECD6B636C}"/>
    <cellStyle name="40% - Accent3 3 2 3 3 3" xfId="30731" xr:uid="{E2F9333B-197E-438B-990E-05CB97284735}"/>
    <cellStyle name="40% - Accent3 3 2 3 3 4" xfId="13844" xr:uid="{DA0C5E03-A6D9-4E85-821A-D142870A99A4}"/>
    <cellStyle name="40% - Accent3 3 2 3 4" xfId="18067" xr:uid="{2390478A-9F0F-428A-A330-ED1EA800B6EB}"/>
    <cellStyle name="40% - Accent3 3 2 3 5" xfId="26512" xr:uid="{8302A280-08C6-4C07-9C48-37EDAF887F38}"/>
    <cellStyle name="40% - Accent3 3 2 3 6" xfId="9626" xr:uid="{640F4BA9-0FA6-4E49-AC0D-C110D2FECE0F}"/>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24843" xr:uid="{B3C04543-B558-49EF-BB35-9A6A2DD5679D}"/>
    <cellStyle name="40% - Accent3 3 2 4 2 2 3" xfId="33289" xr:uid="{A2536C4A-55DB-4927-A48D-DDF28757FBB2}"/>
    <cellStyle name="40% - Accent3 3 2 4 2 2 4" xfId="16402" xr:uid="{6B59D6D8-0E38-4C9C-AA30-3C74C1ECEDA6}"/>
    <cellStyle name="40% - Accent3 3 2 4 2 3" xfId="20625" xr:uid="{0BD8FE36-381C-49E6-AD9F-F356DBF189AA}"/>
    <cellStyle name="40% - Accent3 3 2 4 2 4" xfId="29072" xr:uid="{D52113D1-5056-4A02-80D7-DD70A89E22EE}"/>
    <cellStyle name="40% - Accent3 3 2 4 2 5" xfId="12184" xr:uid="{F18C85BB-6430-4037-894D-C7DD30142409}"/>
    <cellStyle name="40% - Accent3 3 2 4 3" xfId="5815" xr:uid="{00000000-0005-0000-0000-00005F050000}"/>
    <cellStyle name="40% - Accent3 3 2 4 3 2" xfId="22698" xr:uid="{498EB985-B13A-4E91-BDE8-DD5DFC9A494E}"/>
    <cellStyle name="40% - Accent3 3 2 4 3 3" xfId="31144" xr:uid="{57F00EE1-5A4B-45A7-A4D9-2F5F031D4FF4}"/>
    <cellStyle name="40% - Accent3 3 2 4 3 4" xfId="14257" xr:uid="{C2E6BFFC-1C7B-424F-A821-331E2BF1B591}"/>
    <cellStyle name="40% - Accent3 3 2 4 4" xfId="18480" xr:uid="{04B17649-EAF8-480D-B191-41FACB1ED532}"/>
    <cellStyle name="40% - Accent3 3 2 4 5" xfId="26925" xr:uid="{CC485D41-D2E9-4BC7-BFE4-B63B3D5F4763}"/>
    <cellStyle name="40% - Accent3 3 2 4 6" xfId="10039" xr:uid="{7ABAE82C-3F33-433A-B712-7CA97506CE8E}"/>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25256" xr:uid="{5A5594D7-782B-428F-80F7-8C94FAD40C9E}"/>
    <cellStyle name="40% - Accent3 3 2 5 2 2 3" xfId="33702" xr:uid="{E24D5821-45E0-45AD-B8F5-21A400BC628B}"/>
    <cellStyle name="40% - Accent3 3 2 5 2 2 4" xfId="16815" xr:uid="{DA1E2A19-A4AB-4AE6-88B1-A0C771CE45EE}"/>
    <cellStyle name="40% - Accent3 3 2 5 2 3" xfId="21038" xr:uid="{092B1A3A-7B97-4418-8855-6D8805F95239}"/>
    <cellStyle name="40% - Accent3 3 2 5 2 4" xfId="29485" xr:uid="{A51F99FB-9D29-4D23-B814-072BAA745DA9}"/>
    <cellStyle name="40% - Accent3 3 2 5 2 5" xfId="12597" xr:uid="{B21E777F-B293-4B58-BAF5-6D0620533B9F}"/>
    <cellStyle name="40% - Accent3 3 2 5 3" xfId="6228" xr:uid="{00000000-0005-0000-0000-000063050000}"/>
    <cellStyle name="40% - Accent3 3 2 5 3 2" xfId="23111" xr:uid="{EDBE8415-2210-4035-B0B0-CE90148FAAB0}"/>
    <cellStyle name="40% - Accent3 3 2 5 3 3" xfId="31557" xr:uid="{577A1048-3A2B-4D31-AE52-188B06F7D398}"/>
    <cellStyle name="40% - Accent3 3 2 5 3 4" xfId="14670" xr:uid="{8D8A4405-C316-4D41-991D-F8EC4EBD640F}"/>
    <cellStyle name="40% - Accent3 3 2 5 4" xfId="18893" xr:uid="{C17BE3E2-A476-4CD1-872A-C9A6F1171D78}"/>
    <cellStyle name="40% - Accent3 3 2 5 5" xfId="27338" xr:uid="{08510297-8E60-4F37-9175-BED4AEFF1DF7}"/>
    <cellStyle name="40% - Accent3 3 2 5 6" xfId="10452" xr:uid="{DACC84A3-44B2-4892-901E-234E8A3A92EA}"/>
    <cellStyle name="40% - Accent3 3 2 6" xfId="2334" xr:uid="{00000000-0005-0000-0000-000064050000}"/>
    <cellStyle name="40% - Accent3 3 2 6 2" xfId="6641" xr:uid="{00000000-0005-0000-0000-000065050000}"/>
    <cellStyle name="40% - Accent3 3 2 6 2 2" xfId="23524" xr:uid="{A56F716C-A23C-4FA1-B78D-B0E572D2BD60}"/>
    <cellStyle name="40% - Accent3 3 2 6 2 3" xfId="31970" xr:uid="{314DF5FE-B878-4CD1-ADA9-772B87460872}"/>
    <cellStyle name="40% - Accent3 3 2 6 2 4" xfId="15083" xr:uid="{F31D8CA9-7CEA-42E5-8B57-B6632E340944}"/>
    <cellStyle name="40% - Accent3 3 2 6 3" xfId="19306" xr:uid="{F1BD1083-A867-4717-8CAA-2142721C0600}"/>
    <cellStyle name="40% - Accent3 3 2 6 4" xfId="27751" xr:uid="{4F98E572-7531-4915-8CB2-07A47B0AA4C6}"/>
    <cellStyle name="40% - Accent3 3 2 6 5" xfId="10865" xr:uid="{C0E38F55-BE31-4E14-BBD6-C6F5996F1604}"/>
    <cellStyle name="40% - Accent3 3 2 7" xfId="4575" xr:uid="{00000000-0005-0000-0000-000066050000}"/>
    <cellStyle name="40% - Accent3 3 2 7 2" xfId="21458" xr:uid="{E60D4D3A-26FF-430E-8EDC-788E8920C622}"/>
    <cellStyle name="40% - Accent3 3 2 7 3" xfId="29904" xr:uid="{59E444E8-8091-4D63-A8C0-87EE8864EDAB}"/>
    <cellStyle name="40% - Accent3 3 2 7 4" xfId="13017" xr:uid="{F098E85C-B0E2-4028-B581-36EBC41340AA}"/>
    <cellStyle name="40% - Accent3 3 2 8" xfId="17240" xr:uid="{A866D865-2E52-400A-BDAA-13AB14B2FFAC}"/>
    <cellStyle name="40% - Accent3 3 2 9" xfId="25682" xr:uid="{88BE6691-39F7-4E2A-A676-DE26BFC40F37}"/>
    <cellStyle name="40% - Accent3 3 3" xfId="639" xr:uid="{00000000-0005-0000-0000-000067050000}"/>
    <cellStyle name="40% - Accent3 3 3 2" xfId="2910" xr:uid="{00000000-0005-0000-0000-000068050000}"/>
    <cellStyle name="40% - Accent3 3 3 2 2" xfId="7133" xr:uid="{00000000-0005-0000-0000-000069050000}"/>
    <cellStyle name="40% - Accent3 3 3 2 2 2" xfId="24016" xr:uid="{5767DFB3-4E7C-48E4-9CA1-741C492A8C9E}"/>
    <cellStyle name="40% - Accent3 3 3 2 2 3" xfId="32462" xr:uid="{9E64DD7E-3915-4DB4-9C88-81527F23A1C5}"/>
    <cellStyle name="40% - Accent3 3 3 2 2 4" xfId="15575" xr:uid="{ED83DDD3-EBBD-43EE-B97B-73E4F968E559}"/>
    <cellStyle name="40% - Accent3 3 3 2 3" xfId="19798" xr:uid="{33B3AB93-EDA2-4A60-85A2-9B9992C859D0}"/>
    <cellStyle name="40% - Accent3 3 3 2 4" xfId="28245" xr:uid="{21A43B0B-EBF1-45D9-99EC-71F6D3DAD115}"/>
    <cellStyle name="40% - Accent3 3 3 2 5" xfId="11357" xr:uid="{EF572559-ECFE-48FB-9B51-F92AE985C416}"/>
    <cellStyle name="40% - Accent3 3 3 3" xfId="4988" xr:uid="{00000000-0005-0000-0000-00006A050000}"/>
    <cellStyle name="40% - Accent3 3 3 3 2" xfId="21871" xr:uid="{916CCD17-5777-4B85-ABE4-AF741DD2DB2F}"/>
    <cellStyle name="40% - Accent3 3 3 3 3" xfId="30317" xr:uid="{D963EC33-5E1D-4635-BFAA-D03D0948D1A9}"/>
    <cellStyle name="40% - Accent3 3 3 3 4" xfId="13430" xr:uid="{6E016B46-C235-4825-9277-C8271050435B}"/>
    <cellStyle name="40% - Accent3 3 3 4" xfId="17653" xr:uid="{49CE5C89-3D3D-4C11-AE58-AC63C79BA55F}"/>
    <cellStyle name="40% - Accent3 3 3 5" xfId="26098" xr:uid="{D735E81E-5299-4013-AEBA-2FB683EEB076}"/>
    <cellStyle name="40% - Accent3 3 3 6" xfId="9212" xr:uid="{3C3ED0B8-FBDC-4CF7-AC9E-D0C15764756B}"/>
    <cellStyle name="40% - Accent3 3 4" xfId="1092" xr:uid="{00000000-0005-0000-0000-00006B050000}"/>
    <cellStyle name="40% - Accent3 3 4 2" xfId="3323" xr:uid="{00000000-0005-0000-0000-00006C050000}"/>
    <cellStyle name="40% - Accent3 3 4 2 2" xfId="7546" xr:uid="{00000000-0005-0000-0000-00006D050000}"/>
    <cellStyle name="40% - Accent3 3 4 2 2 2" xfId="24429" xr:uid="{AA1A0C4E-4F82-4296-9E2A-7898B26838D0}"/>
    <cellStyle name="40% - Accent3 3 4 2 2 3" xfId="32875" xr:uid="{CB2093DB-CB04-447A-B10D-1DFF1355744C}"/>
    <cellStyle name="40% - Accent3 3 4 2 2 4" xfId="15988" xr:uid="{30ACC037-BD10-48B0-8935-B1790AC438BE}"/>
    <cellStyle name="40% - Accent3 3 4 2 3" xfId="20211" xr:uid="{54E8CC58-E431-4C1E-A3D4-03D59AD326A4}"/>
    <cellStyle name="40% - Accent3 3 4 2 4" xfId="28658" xr:uid="{9EA844C1-80BD-4030-A4F8-8CFFECAFFDA4}"/>
    <cellStyle name="40% - Accent3 3 4 2 5" xfId="11770" xr:uid="{187C05CE-E385-4C30-859A-BE50DF5D761B}"/>
    <cellStyle name="40% - Accent3 3 4 3" xfId="5401" xr:uid="{00000000-0005-0000-0000-00006E050000}"/>
    <cellStyle name="40% - Accent3 3 4 3 2" xfId="22284" xr:uid="{7A30A474-77AB-47AE-B944-312FF375965F}"/>
    <cellStyle name="40% - Accent3 3 4 3 3" xfId="30730" xr:uid="{FD647627-ACE3-47A9-82DF-967A9FC59FF9}"/>
    <cellStyle name="40% - Accent3 3 4 3 4" xfId="13843" xr:uid="{79B4B7EC-9666-4C6C-9B1C-9EC21803EE3C}"/>
    <cellStyle name="40% - Accent3 3 4 4" xfId="18066" xr:uid="{218A643C-FDC0-4294-B1B2-97FA221E867E}"/>
    <cellStyle name="40% - Accent3 3 4 5" xfId="26511" xr:uid="{7EEF94CF-0968-47DF-B05C-9B9D89F5B3E2}"/>
    <cellStyle name="40% - Accent3 3 4 6" xfId="9625" xr:uid="{78901D5F-A9E7-463A-AEDE-7D2C0D9F99BF}"/>
    <cellStyle name="40% - Accent3 3 5" xfId="1506" xr:uid="{00000000-0005-0000-0000-00006F050000}"/>
    <cellStyle name="40% - Accent3 3 5 2" xfId="3736" xr:uid="{00000000-0005-0000-0000-000070050000}"/>
    <cellStyle name="40% - Accent3 3 5 2 2" xfId="7959" xr:uid="{00000000-0005-0000-0000-000071050000}"/>
    <cellStyle name="40% - Accent3 3 5 2 2 2" xfId="24842" xr:uid="{68075A27-3BF4-4CC9-9DF3-5A72AC4B532E}"/>
    <cellStyle name="40% - Accent3 3 5 2 2 3" xfId="33288" xr:uid="{43E5FCA0-85F6-47F3-BA24-9127B5F238E4}"/>
    <cellStyle name="40% - Accent3 3 5 2 2 4" xfId="16401" xr:uid="{EA8FA15B-3AAB-4462-BCAB-DCE357221AB2}"/>
    <cellStyle name="40% - Accent3 3 5 2 3" xfId="20624" xr:uid="{5A9610D3-5397-46CE-A78B-3532A53ED9E1}"/>
    <cellStyle name="40% - Accent3 3 5 2 4" xfId="29071" xr:uid="{82C98BAD-ADB4-4BF5-ACB1-3284FF3B987C}"/>
    <cellStyle name="40% - Accent3 3 5 2 5" xfId="12183" xr:uid="{AFA58E56-B995-487A-8626-75A7A6839F84}"/>
    <cellStyle name="40% - Accent3 3 5 3" xfId="5814" xr:uid="{00000000-0005-0000-0000-000072050000}"/>
    <cellStyle name="40% - Accent3 3 5 3 2" xfId="22697" xr:uid="{79241D81-7CCE-418A-A655-36FF7B33B182}"/>
    <cellStyle name="40% - Accent3 3 5 3 3" xfId="31143" xr:uid="{D3919024-AD83-43EC-86C0-09E98D2DA060}"/>
    <cellStyle name="40% - Accent3 3 5 3 4" xfId="14256" xr:uid="{0C35FA44-42DB-4B8E-A9FE-979CE0CE15B0}"/>
    <cellStyle name="40% - Accent3 3 5 4" xfId="18479" xr:uid="{7D71FF71-DFC0-4B27-B2AB-538E90DF5E69}"/>
    <cellStyle name="40% - Accent3 3 5 5" xfId="26924" xr:uid="{DBCB836E-0DE9-4571-BAD1-18DE712156B1}"/>
    <cellStyle name="40% - Accent3 3 5 6" xfId="10038" xr:uid="{7A5BDDC0-371A-432E-88DE-D29ABBF28F1B}"/>
    <cellStyle name="40% - Accent3 3 6" xfId="1920" xr:uid="{00000000-0005-0000-0000-000073050000}"/>
    <cellStyle name="40% - Accent3 3 6 2" xfId="4149" xr:uid="{00000000-0005-0000-0000-000074050000}"/>
    <cellStyle name="40% - Accent3 3 6 2 2" xfId="8372" xr:uid="{00000000-0005-0000-0000-000075050000}"/>
    <cellStyle name="40% - Accent3 3 6 2 2 2" xfId="25255" xr:uid="{39664971-CC6F-4833-A27B-52848335B9D4}"/>
    <cellStyle name="40% - Accent3 3 6 2 2 3" xfId="33701" xr:uid="{80142217-5893-4B71-A5B5-2B030FCFABC8}"/>
    <cellStyle name="40% - Accent3 3 6 2 2 4" xfId="16814" xr:uid="{779D414D-43C0-4D45-8746-EB18C4D0D741}"/>
    <cellStyle name="40% - Accent3 3 6 2 3" xfId="21037" xr:uid="{7FB0C588-C35A-4731-A29C-D6A5B20457BD}"/>
    <cellStyle name="40% - Accent3 3 6 2 4" xfId="29484" xr:uid="{7F6D6197-84DA-44C9-A9CC-D3BB54A6594D}"/>
    <cellStyle name="40% - Accent3 3 6 2 5" xfId="12596" xr:uid="{1549882F-5720-4806-BE79-CE28F0FD3D9D}"/>
    <cellStyle name="40% - Accent3 3 6 3" xfId="6227" xr:uid="{00000000-0005-0000-0000-000076050000}"/>
    <cellStyle name="40% - Accent3 3 6 3 2" xfId="23110" xr:uid="{91708069-0851-4E24-8334-456CDF314F83}"/>
    <cellStyle name="40% - Accent3 3 6 3 3" xfId="31556" xr:uid="{7A0ED049-AD93-45DD-B062-E6B227918100}"/>
    <cellStyle name="40% - Accent3 3 6 3 4" xfId="14669" xr:uid="{45913276-7006-4E2B-A722-02B17F02F330}"/>
    <cellStyle name="40% - Accent3 3 6 4" xfId="18892" xr:uid="{1530F3DD-01B5-4CFA-96DA-C08F68FF2BF7}"/>
    <cellStyle name="40% - Accent3 3 6 5" xfId="27337" xr:uid="{7530993A-EA26-48C6-81FE-2B3C7E553AA9}"/>
    <cellStyle name="40% - Accent3 3 6 6" xfId="10451" xr:uid="{B956A3E4-DD02-4FAC-8FCB-10D7BE70BFEC}"/>
    <cellStyle name="40% - Accent3 3 7" xfId="2333" xr:uid="{00000000-0005-0000-0000-000077050000}"/>
    <cellStyle name="40% - Accent3 3 7 2" xfId="6640" xr:uid="{00000000-0005-0000-0000-000078050000}"/>
    <cellStyle name="40% - Accent3 3 7 2 2" xfId="23523" xr:uid="{681372DE-186A-43C6-AABA-7652A6BF0CB4}"/>
    <cellStyle name="40% - Accent3 3 7 2 3" xfId="31969" xr:uid="{38B6CE29-49C2-440A-9AAE-DB613748F2CE}"/>
    <cellStyle name="40% - Accent3 3 7 2 4" xfId="15082" xr:uid="{9E43BFF9-7D6A-4E22-AD8E-E97741BB7A6E}"/>
    <cellStyle name="40% - Accent3 3 7 3" xfId="19305" xr:uid="{C0564854-6790-4518-908D-CC5CCED1D770}"/>
    <cellStyle name="40% - Accent3 3 7 4" xfId="27750" xr:uid="{29ADA097-E702-4C3C-B4D0-6E806C91AC91}"/>
    <cellStyle name="40% - Accent3 3 7 5" xfId="10864" xr:uid="{E6CCBE85-8970-45A8-A357-A510AD9008BB}"/>
    <cellStyle name="40% - Accent3 3 8" xfId="4574" xr:uid="{00000000-0005-0000-0000-000079050000}"/>
    <cellStyle name="40% - Accent3 3 8 2" xfId="21457" xr:uid="{42F598E6-9756-41C0-8A94-F06A9E914898}"/>
    <cellStyle name="40% - Accent3 3 8 3" xfId="29903" xr:uid="{8FCE00D6-BAC9-466B-899C-E137E4CF84AE}"/>
    <cellStyle name="40% - Accent3 3 8 4" xfId="13016" xr:uid="{D8209946-96FC-4D8F-9699-B78AC2A23ED8}"/>
    <cellStyle name="40% - Accent3 3 9" xfId="17239" xr:uid="{9DC11249-CDA4-4406-8C7E-7DD59F631D92}"/>
    <cellStyle name="40% - Accent3 4" xfId="72" xr:uid="{00000000-0005-0000-0000-00007A050000}"/>
    <cellStyle name="40% - Accent3 4 10" xfId="8800" xr:uid="{625BCD5E-EFD6-4F8A-BD64-1236AEA1540C}"/>
    <cellStyle name="40% - Accent3 4 2" xfId="641" xr:uid="{00000000-0005-0000-0000-00007B050000}"/>
    <cellStyle name="40% - Accent3 4 2 2" xfId="2912" xr:uid="{00000000-0005-0000-0000-00007C050000}"/>
    <cellStyle name="40% - Accent3 4 2 2 2" xfId="7135" xr:uid="{00000000-0005-0000-0000-00007D050000}"/>
    <cellStyle name="40% - Accent3 4 2 2 2 2" xfId="24018" xr:uid="{33A743B8-A6FE-47E8-97A5-CBF6F4451805}"/>
    <cellStyle name="40% - Accent3 4 2 2 2 3" xfId="32464" xr:uid="{87AAF9D9-B1DB-4B13-A301-61DBEDFDDE81}"/>
    <cellStyle name="40% - Accent3 4 2 2 2 4" xfId="15577" xr:uid="{00BD64E2-FA32-4AD9-B480-83B8ED81436C}"/>
    <cellStyle name="40% - Accent3 4 2 2 3" xfId="19800" xr:uid="{42F59452-5523-4DB8-B339-AA8010CD9425}"/>
    <cellStyle name="40% - Accent3 4 2 2 4" xfId="28247" xr:uid="{99C08CD9-95B2-4202-97D5-7D12B128105E}"/>
    <cellStyle name="40% - Accent3 4 2 2 5" xfId="11359" xr:uid="{18B7F082-9CD7-4733-B2E6-9ADF205462CA}"/>
    <cellStyle name="40% - Accent3 4 2 3" xfId="4990" xr:uid="{00000000-0005-0000-0000-00007E050000}"/>
    <cellStyle name="40% - Accent3 4 2 3 2" xfId="21873" xr:uid="{15254CDA-35DE-49C5-878D-9E160F595FB5}"/>
    <cellStyle name="40% - Accent3 4 2 3 3" xfId="30319" xr:uid="{569EA955-BB28-4990-B653-D30F8DD29000}"/>
    <cellStyle name="40% - Accent3 4 2 3 4" xfId="13432" xr:uid="{96FA3DB9-2FB2-4E79-BE11-76422E1F82A9}"/>
    <cellStyle name="40% - Accent3 4 2 4" xfId="17655" xr:uid="{48BEB447-8AC3-4A7A-AF3B-083FC3E41BCD}"/>
    <cellStyle name="40% - Accent3 4 2 5" xfId="26100" xr:uid="{07E42F65-BE2B-4053-91C3-196BDA708068}"/>
    <cellStyle name="40% - Accent3 4 2 6" xfId="9214" xr:uid="{7104152E-6B1B-43C9-A1AF-C78BFCC6CAEE}"/>
    <cellStyle name="40% - Accent3 4 3" xfId="1094" xr:uid="{00000000-0005-0000-0000-00007F050000}"/>
    <cellStyle name="40% - Accent3 4 3 2" xfId="3325" xr:uid="{00000000-0005-0000-0000-000080050000}"/>
    <cellStyle name="40% - Accent3 4 3 2 2" xfId="7548" xr:uid="{00000000-0005-0000-0000-000081050000}"/>
    <cellStyle name="40% - Accent3 4 3 2 2 2" xfId="24431" xr:uid="{A410BCE9-CC6C-465C-94C6-A3B5A23EA970}"/>
    <cellStyle name="40% - Accent3 4 3 2 2 3" xfId="32877" xr:uid="{058E3224-8DDA-42A7-AC3B-54271C2303E7}"/>
    <cellStyle name="40% - Accent3 4 3 2 2 4" xfId="15990" xr:uid="{073BA73B-52B7-4806-A0A2-35FF9313764E}"/>
    <cellStyle name="40% - Accent3 4 3 2 3" xfId="20213" xr:uid="{49D0166F-08C3-469E-A6E8-21186321BC47}"/>
    <cellStyle name="40% - Accent3 4 3 2 4" xfId="28660" xr:uid="{289D03D5-6816-4F9F-8332-DAD2E1EB185F}"/>
    <cellStyle name="40% - Accent3 4 3 2 5" xfId="11772" xr:uid="{7EAA37D1-7B4D-4012-903D-1F4B5672788C}"/>
    <cellStyle name="40% - Accent3 4 3 3" xfId="5403" xr:uid="{00000000-0005-0000-0000-000082050000}"/>
    <cellStyle name="40% - Accent3 4 3 3 2" xfId="22286" xr:uid="{87A3A0D9-856B-401D-A49A-0C8DE06E6227}"/>
    <cellStyle name="40% - Accent3 4 3 3 3" xfId="30732" xr:uid="{F180B481-D103-43A6-A7DF-6E825790FA3D}"/>
    <cellStyle name="40% - Accent3 4 3 3 4" xfId="13845" xr:uid="{A8639B18-8573-4DBE-A92A-91C67CB17081}"/>
    <cellStyle name="40% - Accent3 4 3 4" xfId="18068" xr:uid="{FFB07A10-A816-4D04-9C63-083735535874}"/>
    <cellStyle name="40% - Accent3 4 3 5" xfId="26513" xr:uid="{321A1BC2-7842-4A41-B103-5A15D15B02DC}"/>
    <cellStyle name="40% - Accent3 4 3 6" xfId="9627" xr:uid="{43D431D5-0CE1-4BC4-B601-BFEFDDC02731}"/>
    <cellStyle name="40% - Accent3 4 4" xfId="1508" xr:uid="{00000000-0005-0000-0000-000083050000}"/>
    <cellStyle name="40% - Accent3 4 4 2" xfId="3738" xr:uid="{00000000-0005-0000-0000-000084050000}"/>
    <cellStyle name="40% - Accent3 4 4 2 2" xfId="7961" xr:uid="{00000000-0005-0000-0000-000085050000}"/>
    <cellStyle name="40% - Accent3 4 4 2 2 2" xfId="24844" xr:uid="{780D612F-EE8D-4278-B677-8A6305D252BB}"/>
    <cellStyle name="40% - Accent3 4 4 2 2 3" xfId="33290" xr:uid="{C79CC477-E6AA-4E5C-A563-865F3214213A}"/>
    <cellStyle name="40% - Accent3 4 4 2 2 4" xfId="16403" xr:uid="{AC838F3D-FD00-46FC-BC19-4ED1142C077F}"/>
    <cellStyle name="40% - Accent3 4 4 2 3" xfId="20626" xr:uid="{71AA0B60-3E18-40AB-8E0E-7A2324F9A89F}"/>
    <cellStyle name="40% - Accent3 4 4 2 4" xfId="29073" xr:uid="{57C12E33-7765-4254-A534-3CCDA932E02F}"/>
    <cellStyle name="40% - Accent3 4 4 2 5" xfId="12185" xr:uid="{79E7E219-67D3-424F-B271-0FB4C8973792}"/>
    <cellStyle name="40% - Accent3 4 4 3" xfId="5816" xr:uid="{00000000-0005-0000-0000-000086050000}"/>
    <cellStyle name="40% - Accent3 4 4 3 2" xfId="22699" xr:uid="{4A6E1A99-C084-4BAB-96F8-D6FF2D6CFD35}"/>
    <cellStyle name="40% - Accent3 4 4 3 3" xfId="31145" xr:uid="{868A2370-B35F-4338-A668-6DC5061C855C}"/>
    <cellStyle name="40% - Accent3 4 4 3 4" xfId="14258" xr:uid="{6D60D01E-C13E-4BA4-BDA5-FAB08EAD7B22}"/>
    <cellStyle name="40% - Accent3 4 4 4" xfId="18481" xr:uid="{3444E959-6C0A-481B-8248-FC9BBDDFDDD9}"/>
    <cellStyle name="40% - Accent3 4 4 5" xfId="26926" xr:uid="{DA4B8160-229B-44E4-AF2E-5A4A50ADF888}"/>
    <cellStyle name="40% - Accent3 4 4 6" xfId="10040" xr:uid="{ECAD468B-12C3-4952-8BA1-6BF7316570D0}"/>
    <cellStyle name="40% - Accent3 4 5" xfId="1922" xr:uid="{00000000-0005-0000-0000-000087050000}"/>
    <cellStyle name="40% - Accent3 4 5 2" xfId="4151" xr:uid="{00000000-0005-0000-0000-000088050000}"/>
    <cellStyle name="40% - Accent3 4 5 2 2" xfId="8374" xr:uid="{00000000-0005-0000-0000-000089050000}"/>
    <cellStyle name="40% - Accent3 4 5 2 2 2" xfId="25257" xr:uid="{38AA1CA2-4FA3-42D2-AF99-A2D0670A0D64}"/>
    <cellStyle name="40% - Accent3 4 5 2 2 3" xfId="33703" xr:uid="{647A49B9-1EC9-423A-B33A-1FC64511D2BB}"/>
    <cellStyle name="40% - Accent3 4 5 2 2 4" xfId="16816" xr:uid="{7C3F57D8-CB54-4747-8CF6-F07D234D86CD}"/>
    <cellStyle name="40% - Accent3 4 5 2 3" xfId="21039" xr:uid="{12C7EFBE-99D2-4765-B353-5B5D8FA3840A}"/>
    <cellStyle name="40% - Accent3 4 5 2 4" xfId="29486" xr:uid="{9497259D-6F16-4C97-96BA-0F8AFDB091E9}"/>
    <cellStyle name="40% - Accent3 4 5 2 5" xfId="12598" xr:uid="{522520B3-D2FA-45F2-8CF9-DC97CB06F0AB}"/>
    <cellStyle name="40% - Accent3 4 5 3" xfId="6229" xr:uid="{00000000-0005-0000-0000-00008A050000}"/>
    <cellStyle name="40% - Accent3 4 5 3 2" xfId="23112" xr:uid="{F46DEDB3-9218-4DCD-A2E6-F5277B433746}"/>
    <cellStyle name="40% - Accent3 4 5 3 3" xfId="31558" xr:uid="{03AC33F5-B2E1-469B-826F-DC7198EA1D7F}"/>
    <cellStyle name="40% - Accent3 4 5 3 4" xfId="14671" xr:uid="{23F05B1D-C380-4B4C-A231-47A12F9A83F4}"/>
    <cellStyle name="40% - Accent3 4 5 4" xfId="18894" xr:uid="{1603473B-E9DC-44B2-9A19-E0486352A5EC}"/>
    <cellStyle name="40% - Accent3 4 5 5" xfId="27339" xr:uid="{3667516F-0DD1-4717-BC6C-636444BDCC7A}"/>
    <cellStyle name="40% - Accent3 4 5 6" xfId="10453" xr:uid="{F878809A-0A20-4FEC-8C11-329F3C4A09D8}"/>
    <cellStyle name="40% - Accent3 4 6" xfId="2335" xr:uid="{00000000-0005-0000-0000-00008B050000}"/>
    <cellStyle name="40% - Accent3 4 6 2" xfId="6642" xr:uid="{00000000-0005-0000-0000-00008C050000}"/>
    <cellStyle name="40% - Accent3 4 6 2 2" xfId="23525" xr:uid="{C5BD63AA-7348-401A-BACB-3FC8EA83591E}"/>
    <cellStyle name="40% - Accent3 4 6 2 3" xfId="31971" xr:uid="{EE22EA52-16C8-4106-86F5-9173C6483851}"/>
    <cellStyle name="40% - Accent3 4 6 2 4" xfId="15084" xr:uid="{1976C8FE-B4C5-4761-944C-83BF00049022}"/>
    <cellStyle name="40% - Accent3 4 6 3" xfId="19307" xr:uid="{6282EB08-C52B-4BFC-8370-0B66CC129C75}"/>
    <cellStyle name="40% - Accent3 4 6 4" xfId="27752" xr:uid="{428FAC81-23DE-4ED9-ABB0-59153A7DA9CD}"/>
    <cellStyle name="40% - Accent3 4 6 5" xfId="10866" xr:uid="{55A88F98-C994-441A-A1C5-715F5E2659E3}"/>
    <cellStyle name="40% - Accent3 4 7" xfId="4576" xr:uid="{00000000-0005-0000-0000-00008D050000}"/>
    <cellStyle name="40% - Accent3 4 7 2" xfId="21459" xr:uid="{14DA80F7-D2FE-4311-8460-4355B8D397C8}"/>
    <cellStyle name="40% - Accent3 4 7 3" xfId="29905" xr:uid="{52988B73-0319-4A70-B673-E1A71EBDEF82}"/>
    <cellStyle name="40% - Accent3 4 7 4" xfId="13018" xr:uid="{9197ACCB-8614-4B1E-8D5B-CD7E848357B0}"/>
    <cellStyle name="40% - Accent3 4 8" xfId="17241" xr:uid="{C79C0BE8-26E7-4BF7-ADAC-3D69DBDB6B62}"/>
    <cellStyle name="40% - Accent3 4 9" xfId="25683" xr:uid="{EC9575F1-B774-41DA-B234-685F75044CCC}"/>
    <cellStyle name="40% - Accent3 5" xfId="634" xr:uid="{00000000-0005-0000-0000-00008E050000}"/>
    <cellStyle name="40% - Accent3 5 2" xfId="2905" xr:uid="{00000000-0005-0000-0000-00008F050000}"/>
    <cellStyle name="40% - Accent3 5 2 2" xfId="7128" xr:uid="{00000000-0005-0000-0000-000090050000}"/>
    <cellStyle name="40% - Accent3 5 2 2 2" xfId="24011" xr:uid="{86E3C6BE-9F68-4379-971F-35D0DA0A054D}"/>
    <cellStyle name="40% - Accent3 5 2 2 3" xfId="32457" xr:uid="{6BE78AF7-19BA-4DDE-8DE7-C1ADCB869D10}"/>
    <cellStyle name="40% - Accent3 5 2 2 4" xfId="15570" xr:uid="{2340E0E4-67F8-418A-A132-AFCBBFFF9701}"/>
    <cellStyle name="40% - Accent3 5 2 3" xfId="19793" xr:uid="{0DE2434D-9E3B-411E-9D42-5AE641EB9E52}"/>
    <cellStyle name="40% - Accent3 5 2 4" xfId="28240" xr:uid="{4E5E306C-A6A1-435D-8545-B5F9B4F82464}"/>
    <cellStyle name="40% - Accent3 5 2 5" xfId="11352" xr:uid="{0E9FBB4C-AAF0-4E70-A56A-20E07E5470AA}"/>
    <cellStyle name="40% - Accent3 5 3" xfId="4983" xr:uid="{00000000-0005-0000-0000-000091050000}"/>
    <cellStyle name="40% - Accent3 5 3 2" xfId="21866" xr:uid="{C3E54572-F105-44B9-BF56-4A7F032307D4}"/>
    <cellStyle name="40% - Accent3 5 3 3" xfId="30312" xr:uid="{CEA23054-4AD5-4BF5-B63F-FCC8CF12B98A}"/>
    <cellStyle name="40% - Accent3 5 3 4" xfId="13425" xr:uid="{96876179-E990-4061-9A17-38CBEA34321B}"/>
    <cellStyle name="40% - Accent3 5 4" xfId="17648" xr:uid="{5BFAF18E-796B-44FF-A40B-26662CBFDB9B}"/>
    <cellStyle name="40% - Accent3 5 5" xfId="26093" xr:uid="{828DAACB-B205-4189-9132-144AACE07A56}"/>
    <cellStyle name="40% - Accent3 5 6" xfId="9207" xr:uid="{153FA2A0-CA30-411B-8D1C-42645F9687AD}"/>
    <cellStyle name="40% - Accent3 6" xfId="1087" xr:uid="{00000000-0005-0000-0000-000092050000}"/>
    <cellStyle name="40% - Accent3 6 2" xfId="3318" xr:uid="{00000000-0005-0000-0000-000093050000}"/>
    <cellStyle name="40% - Accent3 6 2 2" xfId="7541" xr:uid="{00000000-0005-0000-0000-000094050000}"/>
    <cellStyle name="40% - Accent3 6 2 2 2" xfId="24424" xr:uid="{C170C493-DE48-4CBF-8775-D2E9A6704087}"/>
    <cellStyle name="40% - Accent3 6 2 2 3" xfId="32870" xr:uid="{5901CC04-9145-4024-B28E-E7E4D917C0EB}"/>
    <cellStyle name="40% - Accent3 6 2 2 4" xfId="15983" xr:uid="{26BE8865-3A3B-41D7-A487-FD0A56A3928B}"/>
    <cellStyle name="40% - Accent3 6 2 3" xfId="20206" xr:uid="{4F0D9031-C151-4098-A66F-C9B21C9C7049}"/>
    <cellStyle name="40% - Accent3 6 2 4" xfId="28653" xr:uid="{EA812015-D1A5-4843-A80D-0ECF04C0190A}"/>
    <cellStyle name="40% - Accent3 6 2 5" xfId="11765" xr:uid="{E885CB33-47CF-49D9-90BC-AA8314728876}"/>
    <cellStyle name="40% - Accent3 6 3" xfId="5396" xr:uid="{00000000-0005-0000-0000-000095050000}"/>
    <cellStyle name="40% - Accent3 6 3 2" xfId="22279" xr:uid="{A61F48DB-C2E2-4EFF-B51E-E3588715BCA8}"/>
    <cellStyle name="40% - Accent3 6 3 3" xfId="30725" xr:uid="{8631EFD1-42CA-4D2A-BAEC-C38748100524}"/>
    <cellStyle name="40% - Accent3 6 3 4" xfId="13838" xr:uid="{35F6F686-8E3C-4C75-89B3-0B9DB144F368}"/>
    <cellStyle name="40% - Accent3 6 4" xfId="18061" xr:uid="{AED51C1E-21FD-4613-B7FD-345B873B859C}"/>
    <cellStyle name="40% - Accent3 6 5" xfId="26506" xr:uid="{7DF05977-55E2-4773-BA8C-91CCA4D75233}"/>
    <cellStyle name="40% - Accent3 6 6" xfId="9620" xr:uid="{CC3572DC-59A3-453D-9D6E-DCE597C9B132}"/>
    <cellStyle name="40% - Accent3 7" xfId="1501" xr:uid="{00000000-0005-0000-0000-000096050000}"/>
    <cellStyle name="40% - Accent3 7 2" xfId="3731" xr:uid="{00000000-0005-0000-0000-000097050000}"/>
    <cellStyle name="40% - Accent3 7 2 2" xfId="7954" xr:uid="{00000000-0005-0000-0000-000098050000}"/>
    <cellStyle name="40% - Accent3 7 2 2 2" xfId="24837" xr:uid="{EA1189C5-8708-4A13-8301-367C6DD6BC66}"/>
    <cellStyle name="40% - Accent3 7 2 2 3" xfId="33283" xr:uid="{BD54BE6F-61DF-4644-AC9A-2E2900F7F27E}"/>
    <cellStyle name="40% - Accent3 7 2 2 4" xfId="16396" xr:uid="{C112D58E-3154-41C5-ADD2-9E169E657717}"/>
    <cellStyle name="40% - Accent3 7 2 3" xfId="20619" xr:uid="{FCBBEC16-0959-4652-97E0-BD37F156CD29}"/>
    <cellStyle name="40% - Accent3 7 2 4" xfId="29066" xr:uid="{A21581D5-308F-48AC-AAD0-BFF34B46A35F}"/>
    <cellStyle name="40% - Accent3 7 2 5" xfId="12178" xr:uid="{834C5CB5-2B42-4334-866A-0A2793E86B21}"/>
    <cellStyle name="40% - Accent3 7 3" xfId="5809" xr:uid="{00000000-0005-0000-0000-000099050000}"/>
    <cellStyle name="40% - Accent3 7 3 2" xfId="22692" xr:uid="{5D4B04E1-2A89-446C-8D34-ED0935A6B623}"/>
    <cellStyle name="40% - Accent3 7 3 3" xfId="31138" xr:uid="{8207C19D-123F-4C36-9496-FA1E7F16DA90}"/>
    <cellStyle name="40% - Accent3 7 3 4" xfId="14251" xr:uid="{448419F7-7620-44DA-8B36-61C3AAF67854}"/>
    <cellStyle name="40% - Accent3 7 4" xfId="18474" xr:uid="{9C3EC5FB-D66B-4F0F-AC86-83CD231BB101}"/>
    <cellStyle name="40% - Accent3 7 5" xfId="26919" xr:uid="{CC070888-3F05-4FA7-A224-8C557633AF33}"/>
    <cellStyle name="40% - Accent3 7 6" xfId="10033" xr:uid="{C0CE792D-DC21-4399-89F0-E16B27750F26}"/>
    <cellStyle name="40% - Accent3 8" xfId="1915" xr:uid="{00000000-0005-0000-0000-00009A050000}"/>
    <cellStyle name="40% - Accent3 8 2" xfId="4144" xr:uid="{00000000-0005-0000-0000-00009B050000}"/>
    <cellStyle name="40% - Accent3 8 2 2" xfId="8367" xr:uid="{00000000-0005-0000-0000-00009C050000}"/>
    <cellStyle name="40% - Accent3 8 2 2 2" xfId="25250" xr:uid="{06F2D8F3-8430-4DB9-B09E-B877A3C8D12D}"/>
    <cellStyle name="40% - Accent3 8 2 2 3" xfId="33696" xr:uid="{2048B29D-88C3-4A22-B8C0-AB43343AE4E7}"/>
    <cellStyle name="40% - Accent3 8 2 2 4" xfId="16809" xr:uid="{6B828A7E-79EC-4C79-9264-B47104153542}"/>
    <cellStyle name="40% - Accent3 8 2 3" xfId="21032" xr:uid="{68990F11-DAB2-447D-9A76-6AC4685B37C5}"/>
    <cellStyle name="40% - Accent3 8 2 4" xfId="29479" xr:uid="{6E253996-EBBB-4A3F-BA8D-5E8520562193}"/>
    <cellStyle name="40% - Accent3 8 2 5" xfId="12591" xr:uid="{59605F74-674C-49E0-9B42-38050824CA80}"/>
    <cellStyle name="40% - Accent3 8 3" xfId="6222" xr:uid="{00000000-0005-0000-0000-00009D050000}"/>
    <cellStyle name="40% - Accent3 8 3 2" xfId="23105" xr:uid="{878B19A7-3584-4C71-B338-53C751638D5D}"/>
    <cellStyle name="40% - Accent3 8 3 3" xfId="31551" xr:uid="{6E9C2456-8783-4679-81E1-9E43F7535CDE}"/>
    <cellStyle name="40% - Accent3 8 3 4" xfId="14664" xr:uid="{AEC8D4A4-4B24-4BD0-85C2-52A86E86AE16}"/>
    <cellStyle name="40% - Accent3 8 4" xfId="18887" xr:uid="{BEBFB457-39D9-4BB6-8FBC-2C8D6DA92C96}"/>
    <cellStyle name="40% - Accent3 8 5" xfId="27332" xr:uid="{203641E2-7532-49C3-8D80-FD11038476EF}"/>
    <cellStyle name="40% - Accent3 8 6" xfId="10446" xr:uid="{151B07C1-2ABA-43BD-A275-AB0C6109289D}"/>
    <cellStyle name="40% - Accent3 9" xfId="2328" xr:uid="{00000000-0005-0000-0000-00009E050000}"/>
    <cellStyle name="40% - Accent3 9 2" xfId="6635" xr:uid="{00000000-0005-0000-0000-00009F050000}"/>
    <cellStyle name="40% - Accent3 9 2 2" xfId="23518" xr:uid="{B32B0B02-920F-40D3-A75B-8B02C96F8FB4}"/>
    <cellStyle name="40% - Accent3 9 2 3" xfId="31964" xr:uid="{5343FFDA-F1DC-42ED-B04F-2EFC76B17CAD}"/>
    <cellStyle name="40% - Accent3 9 2 4" xfId="15077" xr:uid="{6578C036-0CB2-43B1-957A-96EB03989E78}"/>
    <cellStyle name="40% - Accent3 9 3" xfId="19300" xr:uid="{926377F3-71EA-4553-99F0-9F9E3015D45D}"/>
    <cellStyle name="40% - Accent3 9 4" xfId="27745" xr:uid="{0EE5F2B0-4278-4189-8D3F-874103E7CFB2}"/>
    <cellStyle name="40% - Accent3 9 5" xfId="10859" xr:uid="{83B4E415-9694-40EA-9A46-D8F2953F942A}"/>
    <cellStyle name="40% - Accent4" xfId="73" builtinId="43" customBuiltin="1"/>
    <cellStyle name="40% - Accent4 10" xfId="4577" xr:uid="{00000000-0005-0000-0000-0000A1050000}"/>
    <cellStyle name="40% - Accent4 10 2" xfId="21460" xr:uid="{1F95D07C-749E-4E6B-9417-F41B0F56656B}"/>
    <cellStyle name="40% - Accent4 10 3" xfId="29906" xr:uid="{8B639033-0FAB-4284-9AF2-AE2F910C5FEA}"/>
    <cellStyle name="40% - Accent4 10 4" xfId="13019" xr:uid="{EA390E30-FF48-435A-B37C-804CEC195310}"/>
    <cellStyle name="40% - Accent4 11" xfId="17242" xr:uid="{253A3467-7B3C-44D6-BF67-43BD1AC39DCC}"/>
    <cellStyle name="40% - Accent4 12" xfId="25684" xr:uid="{ED8F8C16-2E49-4B79-BBA4-362DD4505194}"/>
    <cellStyle name="40% - Accent4 13" xfId="8801" xr:uid="{1C7AFEEC-C07C-439C-994C-955125395A28}"/>
    <cellStyle name="40% - Accent4 2" xfId="74" xr:uid="{00000000-0005-0000-0000-0000A2050000}"/>
    <cellStyle name="40% - Accent4 2 10" xfId="17243" xr:uid="{1FE1607E-9AA7-42F2-A50B-3855715C279A}"/>
    <cellStyle name="40% - Accent4 2 11" xfId="25685" xr:uid="{B813F254-BAA9-42DC-BED1-CA67C8A3DE6A}"/>
    <cellStyle name="40% - Accent4 2 12" xfId="8802" xr:uid="{24887950-891A-4706-B104-5B1B554339D2}"/>
    <cellStyle name="40% - Accent4 2 2" xfId="75" xr:uid="{00000000-0005-0000-0000-0000A3050000}"/>
    <cellStyle name="40% - Accent4 2 2 10" xfId="25686" xr:uid="{0EEBA565-1D37-4EC4-B71D-4A26DD77A530}"/>
    <cellStyle name="40% - Accent4 2 2 11" xfId="8803" xr:uid="{C57A7F64-C8FA-4961-9652-5AF1724FEAF6}"/>
    <cellStyle name="40% - Accent4 2 2 2" xfId="76" xr:uid="{00000000-0005-0000-0000-0000A4050000}"/>
    <cellStyle name="40% - Accent4 2 2 2 10" xfId="8804" xr:uid="{DC0FE1D7-40C0-42AA-80D4-DFEA3EC6E2CE}"/>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24022" xr:uid="{4CD3CE32-584A-4AE3-BFD8-0ED47760B88F}"/>
    <cellStyle name="40% - Accent4 2 2 2 2 2 2 3" xfId="32468" xr:uid="{EA8152F8-B22B-4A53-8C4E-34B84C11C566}"/>
    <cellStyle name="40% - Accent4 2 2 2 2 2 2 4" xfId="15581" xr:uid="{ABEF21F8-7BC5-47BB-AAF9-13BC154A7BFD}"/>
    <cellStyle name="40% - Accent4 2 2 2 2 2 3" xfId="19804" xr:uid="{CAEA9AA0-0D1C-4A50-8AE3-B946A5D5275D}"/>
    <cellStyle name="40% - Accent4 2 2 2 2 2 4" xfId="28251" xr:uid="{DC845126-4B99-436E-8E23-DD5BE6B5A1F6}"/>
    <cellStyle name="40% - Accent4 2 2 2 2 2 5" xfId="11363" xr:uid="{4024C8D3-24E0-4DF6-9E97-A27AAE08DE8D}"/>
    <cellStyle name="40% - Accent4 2 2 2 2 3" xfId="4994" xr:uid="{00000000-0005-0000-0000-0000A8050000}"/>
    <cellStyle name="40% - Accent4 2 2 2 2 3 2" xfId="21877" xr:uid="{F6DFC28D-388E-4873-9C25-F21FE849B9DB}"/>
    <cellStyle name="40% - Accent4 2 2 2 2 3 3" xfId="30323" xr:uid="{A60E81A5-B522-475D-AD03-FFC4B2330477}"/>
    <cellStyle name="40% - Accent4 2 2 2 2 3 4" xfId="13436" xr:uid="{D10CF12F-A1A5-465A-B2B9-C3F92B4E1C2A}"/>
    <cellStyle name="40% - Accent4 2 2 2 2 4" xfId="17659" xr:uid="{38E32C32-59D7-4C7F-A53B-A638C997809F}"/>
    <cellStyle name="40% - Accent4 2 2 2 2 5" xfId="26104" xr:uid="{7CABEE78-E310-4CEE-8421-C51AF4C23AF3}"/>
    <cellStyle name="40% - Accent4 2 2 2 2 6" xfId="9218" xr:uid="{6E12A4AC-2EE9-4628-B9D2-78D96726A376}"/>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24435" xr:uid="{0E7D04B6-19F0-4578-A686-9A5004A39ECA}"/>
    <cellStyle name="40% - Accent4 2 2 2 3 2 2 3" xfId="32881" xr:uid="{E9C07B64-2AAC-47A7-B99A-9973A772897C}"/>
    <cellStyle name="40% - Accent4 2 2 2 3 2 2 4" xfId="15994" xr:uid="{6EE931A1-9FC9-472A-B59A-47343C8A4A3F}"/>
    <cellStyle name="40% - Accent4 2 2 2 3 2 3" xfId="20217" xr:uid="{4DE4815D-9B39-416B-92CB-95ACAF12B5D4}"/>
    <cellStyle name="40% - Accent4 2 2 2 3 2 4" xfId="28664" xr:uid="{94D8B30D-D025-4AEC-AFAD-AF0954E66B9E}"/>
    <cellStyle name="40% - Accent4 2 2 2 3 2 5" xfId="11776" xr:uid="{9D42BF94-575F-4423-AC91-B5789D396C99}"/>
    <cellStyle name="40% - Accent4 2 2 2 3 3" xfId="5407" xr:uid="{00000000-0005-0000-0000-0000AC050000}"/>
    <cellStyle name="40% - Accent4 2 2 2 3 3 2" xfId="22290" xr:uid="{B13411FB-472A-4EAB-9ABB-E83F6CDAE018}"/>
    <cellStyle name="40% - Accent4 2 2 2 3 3 3" xfId="30736" xr:uid="{13424A18-BD95-4DAE-BD8A-9ABB830F61E7}"/>
    <cellStyle name="40% - Accent4 2 2 2 3 3 4" xfId="13849" xr:uid="{A607CE52-9ACC-4E28-8A47-E296364C78B9}"/>
    <cellStyle name="40% - Accent4 2 2 2 3 4" xfId="18072" xr:uid="{8F962A70-0705-4A78-A198-BFAC225AC9E7}"/>
    <cellStyle name="40% - Accent4 2 2 2 3 5" xfId="26517" xr:uid="{933E2E2E-4AE3-4ED8-8D88-E2F994088D7D}"/>
    <cellStyle name="40% - Accent4 2 2 2 3 6" xfId="9631" xr:uid="{5E39D1DE-A1FC-4899-AFF9-B73D4DBF9261}"/>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24848" xr:uid="{599C14B2-9395-476B-A4D2-74302FE3CB19}"/>
    <cellStyle name="40% - Accent4 2 2 2 4 2 2 3" xfId="33294" xr:uid="{2FA250DA-16EF-47A9-A27E-944CE8D27CDC}"/>
    <cellStyle name="40% - Accent4 2 2 2 4 2 2 4" xfId="16407" xr:uid="{BC64282A-7F74-4FED-A7E2-321950B8759C}"/>
    <cellStyle name="40% - Accent4 2 2 2 4 2 3" xfId="20630" xr:uid="{69D9D4F9-4A23-4FEB-9175-BB001B924CA0}"/>
    <cellStyle name="40% - Accent4 2 2 2 4 2 4" xfId="29077" xr:uid="{3E57F096-6CDC-4AA5-97B2-EF2B736F75BC}"/>
    <cellStyle name="40% - Accent4 2 2 2 4 2 5" xfId="12189" xr:uid="{9B1F3515-6DBE-4358-9636-006BD7763FE8}"/>
    <cellStyle name="40% - Accent4 2 2 2 4 3" xfId="5820" xr:uid="{00000000-0005-0000-0000-0000B0050000}"/>
    <cellStyle name="40% - Accent4 2 2 2 4 3 2" xfId="22703" xr:uid="{80C2C88A-55F1-4A2B-9994-5134BE9ECC7D}"/>
    <cellStyle name="40% - Accent4 2 2 2 4 3 3" xfId="31149" xr:uid="{8BBF60D0-9A66-44B6-82A3-B27CCF508406}"/>
    <cellStyle name="40% - Accent4 2 2 2 4 3 4" xfId="14262" xr:uid="{929D0CF2-77FA-4C66-9226-CFB307325B4A}"/>
    <cellStyle name="40% - Accent4 2 2 2 4 4" xfId="18485" xr:uid="{1E9CFB28-9AEE-484A-B9B8-5838329609B6}"/>
    <cellStyle name="40% - Accent4 2 2 2 4 5" xfId="26930" xr:uid="{24403CC3-1705-4555-AEA8-92F4AB65A795}"/>
    <cellStyle name="40% - Accent4 2 2 2 4 6" xfId="10044" xr:uid="{E84B7E37-BD8D-472C-9722-C5D60AFF0BC9}"/>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25261" xr:uid="{7C86C87D-B76C-409C-90E7-8170E3BC2B86}"/>
    <cellStyle name="40% - Accent4 2 2 2 5 2 2 3" xfId="33707" xr:uid="{29A6260B-1802-4A9D-9E37-8B220F663DFC}"/>
    <cellStyle name="40% - Accent4 2 2 2 5 2 2 4" xfId="16820" xr:uid="{406F20E0-8A22-4AF9-9161-EEC030D0BAD2}"/>
    <cellStyle name="40% - Accent4 2 2 2 5 2 3" xfId="21043" xr:uid="{FAD8EDE6-853B-4FDF-B54F-2D31A1D989A6}"/>
    <cellStyle name="40% - Accent4 2 2 2 5 2 4" xfId="29490" xr:uid="{A550B48C-1D1B-4BFB-B9FD-429CD1030DF4}"/>
    <cellStyle name="40% - Accent4 2 2 2 5 2 5" xfId="12602" xr:uid="{689255A9-AF90-49DD-A565-04B7E0999A4D}"/>
    <cellStyle name="40% - Accent4 2 2 2 5 3" xfId="6233" xr:uid="{00000000-0005-0000-0000-0000B4050000}"/>
    <cellStyle name="40% - Accent4 2 2 2 5 3 2" xfId="23116" xr:uid="{B11ADFBB-05E1-491C-B868-AFDF945A05F3}"/>
    <cellStyle name="40% - Accent4 2 2 2 5 3 3" xfId="31562" xr:uid="{02F582D9-6C0B-484B-AD19-A5EB09CA5213}"/>
    <cellStyle name="40% - Accent4 2 2 2 5 3 4" xfId="14675" xr:uid="{07FB2FE0-8573-4366-9ABA-49D745011201}"/>
    <cellStyle name="40% - Accent4 2 2 2 5 4" xfId="18898" xr:uid="{1971699A-F2A1-425B-8AAD-15C7A8560F6E}"/>
    <cellStyle name="40% - Accent4 2 2 2 5 5" xfId="27343" xr:uid="{A5E3D781-EC5A-4550-B6E8-CB2434ACB1CC}"/>
    <cellStyle name="40% - Accent4 2 2 2 5 6" xfId="10457" xr:uid="{F8C8478E-0102-4573-BFEC-C098617740F6}"/>
    <cellStyle name="40% - Accent4 2 2 2 6" xfId="2339" xr:uid="{00000000-0005-0000-0000-0000B5050000}"/>
    <cellStyle name="40% - Accent4 2 2 2 6 2" xfId="6646" xr:uid="{00000000-0005-0000-0000-0000B6050000}"/>
    <cellStyle name="40% - Accent4 2 2 2 6 2 2" xfId="23529" xr:uid="{D46DDB1A-DD3C-43D8-9899-D8A1D23790C1}"/>
    <cellStyle name="40% - Accent4 2 2 2 6 2 3" xfId="31975" xr:uid="{E2C53917-434A-41AC-A4F3-63C9C6A87462}"/>
    <cellStyle name="40% - Accent4 2 2 2 6 2 4" xfId="15088" xr:uid="{134CE2EA-E1E3-43D5-AEA8-BE8D2AA1E4BB}"/>
    <cellStyle name="40% - Accent4 2 2 2 6 3" xfId="19311" xr:uid="{3920173A-CF60-41A9-97E0-AB03BEA69229}"/>
    <cellStyle name="40% - Accent4 2 2 2 6 4" xfId="27756" xr:uid="{0F8E5CE6-8E9D-484F-A26A-DFF66F24BD98}"/>
    <cellStyle name="40% - Accent4 2 2 2 6 5" xfId="10870" xr:uid="{87E58640-8EAC-46A6-A70E-7380650BA453}"/>
    <cellStyle name="40% - Accent4 2 2 2 7" xfId="4580" xr:uid="{00000000-0005-0000-0000-0000B7050000}"/>
    <cellStyle name="40% - Accent4 2 2 2 7 2" xfId="21463" xr:uid="{E3F09BA7-11A4-4DEC-9696-C877CB964507}"/>
    <cellStyle name="40% - Accent4 2 2 2 7 3" xfId="29909" xr:uid="{1C029D38-1275-452A-BBF4-90FA537C7D7F}"/>
    <cellStyle name="40% - Accent4 2 2 2 7 4" xfId="13022" xr:uid="{5AC99646-8EAB-467B-9BD2-0C3629F10604}"/>
    <cellStyle name="40% - Accent4 2 2 2 8" xfId="17245" xr:uid="{6CF6074E-A4A0-482A-A39E-2AC1D1A5EA03}"/>
    <cellStyle name="40% - Accent4 2 2 2 9" xfId="25687" xr:uid="{4E4F3A94-8F83-46CE-ABDE-F1BF1A97EECF}"/>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24021" xr:uid="{AEAB9547-C11E-412B-80FB-1EBD9B507593}"/>
    <cellStyle name="40% - Accent4 2 2 3 2 2 3" xfId="32467" xr:uid="{BA29E931-1BB6-44C5-8930-F0A5E4DCE47B}"/>
    <cellStyle name="40% - Accent4 2 2 3 2 2 4" xfId="15580" xr:uid="{9B91F118-DE5A-4235-8E61-25F49844ED74}"/>
    <cellStyle name="40% - Accent4 2 2 3 2 3" xfId="19803" xr:uid="{5638E406-DB42-4D66-BDF7-32E3EA351841}"/>
    <cellStyle name="40% - Accent4 2 2 3 2 4" xfId="28250" xr:uid="{39A42CAB-1EA1-4D13-9FFB-80C700719F19}"/>
    <cellStyle name="40% - Accent4 2 2 3 2 5" xfId="11362" xr:uid="{E649B58D-E1EA-411F-8B1F-71D325383C99}"/>
    <cellStyle name="40% - Accent4 2 2 3 3" xfId="4993" xr:uid="{00000000-0005-0000-0000-0000BB050000}"/>
    <cellStyle name="40% - Accent4 2 2 3 3 2" xfId="21876" xr:uid="{160D136E-E3C8-4D53-B2A3-957EC860E38A}"/>
    <cellStyle name="40% - Accent4 2 2 3 3 3" xfId="30322" xr:uid="{EB9AC828-545E-4720-B292-6A47AD84FB09}"/>
    <cellStyle name="40% - Accent4 2 2 3 3 4" xfId="13435" xr:uid="{E19D14FC-E939-4624-A43F-D79EB19DCBF9}"/>
    <cellStyle name="40% - Accent4 2 2 3 4" xfId="17658" xr:uid="{58D84644-BA21-418B-BD1F-D62FE11A8D1C}"/>
    <cellStyle name="40% - Accent4 2 2 3 5" xfId="26103" xr:uid="{0D8882EB-3222-4A12-B58B-4AA60E538E86}"/>
    <cellStyle name="40% - Accent4 2 2 3 6" xfId="9217" xr:uid="{6185EA55-B713-44C4-BCEC-21B24EFD6045}"/>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24434" xr:uid="{573AAED4-DAEC-4D49-B4E7-1188177BBA1D}"/>
    <cellStyle name="40% - Accent4 2 2 4 2 2 3" xfId="32880" xr:uid="{ED526C29-C63C-4277-957E-309DA0834729}"/>
    <cellStyle name="40% - Accent4 2 2 4 2 2 4" xfId="15993" xr:uid="{90413C10-D0F5-45D5-912B-B1E685492D88}"/>
    <cellStyle name="40% - Accent4 2 2 4 2 3" xfId="20216" xr:uid="{14391D07-C18F-42FE-9CC2-6819A67AB5EF}"/>
    <cellStyle name="40% - Accent4 2 2 4 2 4" xfId="28663" xr:uid="{FCBD4C5C-A1AF-4915-9F30-6B74B8C6AE4B}"/>
    <cellStyle name="40% - Accent4 2 2 4 2 5" xfId="11775" xr:uid="{5121C8B1-E5B4-4151-9A11-63B208D9557E}"/>
    <cellStyle name="40% - Accent4 2 2 4 3" xfId="5406" xr:uid="{00000000-0005-0000-0000-0000BF050000}"/>
    <cellStyle name="40% - Accent4 2 2 4 3 2" xfId="22289" xr:uid="{6AC1441B-8CD8-42BE-87D8-B2EAAFAC6E43}"/>
    <cellStyle name="40% - Accent4 2 2 4 3 3" xfId="30735" xr:uid="{C570E6A5-CBC1-41BA-B25C-528CF36B2161}"/>
    <cellStyle name="40% - Accent4 2 2 4 3 4" xfId="13848" xr:uid="{4320F9C6-95D3-4676-87C8-0B115CA17118}"/>
    <cellStyle name="40% - Accent4 2 2 4 4" xfId="18071" xr:uid="{99793E97-6336-465D-96FF-C5051AC27DB2}"/>
    <cellStyle name="40% - Accent4 2 2 4 5" xfId="26516" xr:uid="{1A07AE65-6AD2-42AD-BBEC-208EBD59D702}"/>
    <cellStyle name="40% - Accent4 2 2 4 6" xfId="9630" xr:uid="{F44A4A6B-24D1-45BB-9F8F-5C356523546E}"/>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24847" xr:uid="{E8F3BDDF-34F1-42B4-88CC-857285F9E60F}"/>
    <cellStyle name="40% - Accent4 2 2 5 2 2 3" xfId="33293" xr:uid="{B230CCF6-1F70-4A1F-8FE3-DA8F1B664857}"/>
    <cellStyle name="40% - Accent4 2 2 5 2 2 4" xfId="16406" xr:uid="{554DE352-A6C7-4314-8E50-51311E5F1B45}"/>
    <cellStyle name="40% - Accent4 2 2 5 2 3" xfId="20629" xr:uid="{004615A4-B82C-4F4A-B794-3229CFDF83E0}"/>
    <cellStyle name="40% - Accent4 2 2 5 2 4" xfId="29076" xr:uid="{6D69A9AA-A432-422C-9E2C-9CA470446936}"/>
    <cellStyle name="40% - Accent4 2 2 5 2 5" xfId="12188" xr:uid="{44D7BF0F-E9AE-4FED-B7FB-C60E89C195E8}"/>
    <cellStyle name="40% - Accent4 2 2 5 3" xfId="5819" xr:uid="{00000000-0005-0000-0000-0000C3050000}"/>
    <cellStyle name="40% - Accent4 2 2 5 3 2" xfId="22702" xr:uid="{9EBE6D4C-F8A4-40EA-8E2B-452DCD728D26}"/>
    <cellStyle name="40% - Accent4 2 2 5 3 3" xfId="31148" xr:uid="{2E49806B-184D-42C6-BF31-56389636D9B4}"/>
    <cellStyle name="40% - Accent4 2 2 5 3 4" xfId="14261" xr:uid="{EEC796AE-F402-45A5-BA7E-B7B9F14D401B}"/>
    <cellStyle name="40% - Accent4 2 2 5 4" xfId="18484" xr:uid="{F84247D1-5401-412A-ACE5-185F571BD0CA}"/>
    <cellStyle name="40% - Accent4 2 2 5 5" xfId="26929" xr:uid="{E797FD8A-1FAA-425D-8C70-49895130FA01}"/>
    <cellStyle name="40% - Accent4 2 2 5 6" xfId="10043" xr:uid="{626B8311-E1C2-425C-83EB-A3B3473EFE4C}"/>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25260" xr:uid="{C6C2DB56-3737-4BEE-8B6B-421F7DB14F29}"/>
    <cellStyle name="40% - Accent4 2 2 6 2 2 3" xfId="33706" xr:uid="{9CF53D7E-DE9B-4F4A-BDE9-A77DF1090BEE}"/>
    <cellStyle name="40% - Accent4 2 2 6 2 2 4" xfId="16819" xr:uid="{888F8F16-DEE6-4873-9010-725F5C809CC6}"/>
    <cellStyle name="40% - Accent4 2 2 6 2 3" xfId="21042" xr:uid="{FE9F55CA-88D7-4082-B239-6F50137A39AC}"/>
    <cellStyle name="40% - Accent4 2 2 6 2 4" xfId="29489" xr:uid="{921E1566-6D2E-4741-A2DF-100D0C2C849A}"/>
    <cellStyle name="40% - Accent4 2 2 6 2 5" xfId="12601" xr:uid="{3B802002-1F4D-4572-A15A-1CBB7CD0E1F4}"/>
    <cellStyle name="40% - Accent4 2 2 6 3" xfId="6232" xr:uid="{00000000-0005-0000-0000-0000C7050000}"/>
    <cellStyle name="40% - Accent4 2 2 6 3 2" xfId="23115" xr:uid="{0D3AAC07-7C4A-4D97-B0A9-B4C89EAA51F6}"/>
    <cellStyle name="40% - Accent4 2 2 6 3 3" xfId="31561" xr:uid="{C080612A-A0FA-452B-A4E8-91155C92FE77}"/>
    <cellStyle name="40% - Accent4 2 2 6 3 4" xfId="14674" xr:uid="{E93AB50B-B8CE-45DE-A114-2276E38C8DAE}"/>
    <cellStyle name="40% - Accent4 2 2 6 4" xfId="18897" xr:uid="{7DEFBC27-1BCB-4668-8BB1-01C2B6AD8210}"/>
    <cellStyle name="40% - Accent4 2 2 6 5" xfId="27342" xr:uid="{49E052CA-2AF4-4A5C-B255-CF554E6C4B87}"/>
    <cellStyle name="40% - Accent4 2 2 6 6" xfId="10456" xr:uid="{A4F99D0A-EA42-4D27-99D8-AD2CFA38F839}"/>
    <cellStyle name="40% - Accent4 2 2 7" xfId="2338" xr:uid="{00000000-0005-0000-0000-0000C8050000}"/>
    <cellStyle name="40% - Accent4 2 2 7 2" xfId="6645" xr:uid="{00000000-0005-0000-0000-0000C9050000}"/>
    <cellStyle name="40% - Accent4 2 2 7 2 2" xfId="23528" xr:uid="{AB508A90-F4B0-452A-A919-72F564B5BFB4}"/>
    <cellStyle name="40% - Accent4 2 2 7 2 3" xfId="31974" xr:uid="{2038621F-5540-46D2-8CB5-84475D6076C7}"/>
    <cellStyle name="40% - Accent4 2 2 7 2 4" xfId="15087" xr:uid="{164975EF-218D-4498-B987-FC988B437A28}"/>
    <cellStyle name="40% - Accent4 2 2 7 3" xfId="19310" xr:uid="{F5A9D6F7-1525-43A2-AB81-EB81CD808CA2}"/>
    <cellStyle name="40% - Accent4 2 2 7 4" xfId="27755" xr:uid="{D38010B5-62FA-4B95-B406-5FD397C58AC8}"/>
    <cellStyle name="40% - Accent4 2 2 7 5" xfId="10869" xr:uid="{D30F49A2-596A-48AB-AF03-3FA9746B8DA8}"/>
    <cellStyle name="40% - Accent4 2 2 8" xfId="4579" xr:uid="{00000000-0005-0000-0000-0000CA050000}"/>
    <cellStyle name="40% - Accent4 2 2 8 2" xfId="21462" xr:uid="{D1AF108D-E969-4033-BD60-892781737538}"/>
    <cellStyle name="40% - Accent4 2 2 8 3" xfId="29908" xr:uid="{5D10BF55-E7C9-4441-A263-5ED137DD5BEF}"/>
    <cellStyle name="40% - Accent4 2 2 8 4" xfId="13021" xr:uid="{66EA7845-9C7C-4301-AA95-4B2489BD7C7D}"/>
    <cellStyle name="40% - Accent4 2 2 9" xfId="17244" xr:uid="{E1DBA8EA-B9A1-41F9-ADDC-C00CD899202B}"/>
    <cellStyle name="40% - Accent4 2 3" xfId="77" xr:uid="{00000000-0005-0000-0000-0000CB050000}"/>
    <cellStyle name="40% - Accent4 2 3 10" xfId="8805" xr:uid="{6B8BA439-6B81-4B7E-A2D1-9303A6562B53}"/>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24023" xr:uid="{A7F331E2-ECF2-458E-99F7-158C3D47DB25}"/>
    <cellStyle name="40% - Accent4 2 3 2 2 2 3" xfId="32469" xr:uid="{F8F8AFB2-B687-4955-A4FE-2AD3DE1D865D}"/>
    <cellStyle name="40% - Accent4 2 3 2 2 2 4" xfId="15582" xr:uid="{4553D2F5-804E-4871-B408-6621748406E4}"/>
    <cellStyle name="40% - Accent4 2 3 2 2 3" xfId="19805" xr:uid="{FFE78ABB-AC9E-43D7-A8BA-99CEC9E8B4AD}"/>
    <cellStyle name="40% - Accent4 2 3 2 2 4" xfId="28252" xr:uid="{5494090B-CF74-4B09-83CA-17537DD248D4}"/>
    <cellStyle name="40% - Accent4 2 3 2 2 5" xfId="11364" xr:uid="{C08463F9-A547-4741-AA91-6D57EBEE57EA}"/>
    <cellStyle name="40% - Accent4 2 3 2 3" xfId="4995" xr:uid="{00000000-0005-0000-0000-0000CF050000}"/>
    <cellStyle name="40% - Accent4 2 3 2 3 2" xfId="21878" xr:uid="{F35C495C-D85F-4B25-87F1-C12301FEEE01}"/>
    <cellStyle name="40% - Accent4 2 3 2 3 3" xfId="30324" xr:uid="{74EE6A0D-DFA9-432B-B340-9CE3E5038E93}"/>
    <cellStyle name="40% - Accent4 2 3 2 3 4" xfId="13437" xr:uid="{67EBB8DB-9567-4A42-A680-51AF7B495A6D}"/>
    <cellStyle name="40% - Accent4 2 3 2 4" xfId="17660" xr:uid="{04D26692-6E53-411F-A5CC-7DE93D29CC35}"/>
    <cellStyle name="40% - Accent4 2 3 2 5" xfId="26105" xr:uid="{03021FF6-0308-4A17-BEFC-759A9DEADAA7}"/>
    <cellStyle name="40% - Accent4 2 3 2 6" xfId="9219" xr:uid="{81D77FE7-8165-4D1C-A577-CE2431606EEC}"/>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24436" xr:uid="{1A3D62B3-8A9E-48FD-95FF-C570B2BD2F31}"/>
    <cellStyle name="40% - Accent4 2 3 3 2 2 3" xfId="32882" xr:uid="{922EFDB8-328D-4967-A0AC-A59592B5DAB0}"/>
    <cellStyle name="40% - Accent4 2 3 3 2 2 4" xfId="15995" xr:uid="{6B2DDBD6-E531-48C8-A84D-DE39AD1B7C8D}"/>
    <cellStyle name="40% - Accent4 2 3 3 2 3" xfId="20218" xr:uid="{17D261FE-C636-4499-A773-BFDE69654EDC}"/>
    <cellStyle name="40% - Accent4 2 3 3 2 4" xfId="28665" xr:uid="{382264F4-90BD-45B8-9F9C-8BA236B4F562}"/>
    <cellStyle name="40% - Accent4 2 3 3 2 5" xfId="11777" xr:uid="{B6821FFD-DF55-43F4-8F0E-DBB6D3AFACFD}"/>
    <cellStyle name="40% - Accent4 2 3 3 3" xfId="5408" xr:uid="{00000000-0005-0000-0000-0000D3050000}"/>
    <cellStyle name="40% - Accent4 2 3 3 3 2" xfId="22291" xr:uid="{EC39B067-6E82-4B5B-B292-3B137C97DCC8}"/>
    <cellStyle name="40% - Accent4 2 3 3 3 3" xfId="30737" xr:uid="{3AD2CB58-BE01-4A9C-9264-FF5BB83B4573}"/>
    <cellStyle name="40% - Accent4 2 3 3 3 4" xfId="13850" xr:uid="{7CD1A058-610F-4ADF-8EDF-365CC00414B8}"/>
    <cellStyle name="40% - Accent4 2 3 3 4" xfId="18073" xr:uid="{E2551583-C0FB-47C1-AFC2-C28EE49653E5}"/>
    <cellStyle name="40% - Accent4 2 3 3 5" xfId="26518" xr:uid="{0E71E93E-3C70-4B08-9D66-4CF09359EA3A}"/>
    <cellStyle name="40% - Accent4 2 3 3 6" xfId="9632" xr:uid="{732B77FC-B0B9-4D34-BC72-E075E890EC2D}"/>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24849" xr:uid="{C2FCB2CC-F8F9-477A-89C3-654A9760B07A}"/>
    <cellStyle name="40% - Accent4 2 3 4 2 2 3" xfId="33295" xr:uid="{0AED025A-7794-4A5F-A851-30C7216AD567}"/>
    <cellStyle name="40% - Accent4 2 3 4 2 2 4" xfId="16408" xr:uid="{0495937A-6A3D-417E-BA65-9AA5566FBE8C}"/>
    <cellStyle name="40% - Accent4 2 3 4 2 3" xfId="20631" xr:uid="{153B6CDD-3140-4EC7-8EF4-331D1E8D2C66}"/>
    <cellStyle name="40% - Accent4 2 3 4 2 4" xfId="29078" xr:uid="{604E4801-932E-46D1-BAC2-711F7CC51116}"/>
    <cellStyle name="40% - Accent4 2 3 4 2 5" xfId="12190" xr:uid="{61F1673E-E97D-4EF8-A8EF-0A619DBCD2F4}"/>
    <cellStyle name="40% - Accent4 2 3 4 3" xfId="5821" xr:uid="{00000000-0005-0000-0000-0000D7050000}"/>
    <cellStyle name="40% - Accent4 2 3 4 3 2" xfId="22704" xr:uid="{7A1FEDA3-89C5-4282-88E5-73C5F3D32306}"/>
    <cellStyle name="40% - Accent4 2 3 4 3 3" xfId="31150" xr:uid="{CF79B554-DA69-4874-9EF9-3554143B1EFA}"/>
    <cellStyle name="40% - Accent4 2 3 4 3 4" xfId="14263" xr:uid="{559212AD-F122-4B9B-8FE1-C18247333E5F}"/>
    <cellStyle name="40% - Accent4 2 3 4 4" xfId="18486" xr:uid="{937E960C-E7AD-4D16-9AB8-5EC346EA0684}"/>
    <cellStyle name="40% - Accent4 2 3 4 5" xfId="26931" xr:uid="{EBFB021D-8C3C-496D-95D3-BEE7C3642D8C}"/>
    <cellStyle name="40% - Accent4 2 3 4 6" xfId="10045" xr:uid="{C87D555C-25B0-453D-87F5-E29B368E4351}"/>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25262" xr:uid="{EF32C94B-28C9-4D9E-9AD6-91A86389BFF4}"/>
    <cellStyle name="40% - Accent4 2 3 5 2 2 3" xfId="33708" xr:uid="{7A5563B8-2905-4178-B0EA-93B8DDB89B6E}"/>
    <cellStyle name="40% - Accent4 2 3 5 2 2 4" xfId="16821" xr:uid="{6B9CC3E9-BBA7-428D-9302-2A0A6450F840}"/>
    <cellStyle name="40% - Accent4 2 3 5 2 3" xfId="21044" xr:uid="{433A5095-BBA7-4C2C-8E7B-C9760306C698}"/>
    <cellStyle name="40% - Accent4 2 3 5 2 4" xfId="29491" xr:uid="{693C3C9A-E043-473B-AB7A-53B28CDB6C29}"/>
    <cellStyle name="40% - Accent4 2 3 5 2 5" xfId="12603" xr:uid="{7D1B31FA-CEFB-46A5-8A66-9DF84B2A3D61}"/>
    <cellStyle name="40% - Accent4 2 3 5 3" xfId="6234" xr:uid="{00000000-0005-0000-0000-0000DB050000}"/>
    <cellStyle name="40% - Accent4 2 3 5 3 2" xfId="23117" xr:uid="{05305B6D-BCEE-4707-B91E-805F2C860EC5}"/>
    <cellStyle name="40% - Accent4 2 3 5 3 3" xfId="31563" xr:uid="{5F5304F9-051C-4D2F-8071-A99611943683}"/>
    <cellStyle name="40% - Accent4 2 3 5 3 4" xfId="14676" xr:uid="{3CFA6F1D-1F74-4F63-B6FB-07C1B782315F}"/>
    <cellStyle name="40% - Accent4 2 3 5 4" xfId="18899" xr:uid="{E14C5BE8-EF58-4EED-A5DB-B2B1DC0F7B3F}"/>
    <cellStyle name="40% - Accent4 2 3 5 5" xfId="27344" xr:uid="{725BD8B2-B3FF-421F-B364-229F6BAC8B61}"/>
    <cellStyle name="40% - Accent4 2 3 5 6" xfId="10458" xr:uid="{FDBE6BDE-2B7B-4E6A-B326-E6CEEF77228D}"/>
    <cellStyle name="40% - Accent4 2 3 6" xfId="2340" xr:uid="{00000000-0005-0000-0000-0000DC050000}"/>
    <cellStyle name="40% - Accent4 2 3 6 2" xfId="6647" xr:uid="{00000000-0005-0000-0000-0000DD050000}"/>
    <cellStyle name="40% - Accent4 2 3 6 2 2" xfId="23530" xr:uid="{2480E92A-C0B7-4BB2-A723-CC1F5189BD07}"/>
    <cellStyle name="40% - Accent4 2 3 6 2 3" xfId="31976" xr:uid="{4FBBEB5E-60CF-47E4-834A-11261BCFEBBF}"/>
    <cellStyle name="40% - Accent4 2 3 6 2 4" xfId="15089" xr:uid="{F9F7B0FB-1891-4285-B590-4296322A3CDB}"/>
    <cellStyle name="40% - Accent4 2 3 6 3" xfId="19312" xr:uid="{8A89967A-41FD-45C6-944D-A1171F1D2F9E}"/>
    <cellStyle name="40% - Accent4 2 3 6 4" xfId="27757" xr:uid="{9430860C-61E0-400C-A1EA-380589EBACD0}"/>
    <cellStyle name="40% - Accent4 2 3 6 5" xfId="10871" xr:uid="{F1C458BF-33D8-4F13-BB35-CA3B093FC76B}"/>
    <cellStyle name="40% - Accent4 2 3 7" xfId="4581" xr:uid="{00000000-0005-0000-0000-0000DE050000}"/>
    <cellStyle name="40% - Accent4 2 3 7 2" xfId="21464" xr:uid="{DCF3F2E6-5E5A-48CD-A8A2-49293C5804FC}"/>
    <cellStyle name="40% - Accent4 2 3 7 3" xfId="29910" xr:uid="{23C3576C-6682-4030-B000-B4D7D0A45302}"/>
    <cellStyle name="40% - Accent4 2 3 7 4" xfId="13023" xr:uid="{A8C79153-8E6E-4499-8981-4FB5BF78193B}"/>
    <cellStyle name="40% - Accent4 2 3 8" xfId="17246" xr:uid="{52809403-9D83-4CB6-A9A9-7BE79EFA1FFC}"/>
    <cellStyle name="40% - Accent4 2 3 9" xfId="25688" xr:uid="{56D2F6FA-3EB7-4BCE-B1B5-11671B22E5BB}"/>
    <cellStyle name="40% - Accent4 2 4" xfId="643" xr:uid="{00000000-0005-0000-0000-0000DF050000}"/>
    <cellStyle name="40% - Accent4 2 4 2" xfId="2914" xr:uid="{00000000-0005-0000-0000-0000E0050000}"/>
    <cellStyle name="40% - Accent4 2 4 2 2" xfId="7137" xr:uid="{00000000-0005-0000-0000-0000E1050000}"/>
    <cellStyle name="40% - Accent4 2 4 2 2 2" xfId="24020" xr:uid="{6224DF7D-A91D-4EA5-A0A0-D70BF111DA44}"/>
    <cellStyle name="40% - Accent4 2 4 2 2 3" xfId="32466" xr:uid="{349693AC-F27C-4F64-A044-2093C58C605A}"/>
    <cellStyle name="40% - Accent4 2 4 2 2 4" xfId="15579" xr:uid="{8E6038D1-89AC-4B80-8389-0BAC9EDB9B5F}"/>
    <cellStyle name="40% - Accent4 2 4 2 3" xfId="19802" xr:uid="{A177327E-38B5-48CD-A372-F903C95706A9}"/>
    <cellStyle name="40% - Accent4 2 4 2 4" xfId="28249" xr:uid="{4B69EED2-EED4-4E64-A5AB-C542AF7D1984}"/>
    <cellStyle name="40% - Accent4 2 4 2 5" xfId="11361" xr:uid="{1E0E4743-FED4-49EA-9108-E637FD447C14}"/>
    <cellStyle name="40% - Accent4 2 4 3" xfId="4992" xr:uid="{00000000-0005-0000-0000-0000E2050000}"/>
    <cellStyle name="40% - Accent4 2 4 3 2" xfId="21875" xr:uid="{EBFC9EF4-A0D0-4053-A165-27541B867BCE}"/>
    <cellStyle name="40% - Accent4 2 4 3 3" xfId="30321" xr:uid="{5CE8B4A6-AD45-453F-ACB1-07AC44ACFDDE}"/>
    <cellStyle name="40% - Accent4 2 4 3 4" xfId="13434" xr:uid="{C82E8604-F89C-4B9E-8C48-01A61F00743F}"/>
    <cellStyle name="40% - Accent4 2 4 4" xfId="17657" xr:uid="{EC7E3E4D-63CF-4522-82DD-E4DD4A567C39}"/>
    <cellStyle name="40% - Accent4 2 4 5" xfId="26102" xr:uid="{507BF105-FCCA-4838-BF88-E80BACEAB084}"/>
    <cellStyle name="40% - Accent4 2 4 6" xfId="9216" xr:uid="{2D9FB5CA-816A-4CB4-8F53-D049A6AD3E27}"/>
    <cellStyle name="40% - Accent4 2 5" xfId="1096" xr:uid="{00000000-0005-0000-0000-0000E3050000}"/>
    <cellStyle name="40% - Accent4 2 5 2" xfId="3327" xr:uid="{00000000-0005-0000-0000-0000E4050000}"/>
    <cellStyle name="40% - Accent4 2 5 2 2" xfId="7550" xr:uid="{00000000-0005-0000-0000-0000E5050000}"/>
    <cellStyle name="40% - Accent4 2 5 2 2 2" xfId="24433" xr:uid="{CB4ADC3C-97C1-4FA7-98D8-3E9D7637C1DE}"/>
    <cellStyle name="40% - Accent4 2 5 2 2 3" xfId="32879" xr:uid="{CE76A05E-7F64-418C-B01E-17F424167F59}"/>
    <cellStyle name="40% - Accent4 2 5 2 2 4" xfId="15992" xr:uid="{24B6D64A-76D1-415B-B89A-F79FA7CC3A12}"/>
    <cellStyle name="40% - Accent4 2 5 2 3" xfId="20215" xr:uid="{C212DC77-4775-4185-82E7-3419E123D6E3}"/>
    <cellStyle name="40% - Accent4 2 5 2 4" xfId="28662" xr:uid="{FE79F3DB-B785-4140-A719-E38D3102C372}"/>
    <cellStyle name="40% - Accent4 2 5 2 5" xfId="11774" xr:uid="{8F6C7F68-E533-4BC4-BD8F-098156636F53}"/>
    <cellStyle name="40% - Accent4 2 5 3" xfId="5405" xr:uid="{00000000-0005-0000-0000-0000E6050000}"/>
    <cellStyle name="40% - Accent4 2 5 3 2" xfId="22288" xr:uid="{BA2CFF4C-1B15-40F9-9441-83C654C64E7C}"/>
    <cellStyle name="40% - Accent4 2 5 3 3" xfId="30734" xr:uid="{41792560-DD27-42DF-BC88-B7119A4DE4A1}"/>
    <cellStyle name="40% - Accent4 2 5 3 4" xfId="13847" xr:uid="{B35F7A12-43B7-4641-AA85-AD22E1B568F0}"/>
    <cellStyle name="40% - Accent4 2 5 4" xfId="18070" xr:uid="{505939ED-5574-4F57-81D2-325E222980F0}"/>
    <cellStyle name="40% - Accent4 2 5 5" xfId="26515" xr:uid="{305781F3-23C8-4D14-83CA-B636F4843383}"/>
    <cellStyle name="40% - Accent4 2 5 6" xfId="9629" xr:uid="{6DF98EB1-4703-4EC8-97AB-8636EE4EC7E9}"/>
    <cellStyle name="40% - Accent4 2 6" xfId="1510" xr:uid="{00000000-0005-0000-0000-0000E7050000}"/>
    <cellStyle name="40% - Accent4 2 6 2" xfId="3740" xr:uid="{00000000-0005-0000-0000-0000E8050000}"/>
    <cellStyle name="40% - Accent4 2 6 2 2" xfId="7963" xr:uid="{00000000-0005-0000-0000-0000E9050000}"/>
    <cellStyle name="40% - Accent4 2 6 2 2 2" xfId="24846" xr:uid="{39C9C909-0567-4195-8899-224BD2F72DCD}"/>
    <cellStyle name="40% - Accent4 2 6 2 2 3" xfId="33292" xr:uid="{473AA455-27EB-4BE1-87DD-649100210F2B}"/>
    <cellStyle name="40% - Accent4 2 6 2 2 4" xfId="16405" xr:uid="{E7495A37-8275-4213-9401-F2BD07961979}"/>
    <cellStyle name="40% - Accent4 2 6 2 3" xfId="20628" xr:uid="{D56925F9-0860-4AA4-8527-58B80E11F8C3}"/>
    <cellStyle name="40% - Accent4 2 6 2 4" xfId="29075" xr:uid="{4A0EA57E-ACE8-436E-86EA-5C2F8B5BDD29}"/>
    <cellStyle name="40% - Accent4 2 6 2 5" xfId="12187" xr:uid="{D028E73E-B897-4A79-94DC-C197DF5837E6}"/>
    <cellStyle name="40% - Accent4 2 6 3" xfId="5818" xr:uid="{00000000-0005-0000-0000-0000EA050000}"/>
    <cellStyle name="40% - Accent4 2 6 3 2" xfId="22701" xr:uid="{27599635-00EC-490F-B3B3-FA3D1BB8B0AF}"/>
    <cellStyle name="40% - Accent4 2 6 3 3" xfId="31147" xr:uid="{D68C005C-DAEF-46F9-ABDE-BB7D28BC61B3}"/>
    <cellStyle name="40% - Accent4 2 6 3 4" xfId="14260" xr:uid="{F2C068F6-0B24-4AB2-A292-3D01EC907A38}"/>
    <cellStyle name="40% - Accent4 2 6 4" xfId="18483" xr:uid="{9EEFB3AC-6CD0-4459-9F6C-21E9CBCEF8F7}"/>
    <cellStyle name="40% - Accent4 2 6 5" xfId="26928" xr:uid="{BDD25F6B-0C8B-42A0-89F8-7B093285EB80}"/>
    <cellStyle name="40% - Accent4 2 6 6" xfId="10042" xr:uid="{BABFFADD-FC10-4F20-9633-15D03D06CCC5}"/>
    <cellStyle name="40% - Accent4 2 7" xfId="1924" xr:uid="{00000000-0005-0000-0000-0000EB050000}"/>
    <cellStyle name="40% - Accent4 2 7 2" xfId="4153" xr:uid="{00000000-0005-0000-0000-0000EC050000}"/>
    <cellStyle name="40% - Accent4 2 7 2 2" xfId="8376" xr:uid="{00000000-0005-0000-0000-0000ED050000}"/>
    <cellStyle name="40% - Accent4 2 7 2 2 2" xfId="25259" xr:uid="{40424890-A17F-44FF-AB64-DA83F8AF859C}"/>
    <cellStyle name="40% - Accent4 2 7 2 2 3" xfId="33705" xr:uid="{264C778A-5777-4BCE-8B54-E8117B7DEB2F}"/>
    <cellStyle name="40% - Accent4 2 7 2 2 4" xfId="16818" xr:uid="{7640E0C5-79B4-4B6B-A953-E5D4DCC159FC}"/>
    <cellStyle name="40% - Accent4 2 7 2 3" xfId="21041" xr:uid="{F4199088-B68D-4E84-9E09-6A386F1E167A}"/>
    <cellStyle name="40% - Accent4 2 7 2 4" xfId="29488" xr:uid="{10062900-BDBC-4201-8B1C-CC805E91C29E}"/>
    <cellStyle name="40% - Accent4 2 7 2 5" xfId="12600" xr:uid="{EE525D4D-DE8B-4EB7-B5D7-D282A5AE26C1}"/>
    <cellStyle name="40% - Accent4 2 7 3" xfId="6231" xr:uid="{00000000-0005-0000-0000-0000EE050000}"/>
    <cellStyle name="40% - Accent4 2 7 3 2" xfId="23114" xr:uid="{D16125D7-A696-493C-9BF9-6B3CA9D648F7}"/>
    <cellStyle name="40% - Accent4 2 7 3 3" xfId="31560" xr:uid="{27B2C631-1B8C-4E67-B609-2E7045B2CBAC}"/>
    <cellStyle name="40% - Accent4 2 7 3 4" xfId="14673" xr:uid="{BBA470E7-3246-40DE-B23E-C42D33A401DB}"/>
    <cellStyle name="40% - Accent4 2 7 4" xfId="18896" xr:uid="{330B5226-AED4-46D4-A762-0312063AF4C2}"/>
    <cellStyle name="40% - Accent4 2 7 5" xfId="27341" xr:uid="{FF756D5B-77A8-4323-9848-FF2A18890DF4}"/>
    <cellStyle name="40% - Accent4 2 7 6" xfId="10455" xr:uid="{110AF76C-EA7B-4D5B-BC5E-B29835FF8E7A}"/>
    <cellStyle name="40% - Accent4 2 8" xfId="2337" xr:uid="{00000000-0005-0000-0000-0000EF050000}"/>
    <cellStyle name="40% - Accent4 2 8 2" xfId="6644" xr:uid="{00000000-0005-0000-0000-0000F0050000}"/>
    <cellStyle name="40% - Accent4 2 8 2 2" xfId="23527" xr:uid="{D93F1313-975D-4750-BDA8-15975DEEB2F1}"/>
    <cellStyle name="40% - Accent4 2 8 2 3" xfId="31973" xr:uid="{EE9B785E-1BA9-4921-A8BF-2BE0F93A9A89}"/>
    <cellStyle name="40% - Accent4 2 8 2 4" xfId="15086" xr:uid="{D63C4A4A-A065-477D-84AC-2D723C999BE6}"/>
    <cellStyle name="40% - Accent4 2 8 3" xfId="19309" xr:uid="{4C72BFBE-6254-4672-BAD8-20FAF5A2D765}"/>
    <cellStyle name="40% - Accent4 2 8 4" xfId="27754" xr:uid="{24B51F5B-911C-4F56-A1BF-AC61AD9DDB8B}"/>
    <cellStyle name="40% - Accent4 2 8 5" xfId="10868" xr:uid="{11D0FBDA-9A12-4ACD-B414-9E770EE82EDF}"/>
    <cellStyle name="40% - Accent4 2 9" xfId="4578" xr:uid="{00000000-0005-0000-0000-0000F1050000}"/>
    <cellStyle name="40% - Accent4 2 9 2" xfId="21461" xr:uid="{925BD98B-602E-4550-9A15-CC7EB86C129B}"/>
    <cellStyle name="40% - Accent4 2 9 3" xfId="29907" xr:uid="{237C1064-7917-4D77-B88D-3A5F13B80101}"/>
    <cellStyle name="40% - Accent4 2 9 4" xfId="13020" xr:uid="{6A566878-7FF3-4966-B4AA-228156DF6454}"/>
    <cellStyle name="40% - Accent4 3" xfId="78" xr:uid="{00000000-0005-0000-0000-0000F2050000}"/>
    <cellStyle name="40% - Accent4 3 10" xfId="25689" xr:uid="{7F9F0045-CF20-40C9-B4E4-80ACF364160D}"/>
    <cellStyle name="40% - Accent4 3 11" xfId="8806" xr:uid="{7A28DD02-9BBE-4F86-B6FE-EB09EEE655AE}"/>
    <cellStyle name="40% - Accent4 3 2" xfId="79" xr:uid="{00000000-0005-0000-0000-0000F3050000}"/>
    <cellStyle name="40% - Accent4 3 2 10" xfId="8807" xr:uid="{4FACE6F4-F41B-4D2D-97E2-388418ECF2B8}"/>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24025" xr:uid="{2C7B43C2-13C0-4108-BB20-C2AB0767F20A}"/>
    <cellStyle name="40% - Accent4 3 2 2 2 2 3" xfId="32471" xr:uid="{1F1D357D-7033-4728-9AE4-BDFBDA83936C}"/>
    <cellStyle name="40% - Accent4 3 2 2 2 2 4" xfId="15584" xr:uid="{C9FCAA01-BD1B-431D-A4E6-0977CBBF298C}"/>
    <cellStyle name="40% - Accent4 3 2 2 2 3" xfId="19807" xr:uid="{92FFE368-D483-4FC2-9B37-DFD5575D41E4}"/>
    <cellStyle name="40% - Accent4 3 2 2 2 4" xfId="28254" xr:uid="{ACEA67A2-E8F4-4B0A-8B44-8B5E773E725B}"/>
    <cellStyle name="40% - Accent4 3 2 2 2 5" xfId="11366" xr:uid="{60B3E97E-42AB-4EB1-BA0E-F400FE451B08}"/>
    <cellStyle name="40% - Accent4 3 2 2 3" xfId="4997" xr:uid="{00000000-0005-0000-0000-0000F7050000}"/>
    <cellStyle name="40% - Accent4 3 2 2 3 2" xfId="21880" xr:uid="{5794E222-F584-4422-BD41-D0E96AEEDDD8}"/>
    <cellStyle name="40% - Accent4 3 2 2 3 3" xfId="30326" xr:uid="{8D6C0C54-C700-41B7-B8EB-0A83D1F6103C}"/>
    <cellStyle name="40% - Accent4 3 2 2 3 4" xfId="13439" xr:uid="{E9A1E678-4000-4508-A2A8-1D37FC9433B9}"/>
    <cellStyle name="40% - Accent4 3 2 2 4" xfId="17662" xr:uid="{CC941326-EF2D-460B-ACED-EAFF1AD3583D}"/>
    <cellStyle name="40% - Accent4 3 2 2 5" xfId="26107" xr:uid="{19027042-A7CF-43CA-B95C-844BD18EDD82}"/>
    <cellStyle name="40% - Accent4 3 2 2 6" xfId="9221" xr:uid="{9B59C2CA-C8B9-48AC-B85C-ADDD0B4EE080}"/>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24438" xr:uid="{8EE58AF4-F60B-4C49-B747-CD5CC4D984BF}"/>
    <cellStyle name="40% - Accent4 3 2 3 2 2 3" xfId="32884" xr:uid="{B43D3AEB-F73C-4986-A944-B556A2BD257B}"/>
    <cellStyle name="40% - Accent4 3 2 3 2 2 4" xfId="15997" xr:uid="{149702FA-4C2A-4DFA-B322-8858049CA134}"/>
    <cellStyle name="40% - Accent4 3 2 3 2 3" xfId="20220" xr:uid="{9D5EA127-F262-405F-81BA-694E2C2B5258}"/>
    <cellStyle name="40% - Accent4 3 2 3 2 4" xfId="28667" xr:uid="{8619E561-2B75-429F-B8FE-57025CB619F7}"/>
    <cellStyle name="40% - Accent4 3 2 3 2 5" xfId="11779" xr:uid="{9F368BE6-4B5E-485A-8F67-A012F3AD7F60}"/>
    <cellStyle name="40% - Accent4 3 2 3 3" xfId="5410" xr:uid="{00000000-0005-0000-0000-0000FB050000}"/>
    <cellStyle name="40% - Accent4 3 2 3 3 2" xfId="22293" xr:uid="{2E7E0F18-5E62-4C84-AF83-AE7823445279}"/>
    <cellStyle name="40% - Accent4 3 2 3 3 3" xfId="30739" xr:uid="{DCA6B338-557D-4491-BBF4-5FC16AF7CB63}"/>
    <cellStyle name="40% - Accent4 3 2 3 3 4" xfId="13852" xr:uid="{4BD817C4-9D49-4550-A5AE-3B37520F647F}"/>
    <cellStyle name="40% - Accent4 3 2 3 4" xfId="18075" xr:uid="{04D3793E-2FB3-41AC-B02F-3A6005331964}"/>
    <cellStyle name="40% - Accent4 3 2 3 5" xfId="26520" xr:uid="{0D8EAD6E-7297-4753-91E8-05FD7B077475}"/>
    <cellStyle name="40% - Accent4 3 2 3 6" xfId="9634" xr:uid="{DAD684D2-1157-475C-B4CA-B2C7D258E714}"/>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24851" xr:uid="{EEC52753-D618-490A-8664-DBD6E73E7B9A}"/>
    <cellStyle name="40% - Accent4 3 2 4 2 2 3" xfId="33297" xr:uid="{3D0C613D-4EBC-421B-83BA-F5075833A53E}"/>
    <cellStyle name="40% - Accent4 3 2 4 2 2 4" xfId="16410" xr:uid="{D96E864C-419B-4DBE-BEF5-E844468C1BD9}"/>
    <cellStyle name="40% - Accent4 3 2 4 2 3" xfId="20633" xr:uid="{3136D5DB-581C-4A8C-9194-1EC196CD3BE6}"/>
    <cellStyle name="40% - Accent4 3 2 4 2 4" xfId="29080" xr:uid="{EB3543AB-D894-4082-B314-FDECFCE812E7}"/>
    <cellStyle name="40% - Accent4 3 2 4 2 5" xfId="12192" xr:uid="{1F236124-AB8B-47E8-B378-1E1C058A33C8}"/>
    <cellStyle name="40% - Accent4 3 2 4 3" xfId="5823" xr:uid="{00000000-0005-0000-0000-0000FF050000}"/>
    <cellStyle name="40% - Accent4 3 2 4 3 2" xfId="22706" xr:uid="{20D88208-220C-4F04-8D4A-ACC4DAAC7880}"/>
    <cellStyle name="40% - Accent4 3 2 4 3 3" xfId="31152" xr:uid="{FB062ACE-832E-4477-84D7-E0C46B63D1C1}"/>
    <cellStyle name="40% - Accent4 3 2 4 3 4" xfId="14265" xr:uid="{E5851F8C-E15B-43DD-8EF8-693799882AB6}"/>
    <cellStyle name="40% - Accent4 3 2 4 4" xfId="18488" xr:uid="{AB721DC1-92E6-427F-9894-45F956F51BDD}"/>
    <cellStyle name="40% - Accent4 3 2 4 5" xfId="26933" xr:uid="{7DB328AD-AB42-4659-A0A6-705792DC5D8A}"/>
    <cellStyle name="40% - Accent4 3 2 4 6" xfId="10047" xr:uid="{81F84AEE-4E16-4465-8D1C-646DE4670B17}"/>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25264" xr:uid="{A859740E-CF0C-4DFF-9BBE-C8B01661CCBC}"/>
    <cellStyle name="40% - Accent4 3 2 5 2 2 3" xfId="33710" xr:uid="{D0FF2CB4-7D54-41F3-A864-D439E90FC150}"/>
    <cellStyle name="40% - Accent4 3 2 5 2 2 4" xfId="16823" xr:uid="{B130AC0C-29C5-41DD-886D-5DEBD1B3B4E8}"/>
    <cellStyle name="40% - Accent4 3 2 5 2 3" xfId="21046" xr:uid="{D668EC0F-A7A0-4C6B-98B3-F87BDB2D9D20}"/>
    <cellStyle name="40% - Accent4 3 2 5 2 4" xfId="29493" xr:uid="{241422A0-525C-46D1-9FB6-C99287E98565}"/>
    <cellStyle name="40% - Accent4 3 2 5 2 5" xfId="12605" xr:uid="{CBB86923-1262-48FF-A50C-440EFA034C96}"/>
    <cellStyle name="40% - Accent4 3 2 5 3" xfId="6236" xr:uid="{00000000-0005-0000-0000-000003060000}"/>
    <cellStyle name="40% - Accent4 3 2 5 3 2" xfId="23119" xr:uid="{6504D3C9-7584-4358-BAF7-8BF1670189E5}"/>
    <cellStyle name="40% - Accent4 3 2 5 3 3" xfId="31565" xr:uid="{EC9F9ABE-446D-4555-B3D8-313C81EBB665}"/>
    <cellStyle name="40% - Accent4 3 2 5 3 4" xfId="14678" xr:uid="{8915BCB3-6C3A-4F39-87C9-3596A4A1D2B4}"/>
    <cellStyle name="40% - Accent4 3 2 5 4" xfId="18901" xr:uid="{0279EB50-68A5-4C0C-A607-6EF99C69AF96}"/>
    <cellStyle name="40% - Accent4 3 2 5 5" xfId="27346" xr:uid="{7083358C-6460-4A23-B8C1-A488760C0162}"/>
    <cellStyle name="40% - Accent4 3 2 5 6" xfId="10460" xr:uid="{7BDEBC57-680C-416A-8AB9-87A872E89B8C}"/>
    <cellStyle name="40% - Accent4 3 2 6" xfId="2342" xr:uid="{00000000-0005-0000-0000-000004060000}"/>
    <cellStyle name="40% - Accent4 3 2 6 2" xfId="6649" xr:uid="{00000000-0005-0000-0000-000005060000}"/>
    <cellStyle name="40% - Accent4 3 2 6 2 2" xfId="23532" xr:uid="{6DE750DF-3A84-426D-856D-5A3D4BF16449}"/>
    <cellStyle name="40% - Accent4 3 2 6 2 3" xfId="31978" xr:uid="{BABBAE3D-87CA-4B4F-BE6B-214425BEA5C7}"/>
    <cellStyle name="40% - Accent4 3 2 6 2 4" xfId="15091" xr:uid="{7FF9FDF1-15C8-4348-938B-D18D983A5C66}"/>
    <cellStyle name="40% - Accent4 3 2 6 3" xfId="19314" xr:uid="{53A51304-7571-4221-9EE5-A4D2C4AB3E50}"/>
    <cellStyle name="40% - Accent4 3 2 6 4" xfId="27759" xr:uid="{B5086740-645E-460B-B549-B822B7468894}"/>
    <cellStyle name="40% - Accent4 3 2 6 5" xfId="10873" xr:uid="{1F43B6AF-EC87-41C5-9D02-52D557A41059}"/>
    <cellStyle name="40% - Accent4 3 2 7" xfId="4583" xr:uid="{00000000-0005-0000-0000-000006060000}"/>
    <cellStyle name="40% - Accent4 3 2 7 2" xfId="21466" xr:uid="{FFAE50F0-A4ED-4ED8-88FA-1DC6B1A6B486}"/>
    <cellStyle name="40% - Accent4 3 2 7 3" xfId="29912" xr:uid="{5AFBE921-50C6-4EC7-9F54-0A708EF6F9BA}"/>
    <cellStyle name="40% - Accent4 3 2 7 4" xfId="13025" xr:uid="{B4A67947-5CB0-4834-A6B5-C42BFDCA272A}"/>
    <cellStyle name="40% - Accent4 3 2 8" xfId="17248" xr:uid="{665B447F-A980-45F4-BB77-C85979488E15}"/>
    <cellStyle name="40% - Accent4 3 2 9" xfId="25690" xr:uid="{AB2AC30B-A713-4108-955C-921BC56E87BF}"/>
    <cellStyle name="40% - Accent4 3 3" xfId="647" xr:uid="{00000000-0005-0000-0000-000007060000}"/>
    <cellStyle name="40% - Accent4 3 3 2" xfId="2918" xr:uid="{00000000-0005-0000-0000-000008060000}"/>
    <cellStyle name="40% - Accent4 3 3 2 2" xfId="7141" xr:uid="{00000000-0005-0000-0000-000009060000}"/>
    <cellStyle name="40% - Accent4 3 3 2 2 2" xfId="24024" xr:uid="{58073D32-E5B1-4535-9B5D-D47B0443363A}"/>
    <cellStyle name="40% - Accent4 3 3 2 2 3" xfId="32470" xr:uid="{588A2EB0-1BEE-4AF5-8745-93C24ADD489C}"/>
    <cellStyle name="40% - Accent4 3 3 2 2 4" xfId="15583" xr:uid="{67723D5F-DE39-4061-9ED6-0D92AE62490E}"/>
    <cellStyle name="40% - Accent4 3 3 2 3" xfId="19806" xr:uid="{B99C458D-6823-4110-A955-05503AD7A010}"/>
    <cellStyle name="40% - Accent4 3 3 2 4" xfId="28253" xr:uid="{D35861B1-9591-4D28-9F0B-8607E1FC4A5A}"/>
    <cellStyle name="40% - Accent4 3 3 2 5" xfId="11365" xr:uid="{F803B85F-7053-48AA-A4BE-9F220E30FF83}"/>
    <cellStyle name="40% - Accent4 3 3 3" xfId="4996" xr:uid="{00000000-0005-0000-0000-00000A060000}"/>
    <cellStyle name="40% - Accent4 3 3 3 2" xfId="21879" xr:uid="{261BD14C-A9A5-4E98-B109-5B4450C4FEF1}"/>
    <cellStyle name="40% - Accent4 3 3 3 3" xfId="30325" xr:uid="{20211FDF-DBE4-4214-8715-CCAF1E8DDD32}"/>
    <cellStyle name="40% - Accent4 3 3 3 4" xfId="13438" xr:uid="{FE5AAE9D-125F-4FBA-A892-0B1B2E4278BB}"/>
    <cellStyle name="40% - Accent4 3 3 4" xfId="17661" xr:uid="{F29F7F2D-AE68-4E0F-957B-217E91B22994}"/>
    <cellStyle name="40% - Accent4 3 3 5" xfId="26106" xr:uid="{4BF128ED-66DD-4E55-AA7A-92A8E2550BF0}"/>
    <cellStyle name="40% - Accent4 3 3 6" xfId="9220" xr:uid="{3E1C14AA-E85D-4A5F-8408-A1A4FEF5A607}"/>
    <cellStyle name="40% - Accent4 3 4" xfId="1100" xr:uid="{00000000-0005-0000-0000-00000B060000}"/>
    <cellStyle name="40% - Accent4 3 4 2" xfId="3331" xr:uid="{00000000-0005-0000-0000-00000C060000}"/>
    <cellStyle name="40% - Accent4 3 4 2 2" xfId="7554" xr:uid="{00000000-0005-0000-0000-00000D060000}"/>
    <cellStyle name="40% - Accent4 3 4 2 2 2" xfId="24437" xr:uid="{80A76138-E734-45E4-A51A-E1901CDAF75C}"/>
    <cellStyle name="40% - Accent4 3 4 2 2 3" xfId="32883" xr:uid="{66FE1527-7ACB-4CEB-89ED-6654CD5B2B18}"/>
    <cellStyle name="40% - Accent4 3 4 2 2 4" xfId="15996" xr:uid="{15D1C4D3-0EA8-43AA-80BC-A885539E53E1}"/>
    <cellStyle name="40% - Accent4 3 4 2 3" xfId="20219" xr:uid="{A0F0AC07-5A11-4D8A-9F9D-9419F85B8020}"/>
    <cellStyle name="40% - Accent4 3 4 2 4" xfId="28666" xr:uid="{60FDEF3F-85E6-4BF0-B226-9E05E023EA06}"/>
    <cellStyle name="40% - Accent4 3 4 2 5" xfId="11778" xr:uid="{74B0EB07-B8DC-42C8-B557-9E386B8DAAF2}"/>
    <cellStyle name="40% - Accent4 3 4 3" xfId="5409" xr:uid="{00000000-0005-0000-0000-00000E060000}"/>
    <cellStyle name="40% - Accent4 3 4 3 2" xfId="22292" xr:uid="{57484AF5-086D-483E-903A-EC9C5A72E23F}"/>
    <cellStyle name="40% - Accent4 3 4 3 3" xfId="30738" xr:uid="{8FDF09DD-8D0F-4416-A5D7-7AB536D1D3D1}"/>
    <cellStyle name="40% - Accent4 3 4 3 4" xfId="13851" xr:uid="{B66F1F06-1B36-419F-BF7F-FD68DF2CBFA2}"/>
    <cellStyle name="40% - Accent4 3 4 4" xfId="18074" xr:uid="{BE1676E1-9140-4AA6-80BB-7BC06EA77B40}"/>
    <cellStyle name="40% - Accent4 3 4 5" xfId="26519" xr:uid="{B14CE91F-E9B8-4163-B722-448A0D1181DD}"/>
    <cellStyle name="40% - Accent4 3 4 6" xfId="9633" xr:uid="{4673D438-0BB9-436E-B59B-55A2587F93A7}"/>
    <cellStyle name="40% - Accent4 3 5" xfId="1514" xr:uid="{00000000-0005-0000-0000-00000F060000}"/>
    <cellStyle name="40% - Accent4 3 5 2" xfId="3744" xr:uid="{00000000-0005-0000-0000-000010060000}"/>
    <cellStyle name="40% - Accent4 3 5 2 2" xfId="7967" xr:uid="{00000000-0005-0000-0000-000011060000}"/>
    <cellStyle name="40% - Accent4 3 5 2 2 2" xfId="24850" xr:uid="{E30BA87F-EDE6-433D-A70E-BDE13568310D}"/>
    <cellStyle name="40% - Accent4 3 5 2 2 3" xfId="33296" xr:uid="{0B05C740-EE57-467F-838B-BCF1B2C55426}"/>
    <cellStyle name="40% - Accent4 3 5 2 2 4" xfId="16409" xr:uid="{3E350B68-8A38-4DD5-A0A3-69A116974749}"/>
    <cellStyle name="40% - Accent4 3 5 2 3" xfId="20632" xr:uid="{C5E92C8C-B0A1-4530-A92D-2F990E2EF79E}"/>
    <cellStyle name="40% - Accent4 3 5 2 4" xfId="29079" xr:uid="{94C2E224-FCBB-486A-BF32-FDC27DF92769}"/>
    <cellStyle name="40% - Accent4 3 5 2 5" xfId="12191" xr:uid="{CD98BAAF-5279-48EC-81F5-0FF0415E2628}"/>
    <cellStyle name="40% - Accent4 3 5 3" xfId="5822" xr:uid="{00000000-0005-0000-0000-000012060000}"/>
    <cellStyle name="40% - Accent4 3 5 3 2" xfId="22705" xr:uid="{A69B359D-E592-4AE2-8E76-853477A1408C}"/>
    <cellStyle name="40% - Accent4 3 5 3 3" xfId="31151" xr:uid="{E11A8E22-BDA8-4761-A523-A659CA96EFB5}"/>
    <cellStyle name="40% - Accent4 3 5 3 4" xfId="14264" xr:uid="{2EC55A5A-A463-4A0E-9AB2-ADA3337D5C24}"/>
    <cellStyle name="40% - Accent4 3 5 4" xfId="18487" xr:uid="{9B7A5BD7-ADFE-4C32-AEAD-B9841A69C951}"/>
    <cellStyle name="40% - Accent4 3 5 5" xfId="26932" xr:uid="{21CD478F-8330-402B-970E-F656EA1D1037}"/>
    <cellStyle name="40% - Accent4 3 5 6" xfId="10046" xr:uid="{08DABDD6-7329-4A22-B7F3-6D25B37B180F}"/>
    <cellStyle name="40% - Accent4 3 6" xfId="1928" xr:uid="{00000000-0005-0000-0000-000013060000}"/>
    <cellStyle name="40% - Accent4 3 6 2" xfId="4157" xr:uid="{00000000-0005-0000-0000-000014060000}"/>
    <cellStyle name="40% - Accent4 3 6 2 2" xfId="8380" xr:uid="{00000000-0005-0000-0000-000015060000}"/>
    <cellStyle name="40% - Accent4 3 6 2 2 2" xfId="25263" xr:uid="{CF559700-77D9-4B22-A32C-A3314C6DF6B7}"/>
    <cellStyle name="40% - Accent4 3 6 2 2 3" xfId="33709" xr:uid="{FDA1B95E-DD5D-49A2-8FCC-9C1C7C5D3D01}"/>
    <cellStyle name="40% - Accent4 3 6 2 2 4" xfId="16822" xr:uid="{2FB9592D-B814-4624-AB7F-8E4847F9035F}"/>
    <cellStyle name="40% - Accent4 3 6 2 3" xfId="21045" xr:uid="{E4A9FEA5-C3A5-4A98-92A4-77078C6AEFCD}"/>
    <cellStyle name="40% - Accent4 3 6 2 4" xfId="29492" xr:uid="{035F7808-798F-4E9B-9B77-5FD95A7DC105}"/>
    <cellStyle name="40% - Accent4 3 6 2 5" xfId="12604" xr:uid="{2D7F9E5E-B6C8-4BAF-BE50-641AC76F9F1F}"/>
    <cellStyle name="40% - Accent4 3 6 3" xfId="6235" xr:uid="{00000000-0005-0000-0000-000016060000}"/>
    <cellStyle name="40% - Accent4 3 6 3 2" xfId="23118" xr:uid="{F01B4535-0178-4D8A-AA00-12A76A08DA72}"/>
    <cellStyle name="40% - Accent4 3 6 3 3" xfId="31564" xr:uid="{31F2ABA8-BAF5-4250-A030-94F10850ACFB}"/>
    <cellStyle name="40% - Accent4 3 6 3 4" xfId="14677" xr:uid="{1D51CB3C-D38B-405D-A5A0-D1B6083C37E2}"/>
    <cellStyle name="40% - Accent4 3 6 4" xfId="18900" xr:uid="{7BCC77F2-352D-4596-B412-EF4B77F040D0}"/>
    <cellStyle name="40% - Accent4 3 6 5" xfId="27345" xr:uid="{A8853AF5-AF9D-4CC6-8175-B6828B09EF99}"/>
    <cellStyle name="40% - Accent4 3 6 6" xfId="10459" xr:uid="{0A485D34-2ED1-4C51-BF17-9199FB69571E}"/>
    <cellStyle name="40% - Accent4 3 7" xfId="2341" xr:uid="{00000000-0005-0000-0000-000017060000}"/>
    <cellStyle name="40% - Accent4 3 7 2" xfId="6648" xr:uid="{00000000-0005-0000-0000-000018060000}"/>
    <cellStyle name="40% - Accent4 3 7 2 2" xfId="23531" xr:uid="{9829DE0A-83BF-49A2-B3EF-F07532990818}"/>
    <cellStyle name="40% - Accent4 3 7 2 3" xfId="31977" xr:uid="{9D22AF4E-5168-4A9C-8636-B2AB4D9A48EB}"/>
    <cellStyle name="40% - Accent4 3 7 2 4" xfId="15090" xr:uid="{9A739906-C582-4416-9231-FA36059A806B}"/>
    <cellStyle name="40% - Accent4 3 7 3" xfId="19313" xr:uid="{84DF0091-0060-48D5-B7E0-CD0D7E3E9D73}"/>
    <cellStyle name="40% - Accent4 3 7 4" xfId="27758" xr:uid="{08786A8E-2A8F-4D91-BB11-14687CA85409}"/>
    <cellStyle name="40% - Accent4 3 7 5" xfId="10872" xr:uid="{9E68C61A-F03F-4640-81A3-AE24D068EC17}"/>
    <cellStyle name="40% - Accent4 3 8" xfId="4582" xr:uid="{00000000-0005-0000-0000-000019060000}"/>
    <cellStyle name="40% - Accent4 3 8 2" xfId="21465" xr:uid="{87474E5E-AA8D-4B6E-AD13-D06E4E247055}"/>
    <cellStyle name="40% - Accent4 3 8 3" xfId="29911" xr:uid="{8251ED1D-1813-4283-9F55-4FC90C6ED04D}"/>
    <cellStyle name="40% - Accent4 3 8 4" xfId="13024" xr:uid="{B0A8EB46-94B6-4E21-AA05-B06C6CACB910}"/>
    <cellStyle name="40% - Accent4 3 9" xfId="17247" xr:uid="{10A83188-607A-4031-B685-B96C4C216D7D}"/>
    <cellStyle name="40% - Accent4 4" xfId="80" xr:uid="{00000000-0005-0000-0000-00001A060000}"/>
    <cellStyle name="40% - Accent4 4 10" xfId="8808" xr:uid="{26B116DE-6A09-4C53-A424-1A6E5BC4D4A6}"/>
    <cellStyle name="40% - Accent4 4 2" xfId="649" xr:uid="{00000000-0005-0000-0000-00001B060000}"/>
    <cellStyle name="40% - Accent4 4 2 2" xfId="2920" xr:uid="{00000000-0005-0000-0000-00001C060000}"/>
    <cellStyle name="40% - Accent4 4 2 2 2" xfId="7143" xr:uid="{00000000-0005-0000-0000-00001D060000}"/>
    <cellStyle name="40% - Accent4 4 2 2 2 2" xfId="24026" xr:uid="{B1F9E70C-5912-4199-87FB-123A8AC3C684}"/>
    <cellStyle name="40% - Accent4 4 2 2 2 3" xfId="32472" xr:uid="{E26745D5-CD08-46FA-8229-C209388C4CF2}"/>
    <cellStyle name="40% - Accent4 4 2 2 2 4" xfId="15585" xr:uid="{C42F1D88-D5EA-4197-8DA6-DD33C80ACACD}"/>
    <cellStyle name="40% - Accent4 4 2 2 3" xfId="19808" xr:uid="{0A9851B1-DF33-4EE3-B3F6-2F6ACE18ACEF}"/>
    <cellStyle name="40% - Accent4 4 2 2 4" xfId="28255" xr:uid="{137796C7-EF5E-4157-8108-D2D7AB678C8C}"/>
    <cellStyle name="40% - Accent4 4 2 2 5" xfId="11367" xr:uid="{FC7A7CDD-B450-418A-B37D-F95BD9790D71}"/>
    <cellStyle name="40% - Accent4 4 2 3" xfId="4998" xr:uid="{00000000-0005-0000-0000-00001E060000}"/>
    <cellStyle name="40% - Accent4 4 2 3 2" xfId="21881" xr:uid="{2B71A6C8-657E-44D6-91F1-B2D753DA504D}"/>
    <cellStyle name="40% - Accent4 4 2 3 3" xfId="30327" xr:uid="{79C6A7A2-442A-49D7-9DA6-D8D28034153E}"/>
    <cellStyle name="40% - Accent4 4 2 3 4" xfId="13440" xr:uid="{A596A278-40FF-47C3-8962-05578BC5C6CA}"/>
    <cellStyle name="40% - Accent4 4 2 4" xfId="17663" xr:uid="{3795C3DC-6259-4F2D-8E01-5BBDDCEAF3E6}"/>
    <cellStyle name="40% - Accent4 4 2 5" xfId="26108" xr:uid="{896444A4-9394-4276-BB8E-DD008674DCEF}"/>
    <cellStyle name="40% - Accent4 4 2 6" xfId="9222" xr:uid="{6521D555-75BC-45F9-A11F-15CC0AD797D5}"/>
    <cellStyle name="40% - Accent4 4 3" xfId="1102" xr:uid="{00000000-0005-0000-0000-00001F060000}"/>
    <cellStyle name="40% - Accent4 4 3 2" xfId="3333" xr:uid="{00000000-0005-0000-0000-000020060000}"/>
    <cellStyle name="40% - Accent4 4 3 2 2" xfId="7556" xr:uid="{00000000-0005-0000-0000-000021060000}"/>
    <cellStyle name="40% - Accent4 4 3 2 2 2" xfId="24439" xr:uid="{49BDE5FF-BAFA-4AB3-8770-BFD561EAAA0F}"/>
    <cellStyle name="40% - Accent4 4 3 2 2 3" xfId="32885" xr:uid="{17AB00CC-6820-4B85-852F-4CCB525F0389}"/>
    <cellStyle name="40% - Accent4 4 3 2 2 4" xfId="15998" xr:uid="{8C77D44E-5A5F-4CD9-B195-502D9D124CF9}"/>
    <cellStyle name="40% - Accent4 4 3 2 3" xfId="20221" xr:uid="{CFA79474-0E1D-4A07-81FB-0DF427BD7F29}"/>
    <cellStyle name="40% - Accent4 4 3 2 4" xfId="28668" xr:uid="{427ED15C-DE62-4C31-B962-EDFEA4062FE7}"/>
    <cellStyle name="40% - Accent4 4 3 2 5" xfId="11780" xr:uid="{AD879669-E2D5-45DC-8699-7965892AD2FE}"/>
    <cellStyle name="40% - Accent4 4 3 3" xfId="5411" xr:uid="{00000000-0005-0000-0000-000022060000}"/>
    <cellStyle name="40% - Accent4 4 3 3 2" xfId="22294" xr:uid="{04B53564-265C-409D-91C4-638B4228B9FA}"/>
    <cellStyle name="40% - Accent4 4 3 3 3" xfId="30740" xr:uid="{EA32276B-5844-418D-827D-3BE50AD409CB}"/>
    <cellStyle name="40% - Accent4 4 3 3 4" xfId="13853" xr:uid="{2B97C3D3-2D52-4BA0-9FE7-BAC3669606E1}"/>
    <cellStyle name="40% - Accent4 4 3 4" xfId="18076" xr:uid="{6BA874B3-EFCB-49F8-B1FF-68140D938877}"/>
    <cellStyle name="40% - Accent4 4 3 5" xfId="26521" xr:uid="{F994B1EE-FA60-4DA4-848A-D99AA19834AB}"/>
    <cellStyle name="40% - Accent4 4 3 6" xfId="9635" xr:uid="{56B2A921-DAE0-4D5E-BA7D-9E7EA97DE33B}"/>
    <cellStyle name="40% - Accent4 4 4" xfId="1516" xr:uid="{00000000-0005-0000-0000-000023060000}"/>
    <cellStyle name="40% - Accent4 4 4 2" xfId="3746" xr:uid="{00000000-0005-0000-0000-000024060000}"/>
    <cellStyle name="40% - Accent4 4 4 2 2" xfId="7969" xr:uid="{00000000-0005-0000-0000-000025060000}"/>
    <cellStyle name="40% - Accent4 4 4 2 2 2" xfId="24852" xr:uid="{A661D587-AA8E-4002-A963-501B1A25D051}"/>
    <cellStyle name="40% - Accent4 4 4 2 2 3" xfId="33298" xr:uid="{23911905-7DCA-488E-89E9-F83D3EE2CFA2}"/>
    <cellStyle name="40% - Accent4 4 4 2 2 4" xfId="16411" xr:uid="{603843FF-7667-4DCF-82EC-BFCA0CCFCF40}"/>
    <cellStyle name="40% - Accent4 4 4 2 3" xfId="20634" xr:uid="{2C597CBA-CD6F-4217-9C39-DC5976CB77F9}"/>
    <cellStyle name="40% - Accent4 4 4 2 4" xfId="29081" xr:uid="{301B6102-80EB-4FE9-A154-07B03953511C}"/>
    <cellStyle name="40% - Accent4 4 4 2 5" xfId="12193" xr:uid="{9AFAAF23-7048-4C68-90A9-C04A508E4A14}"/>
    <cellStyle name="40% - Accent4 4 4 3" xfId="5824" xr:uid="{00000000-0005-0000-0000-000026060000}"/>
    <cellStyle name="40% - Accent4 4 4 3 2" xfId="22707" xr:uid="{705E1042-D776-4C91-BE3E-A828C8C18F9E}"/>
    <cellStyle name="40% - Accent4 4 4 3 3" xfId="31153" xr:uid="{B53A4389-F56B-4EDF-8830-66C19E0D0FDA}"/>
    <cellStyle name="40% - Accent4 4 4 3 4" xfId="14266" xr:uid="{6CCA7C6B-53FD-4BF9-ABF7-CB3F427D1C85}"/>
    <cellStyle name="40% - Accent4 4 4 4" xfId="18489" xr:uid="{520251DE-0386-4ADE-90A7-C67439E049FA}"/>
    <cellStyle name="40% - Accent4 4 4 5" xfId="26934" xr:uid="{A6A05430-3A49-483A-A034-0CAF6F07B8AC}"/>
    <cellStyle name="40% - Accent4 4 4 6" xfId="10048" xr:uid="{39B512DF-FB53-4129-984C-DD2C68673C94}"/>
    <cellStyle name="40% - Accent4 4 5" xfId="1930" xr:uid="{00000000-0005-0000-0000-000027060000}"/>
    <cellStyle name="40% - Accent4 4 5 2" xfId="4159" xr:uid="{00000000-0005-0000-0000-000028060000}"/>
    <cellStyle name="40% - Accent4 4 5 2 2" xfId="8382" xr:uid="{00000000-0005-0000-0000-000029060000}"/>
    <cellStyle name="40% - Accent4 4 5 2 2 2" xfId="25265" xr:uid="{C9018ED3-0CC8-426F-9F3D-C313B066CBE3}"/>
    <cellStyle name="40% - Accent4 4 5 2 2 3" xfId="33711" xr:uid="{305F6889-43AF-45A1-A837-3BE991B8F491}"/>
    <cellStyle name="40% - Accent4 4 5 2 2 4" xfId="16824" xr:uid="{7BE38733-C209-41C3-A9D6-83DA8AA11447}"/>
    <cellStyle name="40% - Accent4 4 5 2 3" xfId="21047" xr:uid="{55AC7B8D-2A5D-4290-A79A-9283887C6C28}"/>
    <cellStyle name="40% - Accent4 4 5 2 4" xfId="29494" xr:uid="{87A85932-040C-4D7E-BBFA-210731C10A6D}"/>
    <cellStyle name="40% - Accent4 4 5 2 5" xfId="12606" xr:uid="{5F76DAA1-97D5-40D1-A1D5-B9E84BBE2908}"/>
    <cellStyle name="40% - Accent4 4 5 3" xfId="6237" xr:uid="{00000000-0005-0000-0000-00002A060000}"/>
    <cellStyle name="40% - Accent4 4 5 3 2" xfId="23120" xr:uid="{B169AE58-992B-455E-9BFA-F7AF6CE5CE5B}"/>
    <cellStyle name="40% - Accent4 4 5 3 3" xfId="31566" xr:uid="{79F94251-F35A-49C7-97BA-FE1008D52B27}"/>
    <cellStyle name="40% - Accent4 4 5 3 4" xfId="14679" xr:uid="{4D072E8A-967F-4034-9AC0-DA682136005A}"/>
    <cellStyle name="40% - Accent4 4 5 4" xfId="18902" xr:uid="{7A8ED391-658C-469A-9847-9499215CB62A}"/>
    <cellStyle name="40% - Accent4 4 5 5" xfId="27347" xr:uid="{28D87752-E940-4C0C-8886-F5FF4486DAF4}"/>
    <cellStyle name="40% - Accent4 4 5 6" xfId="10461" xr:uid="{0E66FC0F-5FF1-4B94-9625-E2765AA53B50}"/>
    <cellStyle name="40% - Accent4 4 6" xfId="2343" xr:uid="{00000000-0005-0000-0000-00002B060000}"/>
    <cellStyle name="40% - Accent4 4 6 2" xfId="6650" xr:uid="{00000000-0005-0000-0000-00002C060000}"/>
    <cellStyle name="40% - Accent4 4 6 2 2" xfId="23533" xr:uid="{C9EAD138-A150-445A-AD02-9D664E24A733}"/>
    <cellStyle name="40% - Accent4 4 6 2 3" xfId="31979" xr:uid="{27028537-0CAA-4978-883B-D593CA6CCC2C}"/>
    <cellStyle name="40% - Accent4 4 6 2 4" xfId="15092" xr:uid="{A904D986-83F2-4904-B66C-438E30BAE04D}"/>
    <cellStyle name="40% - Accent4 4 6 3" xfId="19315" xr:uid="{36A3CA13-CD52-4457-AA4D-854C0D1D7464}"/>
    <cellStyle name="40% - Accent4 4 6 4" xfId="27760" xr:uid="{4AC33AE4-B7EA-45DC-BA7A-6FF538FE9ECC}"/>
    <cellStyle name="40% - Accent4 4 6 5" xfId="10874" xr:uid="{5447B7E1-E190-43CD-80B0-3AB2369ED1E4}"/>
    <cellStyle name="40% - Accent4 4 7" xfId="4584" xr:uid="{00000000-0005-0000-0000-00002D060000}"/>
    <cellStyle name="40% - Accent4 4 7 2" xfId="21467" xr:uid="{D36A465C-3500-4476-9BF3-465085771298}"/>
    <cellStyle name="40% - Accent4 4 7 3" xfId="29913" xr:uid="{78F2FFB4-A0A9-4A45-B6A9-9779C031B1D9}"/>
    <cellStyle name="40% - Accent4 4 7 4" xfId="13026" xr:uid="{B8F05F2F-0292-4AAF-BCE1-368D5962BB29}"/>
    <cellStyle name="40% - Accent4 4 8" xfId="17249" xr:uid="{EB9684C9-AA8D-454E-A096-8ED93165F5F5}"/>
    <cellStyle name="40% - Accent4 4 9" xfId="25691" xr:uid="{5658C9F4-BEBA-42CA-892B-5CC9AFFA91B7}"/>
    <cellStyle name="40% - Accent4 5" xfId="642" xr:uid="{00000000-0005-0000-0000-00002E060000}"/>
    <cellStyle name="40% - Accent4 5 2" xfId="2913" xr:uid="{00000000-0005-0000-0000-00002F060000}"/>
    <cellStyle name="40% - Accent4 5 2 2" xfId="7136" xr:uid="{00000000-0005-0000-0000-000030060000}"/>
    <cellStyle name="40% - Accent4 5 2 2 2" xfId="24019" xr:uid="{4D96DB77-4BEF-4149-8887-9243CB85019A}"/>
    <cellStyle name="40% - Accent4 5 2 2 3" xfId="32465" xr:uid="{E23EFDE2-37FD-4B07-ABBA-E6061C376B3C}"/>
    <cellStyle name="40% - Accent4 5 2 2 4" xfId="15578" xr:uid="{93B425DC-244B-4975-9AB6-ADA07BFCD9F4}"/>
    <cellStyle name="40% - Accent4 5 2 3" xfId="19801" xr:uid="{5B6D809B-4746-4DB7-B80F-5102795CD715}"/>
    <cellStyle name="40% - Accent4 5 2 4" xfId="28248" xr:uid="{ACB37E5D-DD28-49EA-A656-4597574B4877}"/>
    <cellStyle name="40% - Accent4 5 2 5" xfId="11360" xr:uid="{5B067A6D-8530-416A-919E-825E09FF484B}"/>
    <cellStyle name="40% - Accent4 5 3" xfId="4991" xr:uid="{00000000-0005-0000-0000-000031060000}"/>
    <cellStyle name="40% - Accent4 5 3 2" xfId="21874" xr:uid="{04DE8ECB-0FC5-4FF0-B63F-9D5751D7CF03}"/>
    <cellStyle name="40% - Accent4 5 3 3" xfId="30320" xr:uid="{599FB874-A158-4ED0-AA8D-9981BD8250E7}"/>
    <cellStyle name="40% - Accent4 5 3 4" xfId="13433" xr:uid="{DEF19CA6-F753-493F-B9AE-F35B353718B8}"/>
    <cellStyle name="40% - Accent4 5 4" xfId="17656" xr:uid="{5C73C24C-7FBE-4B42-855D-AFCC7D192C2D}"/>
    <cellStyle name="40% - Accent4 5 5" xfId="26101" xr:uid="{468B3D11-6CC6-44D6-A38C-9094C335F7AE}"/>
    <cellStyle name="40% - Accent4 5 6" xfId="9215" xr:uid="{5BC5C640-1053-4600-9A29-9DA370497E79}"/>
    <cellStyle name="40% - Accent4 6" xfId="1095" xr:uid="{00000000-0005-0000-0000-000032060000}"/>
    <cellStyle name="40% - Accent4 6 2" xfId="3326" xr:uid="{00000000-0005-0000-0000-000033060000}"/>
    <cellStyle name="40% - Accent4 6 2 2" xfId="7549" xr:uid="{00000000-0005-0000-0000-000034060000}"/>
    <cellStyle name="40% - Accent4 6 2 2 2" xfId="24432" xr:uid="{5646B84F-4F55-4361-892C-9D3A7C1AEDE3}"/>
    <cellStyle name="40% - Accent4 6 2 2 3" xfId="32878" xr:uid="{0C58132A-73EA-438C-9200-D4450585036D}"/>
    <cellStyle name="40% - Accent4 6 2 2 4" xfId="15991" xr:uid="{DF540EAF-1EDB-427E-86A9-1343C1FC73D9}"/>
    <cellStyle name="40% - Accent4 6 2 3" xfId="20214" xr:uid="{3A0D5150-781B-4365-915C-483DE2E9C158}"/>
    <cellStyle name="40% - Accent4 6 2 4" xfId="28661" xr:uid="{B158F254-9121-4E55-A0DA-5DC5DD2A342F}"/>
    <cellStyle name="40% - Accent4 6 2 5" xfId="11773" xr:uid="{6895DD83-60DB-44B3-8857-93003A005CC5}"/>
    <cellStyle name="40% - Accent4 6 3" xfId="5404" xr:uid="{00000000-0005-0000-0000-000035060000}"/>
    <cellStyle name="40% - Accent4 6 3 2" xfId="22287" xr:uid="{B8B4DFDB-5A3B-4FAF-A582-77C4923E802B}"/>
    <cellStyle name="40% - Accent4 6 3 3" xfId="30733" xr:uid="{16AF86EB-53FD-48D0-83F1-48C5899F8DA6}"/>
    <cellStyle name="40% - Accent4 6 3 4" xfId="13846" xr:uid="{00622424-89FA-4648-8D50-2EC971717260}"/>
    <cellStyle name="40% - Accent4 6 4" xfId="18069" xr:uid="{FEDDE290-638F-41D2-A60D-F54BB988E94D}"/>
    <cellStyle name="40% - Accent4 6 5" xfId="26514" xr:uid="{2633F8B3-15C6-4721-97BD-95425AA96071}"/>
    <cellStyle name="40% - Accent4 6 6" xfId="9628" xr:uid="{5C438364-004F-4379-9E58-EBE5BCEBE942}"/>
    <cellStyle name="40% - Accent4 7" xfId="1509" xr:uid="{00000000-0005-0000-0000-000036060000}"/>
    <cellStyle name="40% - Accent4 7 2" xfId="3739" xr:uid="{00000000-0005-0000-0000-000037060000}"/>
    <cellStyle name="40% - Accent4 7 2 2" xfId="7962" xr:uid="{00000000-0005-0000-0000-000038060000}"/>
    <cellStyle name="40% - Accent4 7 2 2 2" xfId="24845" xr:uid="{2F5B6789-743E-43A7-8D26-A34A1EA21CDD}"/>
    <cellStyle name="40% - Accent4 7 2 2 3" xfId="33291" xr:uid="{5C9A7DF1-9178-4B12-A7AA-FFB7E1DD9A01}"/>
    <cellStyle name="40% - Accent4 7 2 2 4" xfId="16404" xr:uid="{D91C8714-ABF3-4849-A5C8-7EF356EA2AB8}"/>
    <cellStyle name="40% - Accent4 7 2 3" xfId="20627" xr:uid="{A3D53280-BFAD-4AA9-8C25-F8CA8630402F}"/>
    <cellStyle name="40% - Accent4 7 2 4" xfId="29074" xr:uid="{E8FEA262-E33F-48C0-95BC-3D4045A22468}"/>
    <cellStyle name="40% - Accent4 7 2 5" xfId="12186" xr:uid="{2D319BD8-6CBC-4D14-BFDE-E7DBA3AF343C}"/>
    <cellStyle name="40% - Accent4 7 3" xfId="5817" xr:uid="{00000000-0005-0000-0000-000039060000}"/>
    <cellStyle name="40% - Accent4 7 3 2" xfId="22700" xr:uid="{ACB00831-1A39-4639-BCCE-84CA4A8D1304}"/>
    <cellStyle name="40% - Accent4 7 3 3" xfId="31146" xr:uid="{F4D3D8C4-B6B0-4D38-BE0B-06DBD4BA2BCA}"/>
    <cellStyle name="40% - Accent4 7 3 4" xfId="14259" xr:uid="{C1A7377E-FBC6-48D3-98E6-FB72559388DF}"/>
    <cellStyle name="40% - Accent4 7 4" xfId="18482" xr:uid="{E4B5DF80-6E19-4FBB-A7B1-31930698ECB2}"/>
    <cellStyle name="40% - Accent4 7 5" xfId="26927" xr:uid="{8BFBA520-2E09-45A1-9C70-C83970EB4081}"/>
    <cellStyle name="40% - Accent4 7 6" xfId="10041" xr:uid="{9F0E6634-8EA4-4B6E-A2E0-82C29D33EA0C}"/>
    <cellStyle name="40% - Accent4 8" xfId="1923" xr:uid="{00000000-0005-0000-0000-00003A060000}"/>
    <cellStyle name="40% - Accent4 8 2" xfId="4152" xr:uid="{00000000-0005-0000-0000-00003B060000}"/>
    <cellStyle name="40% - Accent4 8 2 2" xfId="8375" xr:uid="{00000000-0005-0000-0000-00003C060000}"/>
    <cellStyle name="40% - Accent4 8 2 2 2" xfId="25258" xr:uid="{9DAC6082-D1F8-46D2-BA9B-05392F72534A}"/>
    <cellStyle name="40% - Accent4 8 2 2 3" xfId="33704" xr:uid="{16C28E14-7D0D-48EB-A64C-3271256497A4}"/>
    <cellStyle name="40% - Accent4 8 2 2 4" xfId="16817" xr:uid="{99D171DB-7F54-466A-976E-67DA81E0F261}"/>
    <cellStyle name="40% - Accent4 8 2 3" xfId="21040" xr:uid="{66848BE0-67B8-4FF8-B8A8-F2759B63F50A}"/>
    <cellStyle name="40% - Accent4 8 2 4" xfId="29487" xr:uid="{CA63C5C2-675F-4E2E-9CE7-478FDF949F09}"/>
    <cellStyle name="40% - Accent4 8 2 5" xfId="12599" xr:uid="{D5638A29-C8EF-42EB-BC9E-F74249A32746}"/>
    <cellStyle name="40% - Accent4 8 3" xfId="6230" xr:uid="{00000000-0005-0000-0000-00003D060000}"/>
    <cellStyle name="40% - Accent4 8 3 2" xfId="23113" xr:uid="{7BEEE7F2-37CF-488C-A142-97ACC488A45B}"/>
    <cellStyle name="40% - Accent4 8 3 3" xfId="31559" xr:uid="{1A93B671-F8EF-4DEA-82E0-99ECC01072DC}"/>
    <cellStyle name="40% - Accent4 8 3 4" xfId="14672" xr:uid="{3C8A31A1-6FBE-4126-8123-6A2914A48E1E}"/>
    <cellStyle name="40% - Accent4 8 4" xfId="18895" xr:uid="{E7C2A912-E9ED-4306-A683-C3995D235B22}"/>
    <cellStyle name="40% - Accent4 8 5" xfId="27340" xr:uid="{6E130056-2763-4734-9D02-B257965BD578}"/>
    <cellStyle name="40% - Accent4 8 6" xfId="10454" xr:uid="{85D3CDB5-D2A8-4169-BD6A-2E1825227E74}"/>
    <cellStyle name="40% - Accent4 9" xfId="2336" xr:uid="{00000000-0005-0000-0000-00003E060000}"/>
    <cellStyle name="40% - Accent4 9 2" xfId="6643" xr:uid="{00000000-0005-0000-0000-00003F060000}"/>
    <cellStyle name="40% - Accent4 9 2 2" xfId="23526" xr:uid="{C65F7313-1E00-42D1-B9F1-597D4538A109}"/>
    <cellStyle name="40% - Accent4 9 2 3" xfId="31972" xr:uid="{8D50C254-90CB-49D8-9E7A-D3BFA074E1E1}"/>
    <cellStyle name="40% - Accent4 9 2 4" xfId="15085" xr:uid="{00ADBE7A-0146-4BB8-936E-58C3C86B524B}"/>
    <cellStyle name="40% - Accent4 9 3" xfId="19308" xr:uid="{A962B4C2-7038-494B-BD4B-2D15BCCD1D36}"/>
    <cellStyle name="40% - Accent4 9 4" xfId="27753" xr:uid="{2E0778BB-8532-4789-91AA-6487F3428463}"/>
    <cellStyle name="40% - Accent4 9 5" xfId="10867" xr:uid="{586F7EF6-6264-4F0C-975E-30DD845690DA}"/>
    <cellStyle name="40% - Accent5" xfId="81" builtinId="47" customBuiltin="1"/>
    <cellStyle name="40% - Accent5 10" xfId="4585" xr:uid="{00000000-0005-0000-0000-000041060000}"/>
    <cellStyle name="40% - Accent5 10 2" xfId="21468" xr:uid="{BC4F6455-291A-4295-A585-F743C45E4533}"/>
    <cellStyle name="40% - Accent5 10 3" xfId="29914" xr:uid="{4ABF1530-A3FA-4B9D-98D7-9712D9F61245}"/>
    <cellStyle name="40% - Accent5 10 4" xfId="13027" xr:uid="{E07F3B2E-CE08-4E01-91B2-F1880AD1EF8D}"/>
    <cellStyle name="40% - Accent5 11" xfId="17250" xr:uid="{37178ABF-4E63-463A-966A-3E0CBCF109D7}"/>
    <cellStyle name="40% - Accent5 12" xfId="25692" xr:uid="{C264501C-7008-4FD4-864E-DB6DE8472012}"/>
    <cellStyle name="40% - Accent5 13" xfId="8809" xr:uid="{34020B18-F251-4528-A700-678E66E0562A}"/>
    <cellStyle name="40% - Accent5 2" xfId="82" xr:uid="{00000000-0005-0000-0000-000042060000}"/>
    <cellStyle name="40% - Accent5 2 10" xfId="17251" xr:uid="{EA003F1B-2B42-43EC-9738-DEA359A31EFE}"/>
    <cellStyle name="40% - Accent5 2 11" xfId="25693" xr:uid="{AD2BB58F-77F6-4CDC-9BB1-CE341E51EB5C}"/>
    <cellStyle name="40% - Accent5 2 12" xfId="8810" xr:uid="{5CF4A08C-9C86-433A-AA5C-61292D7206F2}"/>
    <cellStyle name="40% - Accent5 2 2" xfId="83" xr:uid="{00000000-0005-0000-0000-000043060000}"/>
    <cellStyle name="40% - Accent5 2 2 10" xfId="25694" xr:uid="{D05D8F1B-5681-44DA-9EEF-EA22DB392C13}"/>
    <cellStyle name="40% - Accent5 2 2 11" xfId="8811" xr:uid="{58480279-3596-4F0B-91EA-405E4816C503}"/>
    <cellStyle name="40% - Accent5 2 2 2" xfId="84" xr:uid="{00000000-0005-0000-0000-000044060000}"/>
    <cellStyle name="40% - Accent5 2 2 2 10" xfId="8812" xr:uid="{0B953FCD-008C-4323-8EAF-AAD322A3C1AC}"/>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24030" xr:uid="{F95EAC9C-861B-4E26-9E98-AD44D59F5701}"/>
    <cellStyle name="40% - Accent5 2 2 2 2 2 2 3" xfId="32476" xr:uid="{A1B765BE-2560-434C-802E-7BA80C05612A}"/>
    <cellStyle name="40% - Accent5 2 2 2 2 2 2 4" xfId="15589" xr:uid="{7567C6F7-2377-46C6-ABAA-F7F37A16717F}"/>
    <cellStyle name="40% - Accent5 2 2 2 2 2 3" xfId="19812" xr:uid="{9D00373A-8B7D-4752-A081-2202407DD8B2}"/>
    <cellStyle name="40% - Accent5 2 2 2 2 2 4" xfId="28259" xr:uid="{A826AF6D-446D-47F8-897A-C7F7A3DF91A2}"/>
    <cellStyle name="40% - Accent5 2 2 2 2 2 5" xfId="11371" xr:uid="{2B4992AD-770A-439D-9966-7BF994025307}"/>
    <cellStyle name="40% - Accent5 2 2 2 2 3" xfId="5002" xr:uid="{00000000-0005-0000-0000-000048060000}"/>
    <cellStyle name="40% - Accent5 2 2 2 2 3 2" xfId="21885" xr:uid="{9D3E7130-9C67-43E2-9F91-457215EDEDB8}"/>
    <cellStyle name="40% - Accent5 2 2 2 2 3 3" xfId="30331" xr:uid="{65BADB6F-BD8D-45D7-97C5-3AC2811B845F}"/>
    <cellStyle name="40% - Accent5 2 2 2 2 3 4" xfId="13444" xr:uid="{BAECE6C8-F425-4C71-BA6A-DFC6791D56F6}"/>
    <cellStyle name="40% - Accent5 2 2 2 2 4" xfId="17667" xr:uid="{1C78BB9A-E69D-4BAD-B319-2B169F18E27C}"/>
    <cellStyle name="40% - Accent5 2 2 2 2 5" xfId="26112" xr:uid="{B868F8BB-E56D-4FA8-8ABD-6F27D133A68E}"/>
    <cellStyle name="40% - Accent5 2 2 2 2 6" xfId="9226" xr:uid="{38C586B3-1664-4B9F-B8CA-3F45D174DA8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24443" xr:uid="{6F117772-EA48-4675-8DFC-EF080F53F7BB}"/>
    <cellStyle name="40% - Accent5 2 2 2 3 2 2 3" xfId="32889" xr:uid="{C926C7DF-6C82-4FE9-B095-CDD959644D74}"/>
    <cellStyle name="40% - Accent5 2 2 2 3 2 2 4" xfId="16002" xr:uid="{DE99423E-DC8B-44C5-8136-ECA089FBFB45}"/>
    <cellStyle name="40% - Accent5 2 2 2 3 2 3" xfId="20225" xr:uid="{74B28493-D439-4D78-AFF5-31042C3C72D1}"/>
    <cellStyle name="40% - Accent5 2 2 2 3 2 4" xfId="28672" xr:uid="{96646D7D-7D43-4E33-80AD-B092F1CF3FAA}"/>
    <cellStyle name="40% - Accent5 2 2 2 3 2 5" xfId="11784" xr:uid="{C3944F67-8160-4D53-A7C8-E9B2BC47FB15}"/>
    <cellStyle name="40% - Accent5 2 2 2 3 3" xfId="5415" xr:uid="{00000000-0005-0000-0000-00004C060000}"/>
    <cellStyle name="40% - Accent5 2 2 2 3 3 2" xfId="22298" xr:uid="{3CF0982C-A6B9-4863-9C1D-DDB6ADE71A2E}"/>
    <cellStyle name="40% - Accent5 2 2 2 3 3 3" xfId="30744" xr:uid="{B6868CC8-91BD-42A3-894B-F7A123712C49}"/>
    <cellStyle name="40% - Accent5 2 2 2 3 3 4" xfId="13857" xr:uid="{0F0CEF46-DAB6-4D18-9C69-D49E3105DA8D}"/>
    <cellStyle name="40% - Accent5 2 2 2 3 4" xfId="18080" xr:uid="{F3BD42EF-ACAB-4C13-BD4E-46957F49322A}"/>
    <cellStyle name="40% - Accent5 2 2 2 3 5" xfId="26525" xr:uid="{B2C609E7-CBA2-425C-A23A-3AF187AB4F55}"/>
    <cellStyle name="40% - Accent5 2 2 2 3 6" xfId="9639" xr:uid="{CF49C25A-8CFA-4228-B866-FA8F2B1AE82D}"/>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24856" xr:uid="{8BD318F7-6EB9-4EEB-8D48-69CBF6A42088}"/>
    <cellStyle name="40% - Accent5 2 2 2 4 2 2 3" xfId="33302" xr:uid="{0D61763F-404D-42C2-8FE6-ECAF120AEDFD}"/>
    <cellStyle name="40% - Accent5 2 2 2 4 2 2 4" xfId="16415" xr:uid="{9311AC38-5315-47C6-88DC-9FDDCB61063D}"/>
    <cellStyle name="40% - Accent5 2 2 2 4 2 3" xfId="20638" xr:uid="{0EBDF4EC-A0D4-4BBA-B6AB-574ED69F6262}"/>
    <cellStyle name="40% - Accent5 2 2 2 4 2 4" xfId="29085" xr:uid="{32319AB1-17CA-4500-A5F3-D1AB7BB076F5}"/>
    <cellStyle name="40% - Accent5 2 2 2 4 2 5" xfId="12197" xr:uid="{EFA62257-05D8-4620-8AA7-ADBD08457C46}"/>
    <cellStyle name="40% - Accent5 2 2 2 4 3" xfId="5828" xr:uid="{00000000-0005-0000-0000-000050060000}"/>
    <cellStyle name="40% - Accent5 2 2 2 4 3 2" xfId="22711" xr:uid="{652D5F34-BABB-4BC0-B9BC-B8835706576C}"/>
    <cellStyle name="40% - Accent5 2 2 2 4 3 3" xfId="31157" xr:uid="{0EE71499-6B6A-4672-AB57-5457C52B3203}"/>
    <cellStyle name="40% - Accent5 2 2 2 4 3 4" xfId="14270" xr:uid="{DB77F1E9-36C1-46A7-88D2-B493D208B555}"/>
    <cellStyle name="40% - Accent5 2 2 2 4 4" xfId="18493" xr:uid="{BEAB18CF-750E-4BCE-8704-E4EF58ABD112}"/>
    <cellStyle name="40% - Accent5 2 2 2 4 5" xfId="26938" xr:uid="{41B5604A-9A35-4BFA-A613-098031424F21}"/>
    <cellStyle name="40% - Accent5 2 2 2 4 6" xfId="10052" xr:uid="{B0658D28-7FCC-4E4E-8AB3-B44F487B51EE}"/>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25269" xr:uid="{A9E4A430-EC8F-4A9E-8CA0-E63B473FE5E7}"/>
    <cellStyle name="40% - Accent5 2 2 2 5 2 2 3" xfId="33715" xr:uid="{539DDB46-D89B-499C-B5A6-06E7AEC68074}"/>
    <cellStyle name="40% - Accent5 2 2 2 5 2 2 4" xfId="16828" xr:uid="{4477FA67-7987-4D60-827D-DE99CC2D3DA8}"/>
    <cellStyle name="40% - Accent5 2 2 2 5 2 3" xfId="21051" xr:uid="{1BE4F85C-D4AD-4F05-888E-B77ECA9FB92F}"/>
    <cellStyle name="40% - Accent5 2 2 2 5 2 4" xfId="29498" xr:uid="{F1F8B0E4-C8F2-45DC-B7DC-61662E1656DB}"/>
    <cellStyle name="40% - Accent5 2 2 2 5 2 5" xfId="12610" xr:uid="{57176CDB-1C92-4A49-8CEF-513500FCFD42}"/>
    <cellStyle name="40% - Accent5 2 2 2 5 3" xfId="6241" xr:uid="{00000000-0005-0000-0000-000054060000}"/>
    <cellStyle name="40% - Accent5 2 2 2 5 3 2" xfId="23124" xr:uid="{D633C4D4-2CC5-44AA-A941-55A03AFE7E36}"/>
    <cellStyle name="40% - Accent5 2 2 2 5 3 3" xfId="31570" xr:uid="{D84C1DA0-0E12-4F07-93E2-8B11D7CBDC42}"/>
    <cellStyle name="40% - Accent5 2 2 2 5 3 4" xfId="14683" xr:uid="{21282993-80EA-41FA-BCC8-823CAE02A536}"/>
    <cellStyle name="40% - Accent5 2 2 2 5 4" xfId="18906" xr:uid="{E767D5CB-C749-4332-B482-4E8397D497FA}"/>
    <cellStyle name="40% - Accent5 2 2 2 5 5" xfId="27351" xr:uid="{D5CE5E2F-895B-4889-92F6-0A13AB93F33D}"/>
    <cellStyle name="40% - Accent5 2 2 2 5 6" xfId="10465" xr:uid="{ECDA34CB-AF62-4311-8B5B-FB111445E227}"/>
    <cellStyle name="40% - Accent5 2 2 2 6" xfId="2347" xr:uid="{00000000-0005-0000-0000-000055060000}"/>
    <cellStyle name="40% - Accent5 2 2 2 6 2" xfId="6654" xr:uid="{00000000-0005-0000-0000-000056060000}"/>
    <cellStyle name="40% - Accent5 2 2 2 6 2 2" xfId="23537" xr:uid="{B4913961-AB8B-4C01-9AF0-2E496466C0BF}"/>
    <cellStyle name="40% - Accent5 2 2 2 6 2 3" xfId="31983" xr:uid="{953B101B-11E5-4360-BD88-78A83143DE07}"/>
    <cellStyle name="40% - Accent5 2 2 2 6 2 4" xfId="15096" xr:uid="{822A583F-3F53-424F-A923-4714E6BDFA5E}"/>
    <cellStyle name="40% - Accent5 2 2 2 6 3" xfId="19319" xr:uid="{7A051163-5999-42C8-8572-F83E7C3F40B8}"/>
    <cellStyle name="40% - Accent5 2 2 2 6 4" xfId="27764" xr:uid="{ADF2D1BE-6F05-41B8-9B3B-BFAEFC3416C7}"/>
    <cellStyle name="40% - Accent5 2 2 2 6 5" xfId="10878" xr:uid="{B77E46F3-DB82-458D-8527-F0456B3E2CF9}"/>
    <cellStyle name="40% - Accent5 2 2 2 7" xfId="4588" xr:uid="{00000000-0005-0000-0000-000057060000}"/>
    <cellStyle name="40% - Accent5 2 2 2 7 2" xfId="21471" xr:uid="{4B35CC6E-1010-4D84-B186-6B80716340D2}"/>
    <cellStyle name="40% - Accent5 2 2 2 7 3" xfId="29917" xr:uid="{31A8FE3F-9328-4334-B3D1-E016A83BC469}"/>
    <cellStyle name="40% - Accent5 2 2 2 7 4" xfId="13030" xr:uid="{CE0D17CC-29EA-4736-8FE1-E5FDFF705531}"/>
    <cellStyle name="40% - Accent5 2 2 2 8" xfId="17253" xr:uid="{5DDD2F63-5F54-4328-B812-D99C4D108295}"/>
    <cellStyle name="40% - Accent5 2 2 2 9" xfId="25695" xr:uid="{C320645F-7FD5-4245-B6D3-30431F6AEBE2}"/>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24029" xr:uid="{87233C89-6573-460D-AF85-1CA613181EB8}"/>
    <cellStyle name="40% - Accent5 2 2 3 2 2 3" xfId="32475" xr:uid="{DB80C952-D3AB-4F9C-ACBC-0393FFDFBEA0}"/>
    <cellStyle name="40% - Accent5 2 2 3 2 2 4" xfId="15588" xr:uid="{0DB65234-F5B5-4095-A6C8-B7DCD01D741D}"/>
    <cellStyle name="40% - Accent5 2 2 3 2 3" xfId="19811" xr:uid="{D1769202-8A46-4CAE-8CF5-3D7844E6FD69}"/>
    <cellStyle name="40% - Accent5 2 2 3 2 4" xfId="28258" xr:uid="{0D1F15B6-F562-49C5-8006-4F2E29104BBF}"/>
    <cellStyle name="40% - Accent5 2 2 3 2 5" xfId="11370" xr:uid="{9F286066-0D3A-45AC-8A61-ECB28CD4BC8E}"/>
    <cellStyle name="40% - Accent5 2 2 3 3" xfId="5001" xr:uid="{00000000-0005-0000-0000-00005B060000}"/>
    <cellStyle name="40% - Accent5 2 2 3 3 2" xfId="21884" xr:uid="{29850858-C72F-478F-A575-10ADC306862A}"/>
    <cellStyle name="40% - Accent5 2 2 3 3 3" xfId="30330" xr:uid="{3C5B5AC2-F5AD-40A9-AC30-DC7A9E4900DB}"/>
    <cellStyle name="40% - Accent5 2 2 3 3 4" xfId="13443" xr:uid="{EBD64DBE-9640-4436-B88E-EDE1EDEA5C0D}"/>
    <cellStyle name="40% - Accent5 2 2 3 4" xfId="17666" xr:uid="{541B5C56-A725-476E-8027-C98E93335825}"/>
    <cellStyle name="40% - Accent5 2 2 3 5" xfId="26111" xr:uid="{1751C9E2-E7D9-4C6E-A29E-B0919DA0B49D}"/>
    <cellStyle name="40% - Accent5 2 2 3 6" xfId="9225" xr:uid="{7F9DC17A-EBA0-4FAB-9BA1-CE433D777911}"/>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24442" xr:uid="{2224A34E-102B-4208-84E4-4FE688629892}"/>
    <cellStyle name="40% - Accent5 2 2 4 2 2 3" xfId="32888" xr:uid="{CD299970-631C-42C2-A159-2423024BC4AE}"/>
    <cellStyle name="40% - Accent5 2 2 4 2 2 4" xfId="16001" xr:uid="{C8F2BBD4-4BA2-4984-A848-6EF85CC7B67D}"/>
    <cellStyle name="40% - Accent5 2 2 4 2 3" xfId="20224" xr:uid="{23A7755A-5F7F-47B1-8B9C-EE8E6AE3EC22}"/>
    <cellStyle name="40% - Accent5 2 2 4 2 4" xfId="28671" xr:uid="{CA13EE66-625C-49A2-81A7-08A7B5FA5FC2}"/>
    <cellStyle name="40% - Accent5 2 2 4 2 5" xfId="11783" xr:uid="{248942CD-1B29-47D8-8980-38F2A19F2DAE}"/>
    <cellStyle name="40% - Accent5 2 2 4 3" xfId="5414" xr:uid="{00000000-0005-0000-0000-00005F060000}"/>
    <cellStyle name="40% - Accent5 2 2 4 3 2" xfId="22297" xr:uid="{22C9E746-40CA-4BEB-974F-7B5CF1FB519A}"/>
    <cellStyle name="40% - Accent5 2 2 4 3 3" xfId="30743" xr:uid="{0DCD5B7F-9209-4D09-B68E-4D59045C6F9E}"/>
    <cellStyle name="40% - Accent5 2 2 4 3 4" xfId="13856" xr:uid="{22CD05C6-0708-4434-9E46-47EAB40FCF1D}"/>
    <cellStyle name="40% - Accent5 2 2 4 4" xfId="18079" xr:uid="{4CB339AF-1BEB-4DA1-A0D9-8A580BFAE73B}"/>
    <cellStyle name="40% - Accent5 2 2 4 5" xfId="26524" xr:uid="{872225E7-D4AF-4EF3-850B-C37AC3BBD692}"/>
    <cellStyle name="40% - Accent5 2 2 4 6" xfId="9638" xr:uid="{10C97A46-EBE3-45E9-9060-CF393AB8357F}"/>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24855" xr:uid="{BC607E82-9891-4977-AE5E-B811B0FBB90C}"/>
    <cellStyle name="40% - Accent5 2 2 5 2 2 3" xfId="33301" xr:uid="{2E8A8B51-FFE3-4F6D-819F-B752E79F186A}"/>
    <cellStyle name="40% - Accent5 2 2 5 2 2 4" xfId="16414" xr:uid="{31BAB24F-27B1-44B8-8E05-5011CA5AEBB9}"/>
    <cellStyle name="40% - Accent5 2 2 5 2 3" xfId="20637" xr:uid="{0BCB5A47-1A27-4CBE-BF1B-2B42BC31EB5E}"/>
    <cellStyle name="40% - Accent5 2 2 5 2 4" xfId="29084" xr:uid="{AE246677-2C91-43C3-97FD-76F14ED72790}"/>
    <cellStyle name="40% - Accent5 2 2 5 2 5" xfId="12196" xr:uid="{B71DC43B-DE87-4DB4-B71B-27F711542B43}"/>
    <cellStyle name="40% - Accent5 2 2 5 3" xfId="5827" xr:uid="{00000000-0005-0000-0000-000063060000}"/>
    <cellStyle name="40% - Accent5 2 2 5 3 2" xfId="22710" xr:uid="{BAAF6118-6CCF-4A4C-9281-22C367462AEE}"/>
    <cellStyle name="40% - Accent5 2 2 5 3 3" xfId="31156" xr:uid="{9DA5525A-08AC-43D7-B13C-3F16A06A60C4}"/>
    <cellStyle name="40% - Accent5 2 2 5 3 4" xfId="14269" xr:uid="{56733339-EFA2-472A-81BC-8B260B0F1CF7}"/>
    <cellStyle name="40% - Accent5 2 2 5 4" xfId="18492" xr:uid="{FB283F73-2BA3-4F52-84F8-A37C720DDD6F}"/>
    <cellStyle name="40% - Accent5 2 2 5 5" xfId="26937" xr:uid="{FF413B5B-8724-4253-93C9-D596BF9F06F1}"/>
    <cellStyle name="40% - Accent5 2 2 5 6" xfId="10051" xr:uid="{E79D38C3-32B0-4352-95DD-3385BEB2CC92}"/>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25268" xr:uid="{824EFDAC-490F-4F3E-9B73-12CDF24D0BB4}"/>
    <cellStyle name="40% - Accent5 2 2 6 2 2 3" xfId="33714" xr:uid="{B2404384-1E57-4525-B6BE-CCD2DF1931BB}"/>
    <cellStyle name="40% - Accent5 2 2 6 2 2 4" xfId="16827" xr:uid="{22019352-661B-44C6-993B-94417A9C3B54}"/>
    <cellStyle name="40% - Accent5 2 2 6 2 3" xfId="21050" xr:uid="{39A7D2CE-F653-447E-8879-6BCD281B8C69}"/>
    <cellStyle name="40% - Accent5 2 2 6 2 4" xfId="29497" xr:uid="{8E3D8777-363D-4C1C-B16F-B4F93B102B32}"/>
    <cellStyle name="40% - Accent5 2 2 6 2 5" xfId="12609" xr:uid="{6AB2D247-82B4-49D2-B8F7-95120BF0A72A}"/>
    <cellStyle name="40% - Accent5 2 2 6 3" xfId="6240" xr:uid="{00000000-0005-0000-0000-000067060000}"/>
    <cellStyle name="40% - Accent5 2 2 6 3 2" xfId="23123" xr:uid="{A2F52B43-1434-420F-B8B7-314A37C19FC3}"/>
    <cellStyle name="40% - Accent5 2 2 6 3 3" xfId="31569" xr:uid="{34843D88-7C13-4DB4-BBC1-A676F58A32DD}"/>
    <cellStyle name="40% - Accent5 2 2 6 3 4" xfId="14682" xr:uid="{587296C8-9D23-4BBC-8563-3DC4C57F05DA}"/>
    <cellStyle name="40% - Accent5 2 2 6 4" xfId="18905" xr:uid="{2FF735C2-2E08-48DB-8B16-3E7110A80C5C}"/>
    <cellStyle name="40% - Accent5 2 2 6 5" xfId="27350" xr:uid="{B49191E1-CBB9-4E96-BB35-05D5D81AB8D5}"/>
    <cellStyle name="40% - Accent5 2 2 6 6" xfId="10464" xr:uid="{97CF9E00-BAB0-4F6B-B146-81B38E485E07}"/>
    <cellStyle name="40% - Accent5 2 2 7" xfId="2346" xr:uid="{00000000-0005-0000-0000-000068060000}"/>
    <cellStyle name="40% - Accent5 2 2 7 2" xfId="6653" xr:uid="{00000000-0005-0000-0000-000069060000}"/>
    <cellStyle name="40% - Accent5 2 2 7 2 2" xfId="23536" xr:uid="{A3C0CF0E-90CA-4156-BE19-2B52002C2866}"/>
    <cellStyle name="40% - Accent5 2 2 7 2 3" xfId="31982" xr:uid="{4255164B-E691-454F-8227-3FDA4530DCC4}"/>
    <cellStyle name="40% - Accent5 2 2 7 2 4" xfId="15095" xr:uid="{81D4F205-5E7B-49E4-A0C8-3109D92D8DE7}"/>
    <cellStyle name="40% - Accent5 2 2 7 3" xfId="19318" xr:uid="{77EA9CBF-2B15-4796-8C39-214DB334A248}"/>
    <cellStyle name="40% - Accent5 2 2 7 4" xfId="27763" xr:uid="{BBF34E65-6599-4CDB-8902-D99217CB1E06}"/>
    <cellStyle name="40% - Accent5 2 2 7 5" xfId="10877" xr:uid="{AE39C210-5962-4848-822B-4C1376F64569}"/>
    <cellStyle name="40% - Accent5 2 2 8" xfId="4587" xr:uid="{00000000-0005-0000-0000-00006A060000}"/>
    <cellStyle name="40% - Accent5 2 2 8 2" xfId="21470" xr:uid="{ADCFB9BF-CF99-42D1-A75A-D4C5A433C0C6}"/>
    <cellStyle name="40% - Accent5 2 2 8 3" xfId="29916" xr:uid="{DAFC2603-55CD-4DB1-BE79-747F90F9F351}"/>
    <cellStyle name="40% - Accent5 2 2 8 4" xfId="13029" xr:uid="{4B04FEA0-25F1-4A86-A73F-D770B77AC9DA}"/>
    <cellStyle name="40% - Accent5 2 2 9" xfId="17252" xr:uid="{91DB21DD-5BFC-4971-A185-73ED0389174B}"/>
    <cellStyle name="40% - Accent5 2 3" xfId="85" xr:uid="{00000000-0005-0000-0000-00006B060000}"/>
    <cellStyle name="40% - Accent5 2 3 10" xfId="8813" xr:uid="{9C0E9D7B-ACCE-49B9-9C66-E29FC59944F7}"/>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24031" xr:uid="{EB7F9416-CDFE-404B-AFF9-804B7A3CE641}"/>
    <cellStyle name="40% - Accent5 2 3 2 2 2 3" xfId="32477" xr:uid="{E55D5D88-4B14-4808-B81B-A1BDAF03A327}"/>
    <cellStyle name="40% - Accent5 2 3 2 2 2 4" xfId="15590" xr:uid="{73C6C674-C2DC-4B1E-A62B-02B9B951D036}"/>
    <cellStyle name="40% - Accent5 2 3 2 2 3" xfId="19813" xr:uid="{9C923423-EB1B-439E-8EC4-3869CAADA1A2}"/>
    <cellStyle name="40% - Accent5 2 3 2 2 4" xfId="28260" xr:uid="{620A227C-C060-4947-A35C-295184D43C1B}"/>
    <cellStyle name="40% - Accent5 2 3 2 2 5" xfId="11372" xr:uid="{EC1287DB-341D-4A9B-BE86-6C2FC561DB0F}"/>
    <cellStyle name="40% - Accent5 2 3 2 3" xfId="5003" xr:uid="{00000000-0005-0000-0000-00006F060000}"/>
    <cellStyle name="40% - Accent5 2 3 2 3 2" xfId="21886" xr:uid="{C91BF28B-7666-448D-8CE2-CF19CEBCEC21}"/>
    <cellStyle name="40% - Accent5 2 3 2 3 3" xfId="30332" xr:uid="{0AB5233A-52F4-4082-891F-174ED268AEF7}"/>
    <cellStyle name="40% - Accent5 2 3 2 3 4" xfId="13445" xr:uid="{F96249D4-199C-49F0-AE4A-602D82EAD298}"/>
    <cellStyle name="40% - Accent5 2 3 2 4" xfId="17668" xr:uid="{882A766E-1A1A-49BE-AF45-EB037DD6D9FC}"/>
    <cellStyle name="40% - Accent5 2 3 2 5" xfId="26113" xr:uid="{A6F85698-E1DC-4EF8-A8F5-EE1AC29CD853}"/>
    <cellStyle name="40% - Accent5 2 3 2 6" xfId="9227" xr:uid="{12B79535-EF4F-4853-8C2C-260E35FF3933}"/>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24444" xr:uid="{BBE5C23F-18C8-4103-A1E6-D379A5215E05}"/>
    <cellStyle name="40% - Accent5 2 3 3 2 2 3" xfId="32890" xr:uid="{34B1C41A-E416-459F-9E3E-0689E35B806C}"/>
    <cellStyle name="40% - Accent5 2 3 3 2 2 4" xfId="16003" xr:uid="{14BFC5FD-E679-4788-A131-59852A3D51E1}"/>
    <cellStyle name="40% - Accent5 2 3 3 2 3" xfId="20226" xr:uid="{36C8D2B6-308C-46AA-B92B-842FC83B5D83}"/>
    <cellStyle name="40% - Accent5 2 3 3 2 4" xfId="28673" xr:uid="{DC296BA2-43CA-4FC2-BE16-6F3442E0B419}"/>
    <cellStyle name="40% - Accent5 2 3 3 2 5" xfId="11785" xr:uid="{EF4F29D8-52A8-40E3-9012-1D193F4071AF}"/>
    <cellStyle name="40% - Accent5 2 3 3 3" xfId="5416" xr:uid="{00000000-0005-0000-0000-000073060000}"/>
    <cellStyle name="40% - Accent5 2 3 3 3 2" xfId="22299" xr:uid="{945CE7A7-01E7-4FFC-BB99-723028ED7A9A}"/>
    <cellStyle name="40% - Accent5 2 3 3 3 3" xfId="30745" xr:uid="{58FC8691-A77A-4139-A243-CA0148D2ED31}"/>
    <cellStyle name="40% - Accent5 2 3 3 3 4" xfId="13858" xr:uid="{37A5619F-8194-493C-B5C3-EA8061086E31}"/>
    <cellStyle name="40% - Accent5 2 3 3 4" xfId="18081" xr:uid="{5F8ED7FA-4B7B-4126-AC99-D7368764A4B0}"/>
    <cellStyle name="40% - Accent5 2 3 3 5" xfId="26526" xr:uid="{EFB6AC20-C1DF-46BA-818D-6D2D1F12FFC8}"/>
    <cellStyle name="40% - Accent5 2 3 3 6" xfId="9640" xr:uid="{9887F0E2-793B-4CFE-BC18-D7B801BA1433}"/>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24857" xr:uid="{822BDE8B-46C3-4244-B49E-5F88085561AD}"/>
    <cellStyle name="40% - Accent5 2 3 4 2 2 3" xfId="33303" xr:uid="{52CCCA0F-EFDF-4539-AC61-E4FFC82F7411}"/>
    <cellStyle name="40% - Accent5 2 3 4 2 2 4" xfId="16416" xr:uid="{9E4396AB-08C6-43BD-B466-AA897EFC085C}"/>
    <cellStyle name="40% - Accent5 2 3 4 2 3" xfId="20639" xr:uid="{3E7EC4EA-34C1-467B-9DF8-A18F7D7AA484}"/>
    <cellStyle name="40% - Accent5 2 3 4 2 4" xfId="29086" xr:uid="{14B2A531-09E3-4E57-930D-21262A6BC544}"/>
    <cellStyle name="40% - Accent5 2 3 4 2 5" xfId="12198" xr:uid="{9D9B63FE-9817-44D3-BC05-57F4CADFB1CA}"/>
    <cellStyle name="40% - Accent5 2 3 4 3" xfId="5829" xr:uid="{00000000-0005-0000-0000-000077060000}"/>
    <cellStyle name="40% - Accent5 2 3 4 3 2" xfId="22712" xr:uid="{9B06CE78-276C-474B-9AC5-7C405E436850}"/>
    <cellStyle name="40% - Accent5 2 3 4 3 3" xfId="31158" xr:uid="{66D2A38B-3D67-4517-9919-F220AEBD4600}"/>
    <cellStyle name="40% - Accent5 2 3 4 3 4" xfId="14271" xr:uid="{289D6E84-CDE0-4450-A3B3-1BB9C9BAABBF}"/>
    <cellStyle name="40% - Accent5 2 3 4 4" xfId="18494" xr:uid="{B7DA25C6-C755-44DB-BCA8-72C4F331B858}"/>
    <cellStyle name="40% - Accent5 2 3 4 5" xfId="26939" xr:uid="{ABDFDC8E-3E40-4DCF-A860-CAC491BBB8B1}"/>
    <cellStyle name="40% - Accent5 2 3 4 6" xfId="10053" xr:uid="{26FABF9E-F6DB-4F1B-A62A-0D55F0C1B2A2}"/>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25270" xr:uid="{44121B36-9B89-4B11-95F9-7289CB67B896}"/>
    <cellStyle name="40% - Accent5 2 3 5 2 2 3" xfId="33716" xr:uid="{908C7133-AD91-440F-AA0D-29AE76BE71AF}"/>
    <cellStyle name="40% - Accent5 2 3 5 2 2 4" xfId="16829" xr:uid="{9A95779B-AB27-43C2-A1AD-71D59C3C9BEB}"/>
    <cellStyle name="40% - Accent5 2 3 5 2 3" xfId="21052" xr:uid="{3DC7998C-177F-421F-9034-4A4C9678068C}"/>
    <cellStyle name="40% - Accent5 2 3 5 2 4" xfId="29499" xr:uid="{0FC6E217-6671-4256-BC4D-552E63652767}"/>
    <cellStyle name="40% - Accent5 2 3 5 2 5" xfId="12611" xr:uid="{2FFAA40C-DBDC-4424-8A07-73B782883F9C}"/>
    <cellStyle name="40% - Accent5 2 3 5 3" xfId="6242" xr:uid="{00000000-0005-0000-0000-00007B060000}"/>
    <cellStyle name="40% - Accent5 2 3 5 3 2" xfId="23125" xr:uid="{0EA8B85D-19BC-485F-B8A1-59003E791476}"/>
    <cellStyle name="40% - Accent5 2 3 5 3 3" xfId="31571" xr:uid="{3F0FE744-5004-482E-ACF3-F91102BD6FEF}"/>
    <cellStyle name="40% - Accent5 2 3 5 3 4" xfId="14684" xr:uid="{821482A0-D41B-4C10-B1FE-2BC05CCC3112}"/>
    <cellStyle name="40% - Accent5 2 3 5 4" xfId="18907" xr:uid="{3743907B-AA1C-4455-94B5-AFA3930BDAA0}"/>
    <cellStyle name="40% - Accent5 2 3 5 5" xfId="27352" xr:uid="{31786305-7ED8-418E-9E99-D03BFA5FC6E5}"/>
    <cellStyle name="40% - Accent5 2 3 5 6" xfId="10466" xr:uid="{6AB73B8C-942B-43BF-AADD-40C73ED2DE00}"/>
    <cellStyle name="40% - Accent5 2 3 6" xfId="2348" xr:uid="{00000000-0005-0000-0000-00007C060000}"/>
    <cellStyle name="40% - Accent5 2 3 6 2" xfId="6655" xr:uid="{00000000-0005-0000-0000-00007D060000}"/>
    <cellStyle name="40% - Accent5 2 3 6 2 2" xfId="23538" xr:uid="{B0E9D3DE-966E-47C7-90C3-4B6BCC48AEB0}"/>
    <cellStyle name="40% - Accent5 2 3 6 2 3" xfId="31984" xr:uid="{6FE32B43-C83B-4E38-BD72-AB1E253F4DA1}"/>
    <cellStyle name="40% - Accent5 2 3 6 2 4" xfId="15097" xr:uid="{AD623F08-62D1-42BC-9D90-F55274600323}"/>
    <cellStyle name="40% - Accent5 2 3 6 3" xfId="19320" xr:uid="{5CEC2BE9-B4D2-4EC6-8F8C-7B68E89BE9E7}"/>
    <cellStyle name="40% - Accent5 2 3 6 4" xfId="27765" xr:uid="{65B760C8-6292-4F22-85AF-D6108820B3E5}"/>
    <cellStyle name="40% - Accent5 2 3 6 5" xfId="10879" xr:uid="{0DF60E84-78C1-4FDC-9184-C1271E5FDC35}"/>
    <cellStyle name="40% - Accent5 2 3 7" xfId="4589" xr:uid="{00000000-0005-0000-0000-00007E060000}"/>
    <cellStyle name="40% - Accent5 2 3 7 2" xfId="21472" xr:uid="{88807DA9-BC85-4DCD-B8BF-589CB829B21D}"/>
    <cellStyle name="40% - Accent5 2 3 7 3" xfId="29918" xr:uid="{1115C37F-575A-454F-9D38-B640CE8647D9}"/>
    <cellStyle name="40% - Accent5 2 3 7 4" xfId="13031" xr:uid="{D4090246-4D86-4479-91F4-673AA069D9AD}"/>
    <cellStyle name="40% - Accent5 2 3 8" xfId="17254" xr:uid="{435F6481-EA07-436C-BD57-DB211ADE52B0}"/>
    <cellStyle name="40% - Accent5 2 3 9" xfId="25696" xr:uid="{70903D0F-5363-4A7C-BFFC-36964D9ECCA4}"/>
    <cellStyle name="40% - Accent5 2 4" xfId="651" xr:uid="{00000000-0005-0000-0000-00007F060000}"/>
    <cellStyle name="40% - Accent5 2 4 2" xfId="2922" xr:uid="{00000000-0005-0000-0000-000080060000}"/>
    <cellStyle name="40% - Accent5 2 4 2 2" xfId="7145" xr:uid="{00000000-0005-0000-0000-000081060000}"/>
    <cellStyle name="40% - Accent5 2 4 2 2 2" xfId="24028" xr:uid="{1B575933-1CC8-4AF7-B07D-FE18FAF46F1C}"/>
    <cellStyle name="40% - Accent5 2 4 2 2 3" xfId="32474" xr:uid="{3AAFA760-9E13-43F1-97C1-AA06BE3BDFAF}"/>
    <cellStyle name="40% - Accent5 2 4 2 2 4" xfId="15587" xr:uid="{262E690A-1548-4768-A874-E79DA397CC7F}"/>
    <cellStyle name="40% - Accent5 2 4 2 3" xfId="19810" xr:uid="{846322F8-62D4-41D0-BDA3-BD01D07A2B30}"/>
    <cellStyle name="40% - Accent5 2 4 2 4" xfId="28257" xr:uid="{73B2BC88-1CD1-42A3-94C8-FAA9C73B89B0}"/>
    <cellStyle name="40% - Accent5 2 4 2 5" xfId="11369" xr:uid="{F804B477-E39F-456E-88E6-2A360CB36D72}"/>
    <cellStyle name="40% - Accent5 2 4 3" xfId="5000" xr:uid="{00000000-0005-0000-0000-000082060000}"/>
    <cellStyle name="40% - Accent5 2 4 3 2" xfId="21883" xr:uid="{C08ACC48-D0F1-49BB-A447-52CC796619F0}"/>
    <cellStyle name="40% - Accent5 2 4 3 3" xfId="30329" xr:uid="{2762E285-F867-45D9-9671-1169910D36B2}"/>
    <cellStyle name="40% - Accent5 2 4 3 4" xfId="13442" xr:uid="{61FC9BF4-72F5-4830-AD11-6D7D21448A6F}"/>
    <cellStyle name="40% - Accent5 2 4 4" xfId="17665" xr:uid="{5023AF8D-0243-435B-9339-5EDDF6185544}"/>
    <cellStyle name="40% - Accent5 2 4 5" xfId="26110" xr:uid="{208112C1-1F18-4656-A047-05C961B3DC39}"/>
    <cellStyle name="40% - Accent5 2 4 6" xfId="9224" xr:uid="{FF7AB0A6-506B-45D0-9E9C-6D7CAEE31450}"/>
    <cellStyle name="40% - Accent5 2 5" xfId="1104" xr:uid="{00000000-0005-0000-0000-000083060000}"/>
    <cellStyle name="40% - Accent5 2 5 2" xfId="3335" xr:uid="{00000000-0005-0000-0000-000084060000}"/>
    <cellStyle name="40% - Accent5 2 5 2 2" xfId="7558" xr:uid="{00000000-0005-0000-0000-000085060000}"/>
    <cellStyle name="40% - Accent5 2 5 2 2 2" xfId="24441" xr:uid="{486712A2-CA53-438B-B07E-7E64E3AB7163}"/>
    <cellStyle name="40% - Accent5 2 5 2 2 3" xfId="32887" xr:uid="{353F3B73-919D-4DCC-B812-7FA2C6C8F510}"/>
    <cellStyle name="40% - Accent5 2 5 2 2 4" xfId="16000" xr:uid="{4192D390-F3A1-43A7-9928-F42F42589CCF}"/>
    <cellStyle name="40% - Accent5 2 5 2 3" xfId="20223" xr:uid="{557FF4F4-AD64-407D-A5AC-0551A260DE61}"/>
    <cellStyle name="40% - Accent5 2 5 2 4" xfId="28670" xr:uid="{92F110E3-7E7A-4662-BEA8-D7B64C2A0454}"/>
    <cellStyle name="40% - Accent5 2 5 2 5" xfId="11782" xr:uid="{B9511313-820F-4C90-908E-8D9BA9F21377}"/>
    <cellStyle name="40% - Accent5 2 5 3" xfId="5413" xr:uid="{00000000-0005-0000-0000-000086060000}"/>
    <cellStyle name="40% - Accent5 2 5 3 2" xfId="22296" xr:uid="{7C62DA68-FD61-4028-9CBC-18256CC341AF}"/>
    <cellStyle name="40% - Accent5 2 5 3 3" xfId="30742" xr:uid="{03ABEB83-EAD1-442F-BD85-B07A3C6E3E9C}"/>
    <cellStyle name="40% - Accent5 2 5 3 4" xfId="13855" xr:uid="{1B7ADB17-EEBD-4021-A675-3B94459B3CBD}"/>
    <cellStyle name="40% - Accent5 2 5 4" xfId="18078" xr:uid="{FF2734A0-D3E8-4094-A05C-50E66C455B15}"/>
    <cellStyle name="40% - Accent5 2 5 5" xfId="26523" xr:uid="{B30FCAE4-BBD5-4BF3-9BB0-82F5E20B3984}"/>
    <cellStyle name="40% - Accent5 2 5 6" xfId="9637" xr:uid="{D9458500-0F52-465A-A50D-60574E639F16}"/>
    <cellStyle name="40% - Accent5 2 6" xfId="1518" xr:uid="{00000000-0005-0000-0000-000087060000}"/>
    <cellStyle name="40% - Accent5 2 6 2" xfId="3748" xr:uid="{00000000-0005-0000-0000-000088060000}"/>
    <cellStyle name="40% - Accent5 2 6 2 2" xfId="7971" xr:uid="{00000000-0005-0000-0000-000089060000}"/>
    <cellStyle name="40% - Accent5 2 6 2 2 2" xfId="24854" xr:uid="{3AEC6E6D-0C0D-4186-BD54-9A7F91CD8CD8}"/>
    <cellStyle name="40% - Accent5 2 6 2 2 3" xfId="33300" xr:uid="{30B3A841-8F1B-4E19-BDC0-DDD7CE208B77}"/>
    <cellStyle name="40% - Accent5 2 6 2 2 4" xfId="16413" xr:uid="{61AC797B-B6B7-4E2B-BCD9-04857C6197D2}"/>
    <cellStyle name="40% - Accent5 2 6 2 3" xfId="20636" xr:uid="{2A517E0F-923A-47CB-9D12-7D52F17C2E84}"/>
    <cellStyle name="40% - Accent5 2 6 2 4" xfId="29083" xr:uid="{BA1D860D-23F5-41CF-A473-C50F2A37F437}"/>
    <cellStyle name="40% - Accent5 2 6 2 5" xfId="12195" xr:uid="{744C2F43-E983-440C-B853-B6C32516552A}"/>
    <cellStyle name="40% - Accent5 2 6 3" xfId="5826" xr:uid="{00000000-0005-0000-0000-00008A060000}"/>
    <cellStyle name="40% - Accent5 2 6 3 2" xfId="22709" xr:uid="{F382A68F-69EE-4B95-AE7C-304210A43834}"/>
    <cellStyle name="40% - Accent5 2 6 3 3" xfId="31155" xr:uid="{B5377F41-A60A-4875-A434-1A18F3B7117C}"/>
    <cellStyle name="40% - Accent5 2 6 3 4" xfId="14268" xr:uid="{2879E743-2ADB-4398-B848-6C9B4C6AD111}"/>
    <cellStyle name="40% - Accent5 2 6 4" xfId="18491" xr:uid="{046C928A-0EE8-4D59-A7D6-2D9378F33F44}"/>
    <cellStyle name="40% - Accent5 2 6 5" xfId="26936" xr:uid="{546A9952-5C9A-4729-9F2E-C6CD846A6158}"/>
    <cellStyle name="40% - Accent5 2 6 6" xfId="10050" xr:uid="{B18F8FC9-D7CE-4A63-A68F-79517E775EDB}"/>
    <cellStyle name="40% - Accent5 2 7" xfId="1932" xr:uid="{00000000-0005-0000-0000-00008B060000}"/>
    <cellStyle name="40% - Accent5 2 7 2" xfId="4161" xr:uid="{00000000-0005-0000-0000-00008C060000}"/>
    <cellStyle name="40% - Accent5 2 7 2 2" xfId="8384" xr:uid="{00000000-0005-0000-0000-00008D060000}"/>
    <cellStyle name="40% - Accent5 2 7 2 2 2" xfId="25267" xr:uid="{7DADC918-87C0-4A7D-A55E-2EFBDB2EE530}"/>
    <cellStyle name="40% - Accent5 2 7 2 2 3" xfId="33713" xr:uid="{C942971C-6123-4226-9F30-9301F0C71A49}"/>
    <cellStyle name="40% - Accent5 2 7 2 2 4" xfId="16826" xr:uid="{2A36673E-048B-4FEA-9A2F-EDD4CEC90835}"/>
    <cellStyle name="40% - Accent5 2 7 2 3" xfId="21049" xr:uid="{5D654549-9056-40EF-96BA-7F651C49C4F7}"/>
    <cellStyle name="40% - Accent5 2 7 2 4" xfId="29496" xr:uid="{A82506EE-AA30-46FC-9112-32A7F9C9C9A7}"/>
    <cellStyle name="40% - Accent5 2 7 2 5" xfId="12608" xr:uid="{0B0FB031-9CBC-4850-A87A-9957696777C1}"/>
    <cellStyle name="40% - Accent5 2 7 3" xfId="6239" xr:uid="{00000000-0005-0000-0000-00008E060000}"/>
    <cellStyle name="40% - Accent5 2 7 3 2" xfId="23122" xr:uid="{7C6F5763-90FF-4717-8C3A-118D3B6BD750}"/>
    <cellStyle name="40% - Accent5 2 7 3 3" xfId="31568" xr:uid="{A3A5D96F-81D2-4024-B1D3-C1288734F3F3}"/>
    <cellStyle name="40% - Accent5 2 7 3 4" xfId="14681" xr:uid="{A9830465-CEE2-41C0-90ED-E4C42A9C01EB}"/>
    <cellStyle name="40% - Accent5 2 7 4" xfId="18904" xr:uid="{68CAAB02-F517-4733-A6B6-A53CAACCABEA}"/>
    <cellStyle name="40% - Accent5 2 7 5" xfId="27349" xr:uid="{6E7C283A-EBC8-49A8-AB1C-07F52FECC9BF}"/>
    <cellStyle name="40% - Accent5 2 7 6" xfId="10463" xr:uid="{EFD077D0-41DD-421F-911D-833DA3F4FE92}"/>
    <cellStyle name="40% - Accent5 2 8" xfId="2345" xr:uid="{00000000-0005-0000-0000-00008F060000}"/>
    <cellStyle name="40% - Accent5 2 8 2" xfId="6652" xr:uid="{00000000-0005-0000-0000-000090060000}"/>
    <cellStyle name="40% - Accent5 2 8 2 2" xfId="23535" xr:uid="{0BCBD847-0EFA-4696-AC63-EBE19B2DB8A3}"/>
    <cellStyle name="40% - Accent5 2 8 2 3" xfId="31981" xr:uid="{5AD91273-09AA-49B7-9805-E2A9B3FCBE75}"/>
    <cellStyle name="40% - Accent5 2 8 2 4" xfId="15094" xr:uid="{1B041F65-8BBF-4EFE-9DF1-5E4E60D2B192}"/>
    <cellStyle name="40% - Accent5 2 8 3" xfId="19317" xr:uid="{7AE2660B-06DA-4D11-8AE0-2D0583C1F8D8}"/>
    <cellStyle name="40% - Accent5 2 8 4" xfId="27762" xr:uid="{36C287A5-A106-4A4B-A359-5F32F3A4A853}"/>
    <cellStyle name="40% - Accent5 2 8 5" xfId="10876" xr:uid="{A355C214-10CF-4D02-A4DC-688A7CBA366A}"/>
    <cellStyle name="40% - Accent5 2 9" xfId="4586" xr:uid="{00000000-0005-0000-0000-000091060000}"/>
    <cellStyle name="40% - Accent5 2 9 2" xfId="21469" xr:uid="{376AA260-3ADC-45AF-BF09-C2AC09AC092B}"/>
    <cellStyle name="40% - Accent5 2 9 3" xfId="29915" xr:uid="{9C7D630B-C34E-4980-B3A2-733B14C6EC26}"/>
    <cellStyle name="40% - Accent5 2 9 4" xfId="13028" xr:uid="{F2EA2CF6-A5B4-4C24-8B58-9897DD14DD03}"/>
    <cellStyle name="40% - Accent5 3" xfId="86" xr:uid="{00000000-0005-0000-0000-000092060000}"/>
    <cellStyle name="40% - Accent5 3 10" xfId="25697" xr:uid="{883561A2-BF10-4393-BAC8-4827526C757D}"/>
    <cellStyle name="40% - Accent5 3 11" xfId="8814" xr:uid="{1B5C7E34-0CD8-4F37-8537-ED84387701F8}"/>
    <cellStyle name="40% - Accent5 3 2" xfId="87" xr:uid="{00000000-0005-0000-0000-000093060000}"/>
    <cellStyle name="40% - Accent5 3 2 10" xfId="8815" xr:uid="{4F26AA07-8B98-4E87-A960-ED1B4033E478}"/>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24033" xr:uid="{E6C3A6B2-BC2F-45B1-B4F2-007B4AFD4F1C}"/>
    <cellStyle name="40% - Accent5 3 2 2 2 2 3" xfId="32479" xr:uid="{A13FCB03-B991-41A5-BFD6-9319BBA0074D}"/>
    <cellStyle name="40% - Accent5 3 2 2 2 2 4" xfId="15592" xr:uid="{1B5401DA-25CF-4EEC-B075-96BCDBECBC72}"/>
    <cellStyle name="40% - Accent5 3 2 2 2 3" xfId="19815" xr:uid="{042FEE25-CD81-4FB6-951B-024BBE3D5C36}"/>
    <cellStyle name="40% - Accent5 3 2 2 2 4" xfId="28262" xr:uid="{F255AE0F-9BDF-406D-AA01-B5EBA257C6AB}"/>
    <cellStyle name="40% - Accent5 3 2 2 2 5" xfId="11374" xr:uid="{D70E9F8F-CD81-4EED-ACB4-EEC4FED67D48}"/>
    <cellStyle name="40% - Accent5 3 2 2 3" xfId="5005" xr:uid="{00000000-0005-0000-0000-000097060000}"/>
    <cellStyle name="40% - Accent5 3 2 2 3 2" xfId="21888" xr:uid="{DB2AC02E-EF88-4D14-989A-A13151C8780C}"/>
    <cellStyle name="40% - Accent5 3 2 2 3 3" xfId="30334" xr:uid="{48EDEFF9-95E9-4E7D-BC3B-588359231E00}"/>
    <cellStyle name="40% - Accent5 3 2 2 3 4" xfId="13447" xr:uid="{92066341-EDFC-4538-8116-A87D5D0D6F81}"/>
    <cellStyle name="40% - Accent5 3 2 2 4" xfId="17670" xr:uid="{AA5DF104-4068-48C8-A794-459F65CAA177}"/>
    <cellStyle name="40% - Accent5 3 2 2 5" xfId="26115" xr:uid="{8F6F9BD0-545C-4D46-BA3C-3820B3303121}"/>
    <cellStyle name="40% - Accent5 3 2 2 6" xfId="9229" xr:uid="{547C4424-999D-465C-90CC-15B52FA2E21D}"/>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24446" xr:uid="{B570D2DF-2E05-42D4-9B6E-794D82FECEC1}"/>
    <cellStyle name="40% - Accent5 3 2 3 2 2 3" xfId="32892" xr:uid="{7DD92C80-443A-433B-94CD-7AB3A9A05C12}"/>
    <cellStyle name="40% - Accent5 3 2 3 2 2 4" xfId="16005" xr:uid="{1F7C2240-FD00-4B6F-A991-1B80010DD46B}"/>
    <cellStyle name="40% - Accent5 3 2 3 2 3" xfId="20228" xr:uid="{5B4589F5-0183-4758-B40E-6A2F21AE2537}"/>
    <cellStyle name="40% - Accent5 3 2 3 2 4" xfId="28675" xr:uid="{6FFAC2B6-8D69-466C-9DBB-EA9ED7B5CDFF}"/>
    <cellStyle name="40% - Accent5 3 2 3 2 5" xfId="11787" xr:uid="{B64FEDE0-1B18-4863-9EC2-37D9824FC988}"/>
    <cellStyle name="40% - Accent5 3 2 3 3" xfId="5418" xr:uid="{00000000-0005-0000-0000-00009B060000}"/>
    <cellStyle name="40% - Accent5 3 2 3 3 2" xfId="22301" xr:uid="{AC58A8FC-7EE6-4E4C-8878-4D192665C00A}"/>
    <cellStyle name="40% - Accent5 3 2 3 3 3" xfId="30747" xr:uid="{9E74D48F-32A7-45F1-B9DA-7D420E6BDBF4}"/>
    <cellStyle name="40% - Accent5 3 2 3 3 4" xfId="13860" xr:uid="{6BE86EDA-2884-4DCC-8DDE-89D4D5FE40D2}"/>
    <cellStyle name="40% - Accent5 3 2 3 4" xfId="18083" xr:uid="{A7DD6479-A005-4690-B2F0-DD7514D64E5E}"/>
    <cellStyle name="40% - Accent5 3 2 3 5" xfId="26528" xr:uid="{7797E12B-6DF4-497D-B88F-4CDDE9DBDCFD}"/>
    <cellStyle name="40% - Accent5 3 2 3 6" xfId="9642" xr:uid="{AB066FE6-7337-4720-90C1-05E1716A5DF6}"/>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24859" xr:uid="{D99F13C8-EC4C-4EC8-819F-0AAE58C00865}"/>
    <cellStyle name="40% - Accent5 3 2 4 2 2 3" xfId="33305" xr:uid="{BE0F29E5-C84D-4FD5-B692-B6D5C5FBD91C}"/>
    <cellStyle name="40% - Accent5 3 2 4 2 2 4" xfId="16418" xr:uid="{DB6FF13B-30D5-4428-9495-D5AE5935111C}"/>
    <cellStyle name="40% - Accent5 3 2 4 2 3" xfId="20641" xr:uid="{96F8CB45-E6C4-4712-9A2D-BF573F5C9DAF}"/>
    <cellStyle name="40% - Accent5 3 2 4 2 4" xfId="29088" xr:uid="{554EAE3F-32A9-4BB6-A9DE-3FF6595B5E10}"/>
    <cellStyle name="40% - Accent5 3 2 4 2 5" xfId="12200" xr:uid="{D09FAD36-3D6B-4A68-83FE-2BB266CBB39A}"/>
    <cellStyle name="40% - Accent5 3 2 4 3" xfId="5831" xr:uid="{00000000-0005-0000-0000-00009F060000}"/>
    <cellStyle name="40% - Accent5 3 2 4 3 2" xfId="22714" xr:uid="{777E1A1F-46B1-4B69-8029-0A27979DA4E2}"/>
    <cellStyle name="40% - Accent5 3 2 4 3 3" xfId="31160" xr:uid="{6A090547-22D6-4F21-A469-94996EC29817}"/>
    <cellStyle name="40% - Accent5 3 2 4 3 4" xfId="14273" xr:uid="{3C9AB2D8-F61F-4E70-97C8-D82A2970250C}"/>
    <cellStyle name="40% - Accent5 3 2 4 4" xfId="18496" xr:uid="{5A95851C-86EF-48DD-8010-522FCD286421}"/>
    <cellStyle name="40% - Accent5 3 2 4 5" xfId="26941" xr:uid="{3B5962E0-0878-44E8-BB4E-475C900E931E}"/>
    <cellStyle name="40% - Accent5 3 2 4 6" xfId="10055" xr:uid="{E325926D-3156-47CA-9DE6-F18D6728DCFB}"/>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25272" xr:uid="{42B992D6-FF93-46C0-94B8-91E3C9906484}"/>
    <cellStyle name="40% - Accent5 3 2 5 2 2 3" xfId="33718" xr:uid="{13D39170-A0D3-4204-8282-36CFB9631F24}"/>
    <cellStyle name="40% - Accent5 3 2 5 2 2 4" xfId="16831" xr:uid="{750C82ED-C23F-4608-B087-7E354C15BA13}"/>
    <cellStyle name="40% - Accent5 3 2 5 2 3" xfId="21054" xr:uid="{1B23C2FD-7CD3-4A9F-865A-C8B9E2F9675C}"/>
    <cellStyle name="40% - Accent5 3 2 5 2 4" xfId="29501" xr:uid="{1BD0D459-001E-4FA1-8AE5-6474EF1BACFF}"/>
    <cellStyle name="40% - Accent5 3 2 5 2 5" xfId="12613" xr:uid="{61F3D741-B859-4F54-8187-D1B64F1C6474}"/>
    <cellStyle name="40% - Accent5 3 2 5 3" xfId="6244" xr:uid="{00000000-0005-0000-0000-0000A3060000}"/>
    <cellStyle name="40% - Accent5 3 2 5 3 2" xfId="23127" xr:uid="{F78F9114-33ED-414D-BEC7-5FF09C56B8C4}"/>
    <cellStyle name="40% - Accent5 3 2 5 3 3" xfId="31573" xr:uid="{F514503E-0AB9-4E7C-97D4-8F902F87D739}"/>
    <cellStyle name="40% - Accent5 3 2 5 3 4" xfId="14686" xr:uid="{14E0924D-4982-42D5-9D76-AB6A78C3D6BD}"/>
    <cellStyle name="40% - Accent5 3 2 5 4" xfId="18909" xr:uid="{6234069B-6C74-4BDD-9248-614C061C090A}"/>
    <cellStyle name="40% - Accent5 3 2 5 5" xfId="27354" xr:uid="{EC03600A-63E3-4B70-8F6A-87EF709D5406}"/>
    <cellStyle name="40% - Accent5 3 2 5 6" xfId="10468" xr:uid="{D32FC48A-88DD-4B05-8625-0C54EA4AAB05}"/>
    <cellStyle name="40% - Accent5 3 2 6" xfId="2350" xr:uid="{00000000-0005-0000-0000-0000A4060000}"/>
    <cellStyle name="40% - Accent5 3 2 6 2" xfId="6657" xr:uid="{00000000-0005-0000-0000-0000A5060000}"/>
    <cellStyle name="40% - Accent5 3 2 6 2 2" xfId="23540" xr:uid="{5870356D-705E-47C9-8745-408106DB8EDB}"/>
    <cellStyle name="40% - Accent5 3 2 6 2 3" xfId="31986" xr:uid="{BCB386A8-2270-4D01-96A7-A42846B96470}"/>
    <cellStyle name="40% - Accent5 3 2 6 2 4" xfId="15099" xr:uid="{C6E61FFC-384E-417B-B886-2CCA2BD2C672}"/>
    <cellStyle name="40% - Accent5 3 2 6 3" xfId="19322" xr:uid="{5A6744E6-28A1-471F-A3C2-B1E5EBCBAB1F}"/>
    <cellStyle name="40% - Accent5 3 2 6 4" xfId="27767" xr:uid="{EDAB3A5F-2BBB-482C-9EE0-F67AA1502A41}"/>
    <cellStyle name="40% - Accent5 3 2 6 5" xfId="10881" xr:uid="{01B2B7D7-DD15-4236-8D6B-89D011AFAF59}"/>
    <cellStyle name="40% - Accent5 3 2 7" xfId="4591" xr:uid="{00000000-0005-0000-0000-0000A6060000}"/>
    <cellStyle name="40% - Accent5 3 2 7 2" xfId="21474" xr:uid="{2DB76BD1-90B0-4477-AFAA-36434FDD0146}"/>
    <cellStyle name="40% - Accent5 3 2 7 3" xfId="29920" xr:uid="{41FEBAB7-A1CA-4DF6-A9AF-C796F4A4A69D}"/>
    <cellStyle name="40% - Accent5 3 2 7 4" xfId="13033" xr:uid="{C2D4651A-27D0-470F-82BA-C258B549D04D}"/>
    <cellStyle name="40% - Accent5 3 2 8" xfId="17256" xr:uid="{EB12DE46-51F5-419A-981C-F1DD3614DB1F}"/>
    <cellStyle name="40% - Accent5 3 2 9" xfId="25698" xr:uid="{8C53C121-CDD2-4F98-A3C9-F919989B66DA}"/>
    <cellStyle name="40% - Accent5 3 3" xfId="655" xr:uid="{00000000-0005-0000-0000-0000A7060000}"/>
    <cellStyle name="40% - Accent5 3 3 2" xfId="2926" xr:uid="{00000000-0005-0000-0000-0000A8060000}"/>
    <cellStyle name="40% - Accent5 3 3 2 2" xfId="7149" xr:uid="{00000000-0005-0000-0000-0000A9060000}"/>
    <cellStyle name="40% - Accent5 3 3 2 2 2" xfId="24032" xr:uid="{DE48988C-0545-47BA-8BF8-4D1A6A24B8D9}"/>
    <cellStyle name="40% - Accent5 3 3 2 2 3" xfId="32478" xr:uid="{DAAA90AB-636B-476E-9A5E-D8D8B38BD757}"/>
    <cellStyle name="40% - Accent5 3 3 2 2 4" xfId="15591" xr:uid="{5ECC3917-9F38-47B2-A267-754BD600D8E6}"/>
    <cellStyle name="40% - Accent5 3 3 2 3" xfId="19814" xr:uid="{F109425C-E83C-4DF6-9EA4-BFE024075067}"/>
    <cellStyle name="40% - Accent5 3 3 2 4" xfId="28261" xr:uid="{F6B29DAE-7255-489C-A5B5-B51D19DCD5C1}"/>
    <cellStyle name="40% - Accent5 3 3 2 5" xfId="11373" xr:uid="{32CC1B9B-F6E5-4E9F-98FE-315FDB50A825}"/>
    <cellStyle name="40% - Accent5 3 3 3" xfId="5004" xr:uid="{00000000-0005-0000-0000-0000AA060000}"/>
    <cellStyle name="40% - Accent5 3 3 3 2" xfId="21887" xr:uid="{25668CAC-78DA-4966-AD91-9A8018EFFFB3}"/>
    <cellStyle name="40% - Accent5 3 3 3 3" xfId="30333" xr:uid="{53702765-6CAB-459F-B464-DA84B0A097E6}"/>
    <cellStyle name="40% - Accent5 3 3 3 4" xfId="13446" xr:uid="{71B5848F-EBF0-455F-A13F-4C20CD3F795D}"/>
    <cellStyle name="40% - Accent5 3 3 4" xfId="17669" xr:uid="{C0823A32-231C-4D9E-BB58-93C24592872E}"/>
    <cellStyle name="40% - Accent5 3 3 5" xfId="26114" xr:uid="{CA140179-F674-4106-AB24-79F38997842F}"/>
    <cellStyle name="40% - Accent5 3 3 6" xfId="9228" xr:uid="{34DC70D5-D637-46B9-9947-510A1161593F}"/>
    <cellStyle name="40% - Accent5 3 4" xfId="1108" xr:uid="{00000000-0005-0000-0000-0000AB060000}"/>
    <cellStyle name="40% - Accent5 3 4 2" xfId="3339" xr:uid="{00000000-0005-0000-0000-0000AC060000}"/>
    <cellStyle name="40% - Accent5 3 4 2 2" xfId="7562" xr:uid="{00000000-0005-0000-0000-0000AD060000}"/>
    <cellStyle name="40% - Accent5 3 4 2 2 2" xfId="24445" xr:uid="{81D88E79-AB2A-452F-8280-1BB4FD71900F}"/>
    <cellStyle name="40% - Accent5 3 4 2 2 3" xfId="32891" xr:uid="{82B8A6EA-65DC-4E26-BEB9-EC40BBB4B577}"/>
    <cellStyle name="40% - Accent5 3 4 2 2 4" xfId="16004" xr:uid="{67B7F1C2-F950-48A7-A3E5-0D57935C54E0}"/>
    <cellStyle name="40% - Accent5 3 4 2 3" xfId="20227" xr:uid="{341AB15A-6A87-4587-8C67-8FE0B3341228}"/>
    <cellStyle name="40% - Accent5 3 4 2 4" xfId="28674" xr:uid="{6CAC53D0-55C1-4127-B3EB-D17EEABF5ADD}"/>
    <cellStyle name="40% - Accent5 3 4 2 5" xfId="11786" xr:uid="{12C1F029-F0A8-42E0-B8D7-512968A405DC}"/>
    <cellStyle name="40% - Accent5 3 4 3" xfId="5417" xr:uid="{00000000-0005-0000-0000-0000AE060000}"/>
    <cellStyle name="40% - Accent5 3 4 3 2" xfId="22300" xr:uid="{2AC07343-AE34-4901-9EBB-C628C59E395B}"/>
    <cellStyle name="40% - Accent5 3 4 3 3" xfId="30746" xr:uid="{F32F958A-75F8-478B-8A53-409C521F9B7C}"/>
    <cellStyle name="40% - Accent5 3 4 3 4" xfId="13859" xr:uid="{7F9A210E-3984-4D59-B0A4-A16B2F325D85}"/>
    <cellStyle name="40% - Accent5 3 4 4" xfId="18082" xr:uid="{518D0E3B-FF75-4449-90D1-AB70EEBEBD71}"/>
    <cellStyle name="40% - Accent5 3 4 5" xfId="26527" xr:uid="{F8AA47BF-6BC2-4FE8-B605-8919E2227718}"/>
    <cellStyle name="40% - Accent5 3 4 6" xfId="9641" xr:uid="{94D8CEE5-2D07-4F69-929C-E4752C1AAEA7}"/>
    <cellStyle name="40% - Accent5 3 5" xfId="1522" xr:uid="{00000000-0005-0000-0000-0000AF060000}"/>
    <cellStyle name="40% - Accent5 3 5 2" xfId="3752" xr:uid="{00000000-0005-0000-0000-0000B0060000}"/>
    <cellStyle name="40% - Accent5 3 5 2 2" xfId="7975" xr:uid="{00000000-0005-0000-0000-0000B1060000}"/>
    <cellStyle name="40% - Accent5 3 5 2 2 2" xfId="24858" xr:uid="{C62E72AA-CCBD-4B75-8EAE-58E7CD97FF1E}"/>
    <cellStyle name="40% - Accent5 3 5 2 2 3" xfId="33304" xr:uid="{3F4614BF-46CB-4870-AC8C-7A280D759944}"/>
    <cellStyle name="40% - Accent5 3 5 2 2 4" xfId="16417" xr:uid="{AEF1C625-918E-4A7C-BD80-2D2A61A1AC22}"/>
    <cellStyle name="40% - Accent5 3 5 2 3" xfId="20640" xr:uid="{8221F35A-A844-4714-BF37-9EDE6EB763DB}"/>
    <cellStyle name="40% - Accent5 3 5 2 4" xfId="29087" xr:uid="{EBD0DD73-B428-4906-AEB2-2D8C6FACB0C6}"/>
    <cellStyle name="40% - Accent5 3 5 2 5" xfId="12199" xr:uid="{1D851AC0-B739-4BF8-9E39-B37068369E0A}"/>
    <cellStyle name="40% - Accent5 3 5 3" xfId="5830" xr:uid="{00000000-0005-0000-0000-0000B2060000}"/>
    <cellStyle name="40% - Accent5 3 5 3 2" xfId="22713" xr:uid="{83BA23F4-96E2-4630-8296-115450FBC8FF}"/>
    <cellStyle name="40% - Accent5 3 5 3 3" xfId="31159" xr:uid="{5728A87D-E4CF-4B2E-91E4-F95071E183AA}"/>
    <cellStyle name="40% - Accent5 3 5 3 4" xfId="14272" xr:uid="{74A75FE9-8B50-4A77-B03B-020175DF31CB}"/>
    <cellStyle name="40% - Accent5 3 5 4" xfId="18495" xr:uid="{1B66D1CC-806E-4BA6-AADA-7BEED70F4E9B}"/>
    <cellStyle name="40% - Accent5 3 5 5" xfId="26940" xr:uid="{C541AD8E-0510-43BB-8CE3-4AF79AB17C39}"/>
    <cellStyle name="40% - Accent5 3 5 6" xfId="10054" xr:uid="{ADEA0557-0208-47F0-8D09-30AAF1A29627}"/>
    <cellStyle name="40% - Accent5 3 6" xfId="1936" xr:uid="{00000000-0005-0000-0000-0000B3060000}"/>
    <cellStyle name="40% - Accent5 3 6 2" xfId="4165" xr:uid="{00000000-0005-0000-0000-0000B4060000}"/>
    <cellStyle name="40% - Accent5 3 6 2 2" xfId="8388" xr:uid="{00000000-0005-0000-0000-0000B5060000}"/>
    <cellStyle name="40% - Accent5 3 6 2 2 2" xfId="25271" xr:uid="{8433A1C2-7F95-4E15-AC42-02563FC033C4}"/>
    <cellStyle name="40% - Accent5 3 6 2 2 3" xfId="33717" xr:uid="{21E3EB3E-B617-4319-83D7-DC937E875566}"/>
    <cellStyle name="40% - Accent5 3 6 2 2 4" xfId="16830" xr:uid="{612A9515-6A6A-46E1-B503-AB6DF95F6DA7}"/>
    <cellStyle name="40% - Accent5 3 6 2 3" xfId="21053" xr:uid="{0FE42B9F-3907-40FA-AEAA-4C9883F0AB9E}"/>
    <cellStyle name="40% - Accent5 3 6 2 4" xfId="29500" xr:uid="{48D34517-1817-4F4F-9A08-7BDD951F73ED}"/>
    <cellStyle name="40% - Accent5 3 6 2 5" xfId="12612" xr:uid="{A0983126-2555-4772-9E37-2C368390497A}"/>
    <cellStyle name="40% - Accent5 3 6 3" xfId="6243" xr:uid="{00000000-0005-0000-0000-0000B6060000}"/>
    <cellStyle name="40% - Accent5 3 6 3 2" xfId="23126" xr:uid="{31E409D2-3D02-4335-BD0D-733414B2D9DA}"/>
    <cellStyle name="40% - Accent5 3 6 3 3" xfId="31572" xr:uid="{4954373D-E033-43AC-A62B-36EF9078DEFA}"/>
    <cellStyle name="40% - Accent5 3 6 3 4" xfId="14685" xr:uid="{19921D4A-6650-42BA-A05C-33DC143671B8}"/>
    <cellStyle name="40% - Accent5 3 6 4" xfId="18908" xr:uid="{86405D59-ECFD-4942-BFFB-6A6EA4C988F0}"/>
    <cellStyle name="40% - Accent5 3 6 5" xfId="27353" xr:uid="{2947F535-D348-4961-B032-88790F6AD08C}"/>
    <cellStyle name="40% - Accent5 3 6 6" xfId="10467" xr:uid="{AE9D1B03-EB7F-45E7-B802-EF2E663F364D}"/>
    <cellStyle name="40% - Accent5 3 7" xfId="2349" xr:uid="{00000000-0005-0000-0000-0000B7060000}"/>
    <cellStyle name="40% - Accent5 3 7 2" xfId="6656" xr:uid="{00000000-0005-0000-0000-0000B8060000}"/>
    <cellStyle name="40% - Accent5 3 7 2 2" xfId="23539" xr:uid="{D496C73E-3B3D-45F5-A886-3E404DDAC757}"/>
    <cellStyle name="40% - Accent5 3 7 2 3" xfId="31985" xr:uid="{3977932F-4876-4298-8210-6493A83E030E}"/>
    <cellStyle name="40% - Accent5 3 7 2 4" xfId="15098" xr:uid="{0D2C6B52-5AE0-4EB9-89EE-37C002A78D9B}"/>
    <cellStyle name="40% - Accent5 3 7 3" xfId="19321" xr:uid="{05C2B513-9EE5-4DDF-9DEA-497FD9A97317}"/>
    <cellStyle name="40% - Accent5 3 7 4" xfId="27766" xr:uid="{FC2EA9BC-AD99-4651-A7AB-93ECC9305095}"/>
    <cellStyle name="40% - Accent5 3 7 5" xfId="10880" xr:uid="{6632BF6A-34CE-4C29-AC6A-398F22D3DB1C}"/>
    <cellStyle name="40% - Accent5 3 8" xfId="4590" xr:uid="{00000000-0005-0000-0000-0000B9060000}"/>
    <cellStyle name="40% - Accent5 3 8 2" xfId="21473" xr:uid="{2FA5439A-502C-4408-90E0-BC0D4445E4F0}"/>
    <cellStyle name="40% - Accent5 3 8 3" xfId="29919" xr:uid="{90A9DB41-6C5C-4356-9024-4E707EA5305D}"/>
    <cellStyle name="40% - Accent5 3 8 4" xfId="13032" xr:uid="{CCF779C9-E86B-4374-89B5-2443F522F203}"/>
    <cellStyle name="40% - Accent5 3 9" xfId="17255" xr:uid="{C9B0C1BE-9BE9-4B69-8F9D-A4E9A83BF78B}"/>
    <cellStyle name="40% - Accent5 4" xfId="88" xr:uid="{00000000-0005-0000-0000-0000BA060000}"/>
    <cellStyle name="40% - Accent5 4 10" xfId="8816" xr:uid="{41A6D230-14D6-40B7-A61C-6F413C873D03}"/>
    <cellStyle name="40% - Accent5 4 2" xfId="657" xr:uid="{00000000-0005-0000-0000-0000BB060000}"/>
    <cellStyle name="40% - Accent5 4 2 2" xfId="2928" xr:uid="{00000000-0005-0000-0000-0000BC060000}"/>
    <cellStyle name="40% - Accent5 4 2 2 2" xfId="7151" xr:uid="{00000000-0005-0000-0000-0000BD060000}"/>
    <cellStyle name="40% - Accent5 4 2 2 2 2" xfId="24034" xr:uid="{708A755D-ED9A-46E5-A8B3-B1E713E214E0}"/>
    <cellStyle name="40% - Accent5 4 2 2 2 3" xfId="32480" xr:uid="{C5EC7E56-0F22-41A9-94DD-76EE71F99DE0}"/>
    <cellStyle name="40% - Accent5 4 2 2 2 4" xfId="15593" xr:uid="{DDD9BEF5-EC93-409A-B838-4863007848D1}"/>
    <cellStyle name="40% - Accent5 4 2 2 3" xfId="19816" xr:uid="{835D6A20-2C27-487D-8992-368FCC427807}"/>
    <cellStyle name="40% - Accent5 4 2 2 4" xfId="28263" xr:uid="{7EAB5BBB-CC36-4938-93E8-E57DD3EE9E2D}"/>
    <cellStyle name="40% - Accent5 4 2 2 5" xfId="11375" xr:uid="{8A3CD968-CDB5-44CC-864E-81A4865AEBED}"/>
    <cellStyle name="40% - Accent5 4 2 3" xfId="5006" xr:uid="{00000000-0005-0000-0000-0000BE060000}"/>
    <cellStyle name="40% - Accent5 4 2 3 2" xfId="21889" xr:uid="{6127DC17-398C-49D2-A9EB-4C1E032D2A33}"/>
    <cellStyle name="40% - Accent5 4 2 3 3" xfId="30335" xr:uid="{B70DD36E-19F1-47B1-AA3F-85495DC95EB3}"/>
    <cellStyle name="40% - Accent5 4 2 3 4" xfId="13448" xr:uid="{01DB6597-842B-4BF2-B476-97F3F04ED542}"/>
    <cellStyle name="40% - Accent5 4 2 4" xfId="17671" xr:uid="{8E03F782-00C1-46E2-8C43-1B1FCB93564F}"/>
    <cellStyle name="40% - Accent5 4 2 5" xfId="26116" xr:uid="{05596E0E-FAF7-420E-9CBE-676051B0DF93}"/>
    <cellStyle name="40% - Accent5 4 2 6" xfId="9230" xr:uid="{7BFD16D1-EB63-464A-8205-7735C71BE5FF}"/>
    <cellStyle name="40% - Accent5 4 3" xfId="1110" xr:uid="{00000000-0005-0000-0000-0000BF060000}"/>
    <cellStyle name="40% - Accent5 4 3 2" xfId="3341" xr:uid="{00000000-0005-0000-0000-0000C0060000}"/>
    <cellStyle name="40% - Accent5 4 3 2 2" xfId="7564" xr:uid="{00000000-0005-0000-0000-0000C1060000}"/>
    <cellStyle name="40% - Accent5 4 3 2 2 2" xfId="24447" xr:uid="{84573C3E-F0E4-4113-804E-986F97CF69AF}"/>
    <cellStyle name="40% - Accent5 4 3 2 2 3" xfId="32893" xr:uid="{0F829B87-64DC-436A-BA7E-DD92764FE8CC}"/>
    <cellStyle name="40% - Accent5 4 3 2 2 4" xfId="16006" xr:uid="{30789D86-D8F0-4B86-97C0-B917CB76469F}"/>
    <cellStyle name="40% - Accent5 4 3 2 3" xfId="20229" xr:uid="{F0B1E7C9-3678-4509-A909-88357E846B4C}"/>
    <cellStyle name="40% - Accent5 4 3 2 4" xfId="28676" xr:uid="{3F03C9E6-78B2-4674-808A-1939A9271A00}"/>
    <cellStyle name="40% - Accent5 4 3 2 5" xfId="11788" xr:uid="{A56AD729-8F36-4F7F-B11E-ED49633EC01A}"/>
    <cellStyle name="40% - Accent5 4 3 3" xfId="5419" xr:uid="{00000000-0005-0000-0000-0000C2060000}"/>
    <cellStyle name="40% - Accent5 4 3 3 2" xfId="22302" xr:uid="{78F254B3-0E64-4367-984B-66763A8133E1}"/>
    <cellStyle name="40% - Accent5 4 3 3 3" xfId="30748" xr:uid="{F5AF8214-AC69-4BD7-BA1E-D9F971083C5E}"/>
    <cellStyle name="40% - Accent5 4 3 3 4" xfId="13861" xr:uid="{00866702-9C2E-4DC2-A10B-94F18FF37007}"/>
    <cellStyle name="40% - Accent5 4 3 4" xfId="18084" xr:uid="{C89E7E06-5389-40BD-9950-A5BC4522C8AB}"/>
    <cellStyle name="40% - Accent5 4 3 5" xfId="26529" xr:uid="{8E1F6EE8-7BE2-4657-B6D4-0CFC6411D0A0}"/>
    <cellStyle name="40% - Accent5 4 3 6" xfId="9643" xr:uid="{8D49713A-560F-40F9-A90F-6D4C9C2B4A71}"/>
    <cellStyle name="40% - Accent5 4 4" xfId="1524" xr:uid="{00000000-0005-0000-0000-0000C3060000}"/>
    <cellStyle name="40% - Accent5 4 4 2" xfId="3754" xr:uid="{00000000-0005-0000-0000-0000C4060000}"/>
    <cellStyle name="40% - Accent5 4 4 2 2" xfId="7977" xr:uid="{00000000-0005-0000-0000-0000C5060000}"/>
    <cellStyle name="40% - Accent5 4 4 2 2 2" xfId="24860" xr:uid="{C83BFE86-D5D9-49C3-B24A-8974C1EA043D}"/>
    <cellStyle name="40% - Accent5 4 4 2 2 3" xfId="33306" xr:uid="{0E37652E-6D1A-4130-88B2-3143E4C712C8}"/>
    <cellStyle name="40% - Accent5 4 4 2 2 4" xfId="16419" xr:uid="{E381579A-0FD2-40CE-AFC7-D5D371C9AB0A}"/>
    <cellStyle name="40% - Accent5 4 4 2 3" xfId="20642" xr:uid="{7F2E1042-A751-430D-A1CE-A3A6BD87A1FE}"/>
    <cellStyle name="40% - Accent5 4 4 2 4" xfId="29089" xr:uid="{CA9F33C6-3119-44A2-9EF3-F6B04AB236C0}"/>
    <cellStyle name="40% - Accent5 4 4 2 5" xfId="12201" xr:uid="{D06C28D2-2962-4A51-AF78-3F3642D71825}"/>
    <cellStyle name="40% - Accent5 4 4 3" xfId="5832" xr:uid="{00000000-0005-0000-0000-0000C6060000}"/>
    <cellStyle name="40% - Accent5 4 4 3 2" xfId="22715" xr:uid="{8673E49A-F737-43C2-98D0-D0F30AB79DF4}"/>
    <cellStyle name="40% - Accent5 4 4 3 3" xfId="31161" xr:uid="{F0F9BD71-38DD-497D-8C5E-AFCEB6AC2C58}"/>
    <cellStyle name="40% - Accent5 4 4 3 4" xfId="14274" xr:uid="{A3001049-B7AB-4B4C-9575-E6D3054B616E}"/>
    <cellStyle name="40% - Accent5 4 4 4" xfId="18497" xr:uid="{F9ADD43A-2A5B-4E86-96E7-6A601388D5AA}"/>
    <cellStyle name="40% - Accent5 4 4 5" xfId="26942" xr:uid="{75EE160F-9FE4-4B41-B1F6-0CA18411F0D4}"/>
    <cellStyle name="40% - Accent5 4 4 6" xfId="10056" xr:uid="{74929D95-1FFB-4525-AA3B-2BF843A7C60E}"/>
    <cellStyle name="40% - Accent5 4 5" xfId="1938" xr:uid="{00000000-0005-0000-0000-0000C7060000}"/>
    <cellStyle name="40% - Accent5 4 5 2" xfId="4167" xr:uid="{00000000-0005-0000-0000-0000C8060000}"/>
    <cellStyle name="40% - Accent5 4 5 2 2" xfId="8390" xr:uid="{00000000-0005-0000-0000-0000C9060000}"/>
    <cellStyle name="40% - Accent5 4 5 2 2 2" xfId="25273" xr:uid="{C88484B1-B860-4510-ACA5-A364BD51FDFF}"/>
    <cellStyle name="40% - Accent5 4 5 2 2 3" xfId="33719" xr:uid="{A7D3D2AD-9A61-4C3F-AC3A-360894BF5FAB}"/>
    <cellStyle name="40% - Accent5 4 5 2 2 4" xfId="16832" xr:uid="{2E293E8E-3F51-4781-8E86-C2DAD617876D}"/>
    <cellStyle name="40% - Accent5 4 5 2 3" xfId="21055" xr:uid="{F98C0599-7A12-4339-9E50-4D9C30BF1C9A}"/>
    <cellStyle name="40% - Accent5 4 5 2 4" xfId="29502" xr:uid="{16A7D4EE-8E59-41A1-AABC-9C04CB4CE184}"/>
    <cellStyle name="40% - Accent5 4 5 2 5" xfId="12614" xr:uid="{AD725D68-38AE-44A8-A5B6-9708C7445D57}"/>
    <cellStyle name="40% - Accent5 4 5 3" xfId="6245" xr:uid="{00000000-0005-0000-0000-0000CA060000}"/>
    <cellStyle name="40% - Accent5 4 5 3 2" xfId="23128" xr:uid="{9311A7D9-7644-4E8C-9920-CF48E3EA561F}"/>
    <cellStyle name="40% - Accent5 4 5 3 3" xfId="31574" xr:uid="{E96AF468-F597-4749-B118-93802A4A272D}"/>
    <cellStyle name="40% - Accent5 4 5 3 4" xfId="14687" xr:uid="{30B9469A-6F61-4A73-B2C6-A8F794D7DA42}"/>
    <cellStyle name="40% - Accent5 4 5 4" xfId="18910" xr:uid="{37542D29-A347-4D70-BFB7-3ED6E81C2326}"/>
    <cellStyle name="40% - Accent5 4 5 5" xfId="27355" xr:uid="{25EA3E22-37A7-41E8-BEDF-B45B7DBD8A9D}"/>
    <cellStyle name="40% - Accent5 4 5 6" xfId="10469" xr:uid="{31D0F7C1-CB7E-48BF-978A-371ED9F25AC3}"/>
    <cellStyle name="40% - Accent5 4 6" xfId="2351" xr:uid="{00000000-0005-0000-0000-0000CB060000}"/>
    <cellStyle name="40% - Accent5 4 6 2" xfId="6658" xr:uid="{00000000-0005-0000-0000-0000CC060000}"/>
    <cellStyle name="40% - Accent5 4 6 2 2" xfId="23541" xr:uid="{B847F25D-2AE4-416C-A015-0B5E6E6ABEAA}"/>
    <cellStyle name="40% - Accent5 4 6 2 3" xfId="31987" xr:uid="{94C45E1D-77B1-439C-92D4-D45A23B00BF6}"/>
    <cellStyle name="40% - Accent5 4 6 2 4" xfId="15100" xr:uid="{BBCC8116-0D15-4C3B-AACB-6EE797A50AD8}"/>
    <cellStyle name="40% - Accent5 4 6 3" xfId="19323" xr:uid="{DD9567E8-9BD3-4D03-95B0-086BAD7C47BD}"/>
    <cellStyle name="40% - Accent5 4 6 4" xfId="27768" xr:uid="{D51F8606-2099-46F0-823F-7EED33BAFFB4}"/>
    <cellStyle name="40% - Accent5 4 6 5" xfId="10882" xr:uid="{941A74FB-8A04-45AE-B821-BDE4DF208F61}"/>
    <cellStyle name="40% - Accent5 4 7" xfId="4592" xr:uid="{00000000-0005-0000-0000-0000CD060000}"/>
    <cellStyle name="40% - Accent5 4 7 2" xfId="21475" xr:uid="{9468E424-95B2-4D82-BD72-0FE382EAA233}"/>
    <cellStyle name="40% - Accent5 4 7 3" xfId="29921" xr:uid="{680CA54A-BC06-4768-BC95-8B210875A768}"/>
    <cellStyle name="40% - Accent5 4 7 4" xfId="13034" xr:uid="{449CCC2F-A15D-45CA-817A-4B7AF43DA1AF}"/>
    <cellStyle name="40% - Accent5 4 8" xfId="17257" xr:uid="{3E8B5FEC-9C55-470E-A4CD-CF98CE3EBC18}"/>
    <cellStyle name="40% - Accent5 4 9" xfId="25699" xr:uid="{0001F23C-E4F4-411C-80D0-6675E1444016}"/>
    <cellStyle name="40% - Accent5 5" xfId="650" xr:uid="{00000000-0005-0000-0000-0000CE060000}"/>
    <cellStyle name="40% - Accent5 5 2" xfId="2921" xr:uid="{00000000-0005-0000-0000-0000CF060000}"/>
    <cellStyle name="40% - Accent5 5 2 2" xfId="7144" xr:uid="{00000000-0005-0000-0000-0000D0060000}"/>
    <cellStyle name="40% - Accent5 5 2 2 2" xfId="24027" xr:uid="{FE629688-0199-40F4-B1F3-F2BC975A9D33}"/>
    <cellStyle name="40% - Accent5 5 2 2 3" xfId="32473" xr:uid="{5D1B6107-7752-4EC6-93C3-7981411775CC}"/>
    <cellStyle name="40% - Accent5 5 2 2 4" xfId="15586" xr:uid="{3C142702-8A5C-49CA-903C-695B92C2ADE2}"/>
    <cellStyle name="40% - Accent5 5 2 3" xfId="19809" xr:uid="{DDD63FFB-E1BC-4629-AD76-B2F94D5E1169}"/>
    <cellStyle name="40% - Accent5 5 2 4" xfId="28256" xr:uid="{62167ECE-3F33-475C-8AF6-E435EF5BF7C5}"/>
    <cellStyle name="40% - Accent5 5 2 5" xfId="11368" xr:uid="{672A6B06-71C1-48D3-B255-D2B01EA9AC05}"/>
    <cellStyle name="40% - Accent5 5 3" xfId="4999" xr:uid="{00000000-0005-0000-0000-0000D1060000}"/>
    <cellStyle name="40% - Accent5 5 3 2" xfId="21882" xr:uid="{E067119F-FA58-40A1-A836-76F446456211}"/>
    <cellStyle name="40% - Accent5 5 3 3" xfId="30328" xr:uid="{99152F21-4CC3-49FC-8F61-55A6639F1178}"/>
    <cellStyle name="40% - Accent5 5 3 4" xfId="13441" xr:uid="{9B55E75F-E168-42B0-926B-096D79DF8E34}"/>
    <cellStyle name="40% - Accent5 5 4" xfId="17664" xr:uid="{F69060FA-50D6-43B5-9BFF-24387835E698}"/>
    <cellStyle name="40% - Accent5 5 5" xfId="26109" xr:uid="{82E40C49-6700-4622-98A4-33F62E80EF87}"/>
    <cellStyle name="40% - Accent5 5 6" xfId="9223" xr:uid="{F9825DE2-BA50-4632-B99E-20D702C669CC}"/>
    <cellStyle name="40% - Accent5 6" xfId="1103" xr:uid="{00000000-0005-0000-0000-0000D2060000}"/>
    <cellStyle name="40% - Accent5 6 2" xfId="3334" xr:uid="{00000000-0005-0000-0000-0000D3060000}"/>
    <cellStyle name="40% - Accent5 6 2 2" xfId="7557" xr:uid="{00000000-0005-0000-0000-0000D4060000}"/>
    <cellStyle name="40% - Accent5 6 2 2 2" xfId="24440" xr:uid="{A15EFCD8-B291-4219-957C-8796CD5669B0}"/>
    <cellStyle name="40% - Accent5 6 2 2 3" xfId="32886" xr:uid="{6B4C06CC-A432-462E-8B5A-EC04C3338E0D}"/>
    <cellStyle name="40% - Accent5 6 2 2 4" xfId="15999" xr:uid="{EE66D632-4086-4B02-80CC-AC5DEF285B49}"/>
    <cellStyle name="40% - Accent5 6 2 3" xfId="20222" xr:uid="{74F74030-081B-4C17-AB15-EA3CD4EF0280}"/>
    <cellStyle name="40% - Accent5 6 2 4" xfId="28669" xr:uid="{F1DFEE3F-D689-4210-AFB8-4A2D2E53A46F}"/>
    <cellStyle name="40% - Accent5 6 2 5" xfId="11781" xr:uid="{52481174-0821-4EA0-B0CA-EBB5BA0C6040}"/>
    <cellStyle name="40% - Accent5 6 3" xfId="5412" xr:uid="{00000000-0005-0000-0000-0000D5060000}"/>
    <cellStyle name="40% - Accent5 6 3 2" xfId="22295" xr:uid="{0FEDD64E-609C-4C80-8D23-6D01D30D349C}"/>
    <cellStyle name="40% - Accent5 6 3 3" xfId="30741" xr:uid="{1AFCB7CE-16D2-4829-AB0F-D98D9B3C6901}"/>
    <cellStyle name="40% - Accent5 6 3 4" xfId="13854" xr:uid="{31087E8E-D41B-422B-BC65-F1A7F63C8648}"/>
    <cellStyle name="40% - Accent5 6 4" xfId="18077" xr:uid="{D2486B39-984E-4F48-A346-F731D71A054E}"/>
    <cellStyle name="40% - Accent5 6 5" xfId="26522" xr:uid="{AA308447-73FA-438E-8403-6090A16822DE}"/>
    <cellStyle name="40% - Accent5 6 6" xfId="9636" xr:uid="{3818BC73-5BB7-432E-9C41-DA40F41122A5}"/>
    <cellStyle name="40% - Accent5 7" xfId="1517" xr:uid="{00000000-0005-0000-0000-0000D6060000}"/>
    <cellStyle name="40% - Accent5 7 2" xfId="3747" xr:uid="{00000000-0005-0000-0000-0000D7060000}"/>
    <cellStyle name="40% - Accent5 7 2 2" xfId="7970" xr:uid="{00000000-0005-0000-0000-0000D8060000}"/>
    <cellStyle name="40% - Accent5 7 2 2 2" xfId="24853" xr:uid="{5274BE9E-083A-4DE5-AA84-BF8B7AD1542D}"/>
    <cellStyle name="40% - Accent5 7 2 2 3" xfId="33299" xr:uid="{8CCA6EBE-8283-45D4-A448-A379F864923A}"/>
    <cellStyle name="40% - Accent5 7 2 2 4" xfId="16412" xr:uid="{589D27BA-E50B-4D6C-9832-64884887C6B2}"/>
    <cellStyle name="40% - Accent5 7 2 3" xfId="20635" xr:uid="{09A630C6-464F-4586-918A-D7ACA741B623}"/>
    <cellStyle name="40% - Accent5 7 2 4" xfId="29082" xr:uid="{C2A10848-6CE5-4C75-A911-332DEF3907ED}"/>
    <cellStyle name="40% - Accent5 7 2 5" xfId="12194" xr:uid="{F3A97B58-3941-49DE-989A-9A8EF2431289}"/>
    <cellStyle name="40% - Accent5 7 3" xfId="5825" xr:uid="{00000000-0005-0000-0000-0000D9060000}"/>
    <cellStyle name="40% - Accent5 7 3 2" xfId="22708" xr:uid="{D561BA0D-2A9E-4B23-8072-FF0D6CCD0302}"/>
    <cellStyle name="40% - Accent5 7 3 3" xfId="31154" xr:uid="{69657CED-2464-4238-9D9B-C9C2F863200D}"/>
    <cellStyle name="40% - Accent5 7 3 4" xfId="14267" xr:uid="{0FE8913F-0433-455C-A413-DA6B4E7C494F}"/>
    <cellStyle name="40% - Accent5 7 4" xfId="18490" xr:uid="{A4388C13-9C28-4766-BD4B-57FAF949E886}"/>
    <cellStyle name="40% - Accent5 7 5" xfId="26935" xr:uid="{ADBF70BE-C3BA-42EC-AE70-0E217A2BC7D2}"/>
    <cellStyle name="40% - Accent5 7 6" xfId="10049" xr:uid="{B5046C3D-2E85-46C7-A6F1-44479C94298D}"/>
    <cellStyle name="40% - Accent5 8" xfId="1931" xr:uid="{00000000-0005-0000-0000-0000DA060000}"/>
    <cellStyle name="40% - Accent5 8 2" xfId="4160" xr:uid="{00000000-0005-0000-0000-0000DB060000}"/>
    <cellStyle name="40% - Accent5 8 2 2" xfId="8383" xr:uid="{00000000-0005-0000-0000-0000DC060000}"/>
    <cellStyle name="40% - Accent5 8 2 2 2" xfId="25266" xr:uid="{855DE5FF-BD6F-49B5-B32A-7924CD827D18}"/>
    <cellStyle name="40% - Accent5 8 2 2 3" xfId="33712" xr:uid="{AFBC41CF-985C-4502-9093-EE821DEEF2B3}"/>
    <cellStyle name="40% - Accent5 8 2 2 4" xfId="16825" xr:uid="{0E91A6C9-685B-4E40-A71B-4E959C39B563}"/>
    <cellStyle name="40% - Accent5 8 2 3" xfId="21048" xr:uid="{69D80898-39D8-4E32-91B9-5E6132F176C3}"/>
    <cellStyle name="40% - Accent5 8 2 4" xfId="29495" xr:uid="{E32F2B2B-6DF6-40C8-8713-E494E19BC60F}"/>
    <cellStyle name="40% - Accent5 8 2 5" xfId="12607" xr:uid="{96F30B04-4EF5-499A-9BED-1BCABE2C001C}"/>
    <cellStyle name="40% - Accent5 8 3" xfId="6238" xr:uid="{00000000-0005-0000-0000-0000DD060000}"/>
    <cellStyle name="40% - Accent5 8 3 2" xfId="23121" xr:uid="{1EE4A4B0-CA1A-41E8-81D5-FE87A62198CD}"/>
    <cellStyle name="40% - Accent5 8 3 3" xfId="31567" xr:uid="{B2538BD3-80ED-4107-9826-E185EF1B5982}"/>
    <cellStyle name="40% - Accent5 8 3 4" xfId="14680" xr:uid="{47258ACE-3A7A-4640-A109-6FBE9EF39433}"/>
    <cellStyle name="40% - Accent5 8 4" xfId="18903" xr:uid="{10E93646-3E83-40A9-B1D1-3E7EE330D226}"/>
    <cellStyle name="40% - Accent5 8 5" xfId="27348" xr:uid="{95C7C15F-AA73-4EF1-A9C9-20298952B612}"/>
    <cellStyle name="40% - Accent5 8 6" xfId="10462" xr:uid="{A65F17B4-B70E-4FE5-A474-57B2675F07FA}"/>
    <cellStyle name="40% - Accent5 9" xfId="2344" xr:uid="{00000000-0005-0000-0000-0000DE060000}"/>
    <cellStyle name="40% - Accent5 9 2" xfId="6651" xr:uid="{00000000-0005-0000-0000-0000DF060000}"/>
    <cellStyle name="40% - Accent5 9 2 2" xfId="23534" xr:uid="{F0E039EA-49AF-4101-A665-C7768368F91F}"/>
    <cellStyle name="40% - Accent5 9 2 3" xfId="31980" xr:uid="{E90E1134-C8BC-425C-B0CB-52EF8D4672F2}"/>
    <cellStyle name="40% - Accent5 9 2 4" xfId="15093" xr:uid="{58371B1B-8F4C-4079-992A-0C9B138F0B11}"/>
    <cellStyle name="40% - Accent5 9 3" xfId="19316" xr:uid="{BFF87ED3-B311-4093-841A-159F08E80B6E}"/>
    <cellStyle name="40% - Accent5 9 4" xfId="27761" xr:uid="{74BEBA74-B071-4F9B-BAD7-F0F2AC963C8D}"/>
    <cellStyle name="40% - Accent5 9 5" xfId="10875" xr:uid="{ECB965BC-93D3-47F1-962B-85CE12B536EE}"/>
    <cellStyle name="40% - Accent6" xfId="89" builtinId="51" customBuiltin="1"/>
    <cellStyle name="40% - Accent6 10" xfId="4593" xr:uid="{00000000-0005-0000-0000-0000E1060000}"/>
    <cellStyle name="40% - Accent6 10 2" xfId="21476" xr:uid="{F809E899-4B22-4DF2-BF9E-85B1F27C0EC5}"/>
    <cellStyle name="40% - Accent6 10 3" xfId="29922" xr:uid="{E998CBDC-4C74-4B69-A9E2-8E2D14318BC6}"/>
    <cellStyle name="40% - Accent6 10 4" xfId="13035" xr:uid="{70AA08D2-1A83-4845-92BC-79142349B545}"/>
    <cellStyle name="40% - Accent6 11" xfId="17258" xr:uid="{DACC66E7-2E05-4DF1-83E8-06F23341B1BC}"/>
    <cellStyle name="40% - Accent6 12" xfId="25700" xr:uid="{91801FB8-59BE-4339-954A-7B172037CF7A}"/>
    <cellStyle name="40% - Accent6 13" xfId="8817" xr:uid="{4DDF5C86-FECE-4DAE-A0A6-AA0356D7AC04}"/>
    <cellStyle name="40% - Accent6 2" xfId="90" xr:uid="{00000000-0005-0000-0000-0000E2060000}"/>
    <cellStyle name="40% - Accent6 2 10" xfId="17259" xr:uid="{89D586DC-F879-44D5-B759-314DBCB3595E}"/>
    <cellStyle name="40% - Accent6 2 11" xfId="25701" xr:uid="{14598FC4-9B05-40F5-B970-9DB184886911}"/>
    <cellStyle name="40% - Accent6 2 12" xfId="8818" xr:uid="{973AD9FF-AC6A-4AE2-9B05-136BAB8378B4}"/>
    <cellStyle name="40% - Accent6 2 2" xfId="91" xr:uid="{00000000-0005-0000-0000-0000E3060000}"/>
    <cellStyle name="40% - Accent6 2 2 10" xfId="25702" xr:uid="{C2F4C653-CCAB-4A99-9403-BC42C96C17AA}"/>
    <cellStyle name="40% - Accent6 2 2 11" xfId="8819" xr:uid="{F525767C-595B-4428-9DB3-EC2A5CC78C03}"/>
    <cellStyle name="40% - Accent6 2 2 2" xfId="92" xr:uid="{00000000-0005-0000-0000-0000E4060000}"/>
    <cellStyle name="40% - Accent6 2 2 2 10" xfId="8820" xr:uid="{87F32F2F-C598-4003-9AAE-F8232BB81583}"/>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24038" xr:uid="{2BB527A3-3FD4-46D0-BC59-EF0E0D0DAF1E}"/>
    <cellStyle name="40% - Accent6 2 2 2 2 2 2 3" xfId="32484" xr:uid="{1FB75F1D-8B2C-4EEE-B305-B8EB47B82546}"/>
    <cellStyle name="40% - Accent6 2 2 2 2 2 2 4" xfId="15597" xr:uid="{EDEC5343-C7A6-4ED1-B633-3188E911BEB8}"/>
    <cellStyle name="40% - Accent6 2 2 2 2 2 3" xfId="19820" xr:uid="{20E81E28-1A02-45B5-8564-5D5060A5DAC2}"/>
    <cellStyle name="40% - Accent6 2 2 2 2 2 4" xfId="28267" xr:uid="{0009DE1E-F95E-47F7-9DAD-0C9B5A39812C}"/>
    <cellStyle name="40% - Accent6 2 2 2 2 2 5" xfId="11379" xr:uid="{DEFC273A-60DE-47F1-B064-AEE4938FD833}"/>
    <cellStyle name="40% - Accent6 2 2 2 2 3" xfId="5010" xr:uid="{00000000-0005-0000-0000-0000E8060000}"/>
    <cellStyle name="40% - Accent6 2 2 2 2 3 2" xfId="21893" xr:uid="{4B6E1932-923D-4BCE-8CF4-6AF2621C6527}"/>
    <cellStyle name="40% - Accent6 2 2 2 2 3 3" xfId="30339" xr:uid="{CE25F654-E15C-4D0F-AE23-E76D58F9CCBC}"/>
    <cellStyle name="40% - Accent6 2 2 2 2 3 4" xfId="13452" xr:uid="{7BB63715-EADC-4119-965D-4F107254A43D}"/>
    <cellStyle name="40% - Accent6 2 2 2 2 4" xfId="17675" xr:uid="{1B4AD19D-AEBF-42A9-A216-E0853A22C70C}"/>
    <cellStyle name="40% - Accent6 2 2 2 2 5" xfId="26120" xr:uid="{15869527-049B-4F08-8FBD-9EBBAE020B34}"/>
    <cellStyle name="40% - Accent6 2 2 2 2 6" xfId="9234" xr:uid="{401BF4EB-8696-4E7E-854F-2955D2AC5EBC}"/>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24451" xr:uid="{24D7EABA-B985-424E-8E48-4D1317505511}"/>
    <cellStyle name="40% - Accent6 2 2 2 3 2 2 3" xfId="32897" xr:uid="{8A3B951C-7609-4C1A-B621-67A12A16A530}"/>
    <cellStyle name="40% - Accent6 2 2 2 3 2 2 4" xfId="16010" xr:uid="{7D3C8BE2-8FA9-4CBF-AA6C-B7AC4D8C6DE8}"/>
    <cellStyle name="40% - Accent6 2 2 2 3 2 3" xfId="20233" xr:uid="{80A478FA-D88E-4BA1-B948-FCF6C91F3756}"/>
    <cellStyle name="40% - Accent6 2 2 2 3 2 4" xfId="28680" xr:uid="{DBD4B385-0FAA-497F-B1CE-CB3229C12FFC}"/>
    <cellStyle name="40% - Accent6 2 2 2 3 2 5" xfId="11792" xr:uid="{1B29E3F2-DED8-4A0A-A887-B6CD42FA2FD2}"/>
    <cellStyle name="40% - Accent6 2 2 2 3 3" xfId="5423" xr:uid="{00000000-0005-0000-0000-0000EC060000}"/>
    <cellStyle name="40% - Accent6 2 2 2 3 3 2" xfId="22306" xr:uid="{14CAB722-E95D-4D98-86C0-CBFE09D1EA4C}"/>
    <cellStyle name="40% - Accent6 2 2 2 3 3 3" xfId="30752" xr:uid="{291CBE48-93A7-46CE-A070-049744D037DA}"/>
    <cellStyle name="40% - Accent6 2 2 2 3 3 4" xfId="13865" xr:uid="{30237BB0-7826-4A67-AEFD-5E693E97156F}"/>
    <cellStyle name="40% - Accent6 2 2 2 3 4" xfId="18088" xr:uid="{8D1C5413-5FB1-4B85-9C51-30DCA65AE99E}"/>
    <cellStyle name="40% - Accent6 2 2 2 3 5" xfId="26533" xr:uid="{9E656125-A5C9-4225-8D3C-D0D050A070EF}"/>
    <cellStyle name="40% - Accent6 2 2 2 3 6" xfId="9647" xr:uid="{149C3838-0D48-4B53-9A66-7A96588D1857}"/>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24864" xr:uid="{C8E2A278-14D8-4413-8CA6-32C6B9257AD8}"/>
    <cellStyle name="40% - Accent6 2 2 2 4 2 2 3" xfId="33310" xr:uid="{F2D64864-B0DF-4E5B-BB66-C3B76A2D0C21}"/>
    <cellStyle name="40% - Accent6 2 2 2 4 2 2 4" xfId="16423" xr:uid="{11BBC51B-3B6F-4AEA-A0EF-BC9594FF42E4}"/>
    <cellStyle name="40% - Accent6 2 2 2 4 2 3" xfId="20646" xr:uid="{5E594D13-8362-478E-A91C-DE6F66FCA56F}"/>
    <cellStyle name="40% - Accent6 2 2 2 4 2 4" xfId="29093" xr:uid="{27E91C55-9EFD-428B-80FA-96AD9329EB68}"/>
    <cellStyle name="40% - Accent6 2 2 2 4 2 5" xfId="12205" xr:uid="{E058FA3A-894E-4F29-A1A2-D0C749F6E153}"/>
    <cellStyle name="40% - Accent6 2 2 2 4 3" xfId="5836" xr:uid="{00000000-0005-0000-0000-0000F0060000}"/>
    <cellStyle name="40% - Accent6 2 2 2 4 3 2" xfId="22719" xr:uid="{50402C9E-2CC4-43D4-A2F8-3C03688B2DF6}"/>
    <cellStyle name="40% - Accent6 2 2 2 4 3 3" xfId="31165" xr:uid="{FA517DEE-827D-443B-B16C-08986D3C3A4B}"/>
    <cellStyle name="40% - Accent6 2 2 2 4 3 4" xfId="14278" xr:uid="{358B51B1-033A-403E-B2EB-B5D65E440D18}"/>
    <cellStyle name="40% - Accent6 2 2 2 4 4" xfId="18501" xr:uid="{195B4F1C-D936-499C-B369-C8E64E29361C}"/>
    <cellStyle name="40% - Accent6 2 2 2 4 5" xfId="26946" xr:uid="{05F7C6A0-A2EC-488C-947A-57655D29CB84}"/>
    <cellStyle name="40% - Accent6 2 2 2 4 6" xfId="10060" xr:uid="{12BDF51E-89A9-4306-BD42-8F4AC25413EE}"/>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25277" xr:uid="{C91634A0-8B59-42C6-B5D7-E6174283C7B4}"/>
    <cellStyle name="40% - Accent6 2 2 2 5 2 2 3" xfId="33723" xr:uid="{58E60C91-BCF8-452F-8A6E-3DCB289D6AEF}"/>
    <cellStyle name="40% - Accent6 2 2 2 5 2 2 4" xfId="16836" xr:uid="{43854F7E-0115-47A0-B057-6EFF5C103CA1}"/>
    <cellStyle name="40% - Accent6 2 2 2 5 2 3" xfId="21059" xr:uid="{CE0A97A2-33BD-4552-8FB4-0F5DE00D49DD}"/>
    <cellStyle name="40% - Accent6 2 2 2 5 2 4" xfId="29506" xr:uid="{B2BC8C7F-B42A-4539-A246-EC553FD0901C}"/>
    <cellStyle name="40% - Accent6 2 2 2 5 2 5" xfId="12618" xr:uid="{189D1802-6C71-467A-B3D8-5A03B3908F51}"/>
    <cellStyle name="40% - Accent6 2 2 2 5 3" xfId="6249" xr:uid="{00000000-0005-0000-0000-0000F4060000}"/>
    <cellStyle name="40% - Accent6 2 2 2 5 3 2" xfId="23132" xr:uid="{53AC4393-CF2D-4589-BFA6-B1EBB0CB9704}"/>
    <cellStyle name="40% - Accent6 2 2 2 5 3 3" xfId="31578" xr:uid="{D4C87639-7719-4E33-AE13-C25BA8295285}"/>
    <cellStyle name="40% - Accent6 2 2 2 5 3 4" xfId="14691" xr:uid="{E9C8CF48-AFEF-4F8F-8B01-F0044BEA4154}"/>
    <cellStyle name="40% - Accent6 2 2 2 5 4" xfId="18914" xr:uid="{D273F6C5-049D-4920-A4AB-DF445AE82002}"/>
    <cellStyle name="40% - Accent6 2 2 2 5 5" xfId="27359" xr:uid="{A3901BE7-9FB8-4A19-B275-8DA3BCE802FA}"/>
    <cellStyle name="40% - Accent6 2 2 2 5 6" xfId="10473" xr:uid="{48D36D99-0169-4466-8522-B0FC6E4EF29B}"/>
    <cellStyle name="40% - Accent6 2 2 2 6" xfId="2355" xr:uid="{00000000-0005-0000-0000-0000F5060000}"/>
    <cellStyle name="40% - Accent6 2 2 2 6 2" xfId="6662" xr:uid="{00000000-0005-0000-0000-0000F6060000}"/>
    <cellStyle name="40% - Accent6 2 2 2 6 2 2" xfId="23545" xr:uid="{79C770F5-79BC-42A0-8B70-35D26198631A}"/>
    <cellStyle name="40% - Accent6 2 2 2 6 2 3" xfId="31991" xr:uid="{42447E07-58D4-4EDA-82CF-5BB01055D5D9}"/>
    <cellStyle name="40% - Accent6 2 2 2 6 2 4" xfId="15104" xr:uid="{0F947740-4F3A-4E8F-910A-652BC713A86B}"/>
    <cellStyle name="40% - Accent6 2 2 2 6 3" xfId="19327" xr:uid="{E1499694-927F-4C52-873F-CD9A8168FC51}"/>
    <cellStyle name="40% - Accent6 2 2 2 6 4" xfId="27772" xr:uid="{6CA270B8-DBF2-48A3-ABA4-A2471953E93A}"/>
    <cellStyle name="40% - Accent6 2 2 2 6 5" xfId="10886" xr:uid="{27177C46-466F-42F1-AD79-B90233DDDAE9}"/>
    <cellStyle name="40% - Accent6 2 2 2 7" xfId="4596" xr:uid="{00000000-0005-0000-0000-0000F7060000}"/>
    <cellStyle name="40% - Accent6 2 2 2 7 2" xfId="21479" xr:uid="{D7BD2764-88EA-4DBC-8944-3DDF57422444}"/>
    <cellStyle name="40% - Accent6 2 2 2 7 3" xfId="29925" xr:uid="{85C663E2-C27B-466E-B237-CBF843FD7EB1}"/>
    <cellStyle name="40% - Accent6 2 2 2 7 4" xfId="13038" xr:uid="{F45017B3-92EA-472A-86FF-30D7D518AB0D}"/>
    <cellStyle name="40% - Accent6 2 2 2 8" xfId="17261" xr:uid="{114C0118-0116-4AC9-9ED6-268DE1FF405F}"/>
    <cellStyle name="40% - Accent6 2 2 2 9" xfId="25703" xr:uid="{4BD96ABA-099A-4ED0-9B92-00A88B841F71}"/>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24037" xr:uid="{44FB3D16-C223-486E-907A-72ED2C062049}"/>
    <cellStyle name="40% - Accent6 2 2 3 2 2 3" xfId="32483" xr:uid="{01F5D123-0D23-483B-8762-D64BB5C7616B}"/>
    <cellStyle name="40% - Accent6 2 2 3 2 2 4" xfId="15596" xr:uid="{B39DDFB9-92C3-4744-BBC7-0E3B38B3D9CF}"/>
    <cellStyle name="40% - Accent6 2 2 3 2 3" xfId="19819" xr:uid="{0C7A5FDF-0DA3-4A20-BE08-CAE91B193317}"/>
    <cellStyle name="40% - Accent6 2 2 3 2 4" xfId="28266" xr:uid="{371BA35C-3D0D-4E8C-8AE8-EE51641CFC0C}"/>
    <cellStyle name="40% - Accent6 2 2 3 2 5" xfId="11378" xr:uid="{0D7C9D0F-1DCF-4893-80C4-99A64EBFFC71}"/>
    <cellStyle name="40% - Accent6 2 2 3 3" xfId="5009" xr:uid="{00000000-0005-0000-0000-0000FB060000}"/>
    <cellStyle name="40% - Accent6 2 2 3 3 2" xfId="21892" xr:uid="{F434F1C3-DC6E-40D3-AFC8-0A102F02C9FC}"/>
    <cellStyle name="40% - Accent6 2 2 3 3 3" xfId="30338" xr:uid="{EA07F9A3-A2F4-45A2-B3EB-9A66088958E3}"/>
    <cellStyle name="40% - Accent6 2 2 3 3 4" xfId="13451" xr:uid="{8DE4C865-4181-4FCA-AC1D-3EEDD4B29A0D}"/>
    <cellStyle name="40% - Accent6 2 2 3 4" xfId="17674" xr:uid="{1722B708-5E97-48D2-8514-CED36C45E80E}"/>
    <cellStyle name="40% - Accent6 2 2 3 5" xfId="26119" xr:uid="{4771037D-B8C2-433F-8AEB-A26F6256A0E6}"/>
    <cellStyle name="40% - Accent6 2 2 3 6" xfId="9233" xr:uid="{2B096670-E71E-47F3-89B1-BFAE048DBA21}"/>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24450" xr:uid="{F0956E5E-33CA-4527-8DED-3194BAB53536}"/>
    <cellStyle name="40% - Accent6 2 2 4 2 2 3" xfId="32896" xr:uid="{3E067437-9B0B-47C2-A1EC-C8ED43805C9F}"/>
    <cellStyle name="40% - Accent6 2 2 4 2 2 4" xfId="16009" xr:uid="{235E8778-0242-4B2B-8CDA-1967F9938B01}"/>
    <cellStyle name="40% - Accent6 2 2 4 2 3" xfId="20232" xr:uid="{BEE00D49-9884-459E-8C26-C1F93D6CC68C}"/>
    <cellStyle name="40% - Accent6 2 2 4 2 4" xfId="28679" xr:uid="{E615EF01-A8CB-4A6A-960C-4BD603EE62C7}"/>
    <cellStyle name="40% - Accent6 2 2 4 2 5" xfId="11791" xr:uid="{77F7C36F-A25F-4FE2-A575-80A797B5BF18}"/>
    <cellStyle name="40% - Accent6 2 2 4 3" xfId="5422" xr:uid="{00000000-0005-0000-0000-0000FF060000}"/>
    <cellStyle name="40% - Accent6 2 2 4 3 2" xfId="22305" xr:uid="{8C98C084-9D5A-4AE3-9BC3-576933FA9499}"/>
    <cellStyle name="40% - Accent6 2 2 4 3 3" xfId="30751" xr:uid="{BB7C8A50-9E33-4E82-A90E-75B18C1669D6}"/>
    <cellStyle name="40% - Accent6 2 2 4 3 4" xfId="13864" xr:uid="{8D1D6055-05AE-4808-BB7C-0D689AF64805}"/>
    <cellStyle name="40% - Accent6 2 2 4 4" xfId="18087" xr:uid="{2BA65523-DFB9-49F1-8773-E7A480B286C7}"/>
    <cellStyle name="40% - Accent6 2 2 4 5" xfId="26532" xr:uid="{56FE08F7-AEEC-47DF-A35F-95B6F1638026}"/>
    <cellStyle name="40% - Accent6 2 2 4 6" xfId="9646" xr:uid="{4B67CC46-1362-4CC2-B149-0BE9A7A45905}"/>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24863" xr:uid="{9832D7E8-1889-4EF0-B43A-716E2AB753B3}"/>
    <cellStyle name="40% - Accent6 2 2 5 2 2 3" xfId="33309" xr:uid="{6DB7D2F7-D1FE-4F75-86B1-1A551F59B73D}"/>
    <cellStyle name="40% - Accent6 2 2 5 2 2 4" xfId="16422" xr:uid="{112D0E35-825A-4CD9-ACBE-1F4B0663C909}"/>
    <cellStyle name="40% - Accent6 2 2 5 2 3" xfId="20645" xr:uid="{6D2E4D83-316D-4801-9789-5E6FDD1D50C4}"/>
    <cellStyle name="40% - Accent6 2 2 5 2 4" xfId="29092" xr:uid="{090D720B-7962-46F7-A766-2F4C9695BFA2}"/>
    <cellStyle name="40% - Accent6 2 2 5 2 5" xfId="12204" xr:uid="{C097E27C-FCFD-46BB-894D-30B6E2E729F0}"/>
    <cellStyle name="40% - Accent6 2 2 5 3" xfId="5835" xr:uid="{00000000-0005-0000-0000-000003070000}"/>
    <cellStyle name="40% - Accent6 2 2 5 3 2" xfId="22718" xr:uid="{A438EB06-FFAC-4B5D-917A-2D39C4A14425}"/>
    <cellStyle name="40% - Accent6 2 2 5 3 3" xfId="31164" xr:uid="{93327786-C050-44D9-BC86-7BE4B716AF55}"/>
    <cellStyle name="40% - Accent6 2 2 5 3 4" xfId="14277" xr:uid="{B23604D3-68F7-4DFE-AF6C-77EF55748263}"/>
    <cellStyle name="40% - Accent6 2 2 5 4" xfId="18500" xr:uid="{804B3CA1-A7EC-4A92-A89A-DDA4B0992200}"/>
    <cellStyle name="40% - Accent6 2 2 5 5" xfId="26945" xr:uid="{3DB87438-A9A5-4875-AB2B-F9706FC5FFB3}"/>
    <cellStyle name="40% - Accent6 2 2 5 6" xfId="10059" xr:uid="{1E729FB4-E0D8-4A92-A56C-4771DB4641AF}"/>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25276" xr:uid="{2D10BDF0-EEB6-46AB-9435-42FB29EE2023}"/>
    <cellStyle name="40% - Accent6 2 2 6 2 2 3" xfId="33722" xr:uid="{3956D9CD-B8EA-49CE-944D-E89812236B08}"/>
    <cellStyle name="40% - Accent6 2 2 6 2 2 4" xfId="16835" xr:uid="{6EF7E71B-25B6-44BF-8CFE-42E8B31BAE77}"/>
    <cellStyle name="40% - Accent6 2 2 6 2 3" xfId="21058" xr:uid="{63AE9EDE-0645-4FB1-881D-7B20D1730F35}"/>
    <cellStyle name="40% - Accent6 2 2 6 2 4" xfId="29505" xr:uid="{87628B7D-F499-4EF1-AC91-B289D70A93C5}"/>
    <cellStyle name="40% - Accent6 2 2 6 2 5" xfId="12617" xr:uid="{CC191C2C-93C7-4B4F-8924-3E52FA148759}"/>
    <cellStyle name="40% - Accent6 2 2 6 3" xfId="6248" xr:uid="{00000000-0005-0000-0000-000007070000}"/>
    <cellStyle name="40% - Accent6 2 2 6 3 2" xfId="23131" xr:uid="{18579D65-F340-4D32-9993-C2DEDE1F7F68}"/>
    <cellStyle name="40% - Accent6 2 2 6 3 3" xfId="31577" xr:uid="{222F4AC3-F5AD-416A-B757-690D8E42A027}"/>
    <cellStyle name="40% - Accent6 2 2 6 3 4" xfId="14690" xr:uid="{6799A7A1-7C9A-414F-9D09-A3842B2F2CAB}"/>
    <cellStyle name="40% - Accent6 2 2 6 4" xfId="18913" xr:uid="{4E45FFCF-E168-455D-92A0-EEE81D52ECF5}"/>
    <cellStyle name="40% - Accent6 2 2 6 5" xfId="27358" xr:uid="{113CEDD9-52A0-4284-86BF-8B901A2CB12E}"/>
    <cellStyle name="40% - Accent6 2 2 6 6" xfId="10472" xr:uid="{D0C6B34E-2AE2-43A1-B39F-6B2F5ABC1850}"/>
    <cellStyle name="40% - Accent6 2 2 7" xfId="2354" xr:uid="{00000000-0005-0000-0000-000008070000}"/>
    <cellStyle name="40% - Accent6 2 2 7 2" xfId="6661" xr:uid="{00000000-0005-0000-0000-000009070000}"/>
    <cellStyle name="40% - Accent6 2 2 7 2 2" xfId="23544" xr:uid="{C49E95B6-A8F9-4CE5-AD02-C4D118333D29}"/>
    <cellStyle name="40% - Accent6 2 2 7 2 3" xfId="31990" xr:uid="{80704609-8076-4692-97D8-040D481CC25D}"/>
    <cellStyle name="40% - Accent6 2 2 7 2 4" xfId="15103" xr:uid="{593F9F30-27DB-4109-92A2-59C7F85D0884}"/>
    <cellStyle name="40% - Accent6 2 2 7 3" xfId="19326" xr:uid="{6F2EFDBE-A90B-4069-A8B5-77194772AA9F}"/>
    <cellStyle name="40% - Accent6 2 2 7 4" xfId="27771" xr:uid="{9C69BCE4-2A9A-47DB-8D57-7256EE374C5E}"/>
    <cellStyle name="40% - Accent6 2 2 7 5" xfId="10885" xr:uid="{C0DBA126-7846-43D9-8D47-9C6A4D2E5DA9}"/>
    <cellStyle name="40% - Accent6 2 2 8" xfId="4595" xr:uid="{00000000-0005-0000-0000-00000A070000}"/>
    <cellStyle name="40% - Accent6 2 2 8 2" xfId="21478" xr:uid="{B9778B27-0841-425C-A624-44A65C688EBB}"/>
    <cellStyle name="40% - Accent6 2 2 8 3" xfId="29924" xr:uid="{71977F03-2D5B-4D75-9405-4DE57F6C05F2}"/>
    <cellStyle name="40% - Accent6 2 2 8 4" xfId="13037" xr:uid="{EC1B1C72-BB93-4EBC-9F33-2B14168BA71F}"/>
    <cellStyle name="40% - Accent6 2 2 9" xfId="17260" xr:uid="{1AAB0018-B944-4ACD-8830-C9E3CA71D355}"/>
    <cellStyle name="40% - Accent6 2 3" xfId="93" xr:uid="{00000000-0005-0000-0000-00000B070000}"/>
    <cellStyle name="40% - Accent6 2 3 10" xfId="8821" xr:uid="{881C6AA3-B134-4992-A9AF-929B1EED2AC8}"/>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24039" xr:uid="{93798429-487B-4A43-976F-1B1CAAAFB55F}"/>
    <cellStyle name="40% - Accent6 2 3 2 2 2 3" xfId="32485" xr:uid="{4DA3F1C8-34D8-465B-AAFB-F82486A401C1}"/>
    <cellStyle name="40% - Accent6 2 3 2 2 2 4" xfId="15598" xr:uid="{A599D970-84DA-47A3-9FAE-895D61967E58}"/>
    <cellStyle name="40% - Accent6 2 3 2 2 3" xfId="19821" xr:uid="{A53EA89C-34AB-4526-B508-E180FEEB148D}"/>
    <cellStyle name="40% - Accent6 2 3 2 2 4" xfId="28268" xr:uid="{096E86A2-0ED2-4E6E-A6EC-C9642B27830B}"/>
    <cellStyle name="40% - Accent6 2 3 2 2 5" xfId="11380" xr:uid="{F1223AE8-9AF3-4057-AF23-132C86816D9F}"/>
    <cellStyle name="40% - Accent6 2 3 2 3" xfId="5011" xr:uid="{00000000-0005-0000-0000-00000F070000}"/>
    <cellStyle name="40% - Accent6 2 3 2 3 2" xfId="21894" xr:uid="{A0823C31-B3C1-4290-9C6B-EB4CAFF58CF9}"/>
    <cellStyle name="40% - Accent6 2 3 2 3 3" xfId="30340" xr:uid="{6D09B667-58FB-422E-8C79-9E310DEDB60C}"/>
    <cellStyle name="40% - Accent6 2 3 2 3 4" xfId="13453" xr:uid="{1B7B75EC-E959-4468-A8B5-044C5E75EA2D}"/>
    <cellStyle name="40% - Accent6 2 3 2 4" xfId="17676" xr:uid="{EB042985-ECC0-4EDA-912F-7AAC15025D19}"/>
    <cellStyle name="40% - Accent6 2 3 2 5" xfId="26121" xr:uid="{1C3E2567-D935-4704-899D-DA2A0C9D69DF}"/>
    <cellStyle name="40% - Accent6 2 3 2 6" xfId="9235" xr:uid="{F60E4CF6-F375-49C9-8EA4-C5A22EC708D2}"/>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24452" xr:uid="{CCEB955E-6148-492C-9BB6-4CDB0749362E}"/>
    <cellStyle name="40% - Accent6 2 3 3 2 2 3" xfId="32898" xr:uid="{D9309035-8D6D-484B-BA85-CF3067A9148B}"/>
    <cellStyle name="40% - Accent6 2 3 3 2 2 4" xfId="16011" xr:uid="{70E8996D-A72E-4776-BA53-2E7CB8023EDC}"/>
    <cellStyle name="40% - Accent6 2 3 3 2 3" xfId="20234" xr:uid="{0F53D4F9-C5F8-4D5B-A85D-A7B8FA3CD7D4}"/>
    <cellStyle name="40% - Accent6 2 3 3 2 4" xfId="28681" xr:uid="{C1C923FF-F599-4300-BFEC-F1235988496E}"/>
    <cellStyle name="40% - Accent6 2 3 3 2 5" xfId="11793" xr:uid="{A0EA1365-3A58-4DC7-87F8-9361D688A3A5}"/>
    <cellStyle name="40% - Accent6 2 3 3 3" xfId="5424" xr:uid="{00000000-0005-0000-0000-000013070000}"/>
    <cellStyle name="40% - Accent6 2 3 3 3 2" xfId="22307" xr:uid="{4E6F1AE0-F15E-4ADB-B4F5-ABC255C21F1F}"/>
    <cellStyle name="40% - Accent6 2 3 3 3 3" xfId="30753" xr:uid="{D194AF9F-A5A7-4C31-B665-05799F4B4712}"/>
    <cellStyle name="40% - Accent6 2 3 3 3 4" xfId="13866" xr:uid="{6D3E31F2-75BF-46B6-A0FC-0CE8E2762CCA}"/>
    <cellStyle name="40% - Accent6 2 3 3 4" xfId="18089" xr:uid="{222F1672-CB71-4CCB-9F96-CFF980F48114}"/>
    <cellStyle name="40% - Accent6 2 3 3 5" xfId="26534" xr:uid="{0883C619-E80C-4158-8C5D-2973CC83377C}"/>
    <cellStyle name="40% - Accent6 2 3 3 6" xfId="9648" xr:uid="{9484A230-4F12-4819-AF10-EE0B0CF1766F}"/>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24865" xr:uid="{290BD4E1-D35E-4242-9303-CD9C253917E5}"/>
    <cellStyle name="40% - Accent6 2 3 4 2 2 3" xfId="33311" xr:uid="{F139DF6F-5924-4BFE-9DA1-FCED6F0D69BF}"/>
    <cellStyle name="40% - Accent6 2 3 4 2 2 4" xfId="16424" xr:uid="{F4ABF939-242B-4B85-9095-5127BF72A8E7}"/>
    <cellStyle name="40% - Accent6 2 3 4 2 3" xfId="20647" xr:uid="{ABAA4025-350D-48A9-990C-0C922DA3B8BA}"/>
    <cellStyle name="40% - Accent6 2 3 4 2 4" xfId="29094" xr:uid="{77FD5C32-40F8-4CA3-9BBD-E7310FE1EB0A}"/>
    <cellStyle name="40% - Accent6 2 3 4 2 5" xfId="12206" xr:uid="{A10B540B-5211-4AA5-A71D-2D86D13E9C22}"/>
    <cellStyle name="40% - Accent6 2 3 4 3" xfId="5837" xr:uid="{00000000-0005-0000-0000-000017070000}"/>
    <cellStyle name="40% - Accent6 2 3 4 3 2" xfId="22720" xr:uid="{3F065219-7F50-4602-9700-D4A82E58FC39}"/>
    <cellStyle name="40% - Accent6 2 3 4 3 3" xfId="31166" xr:uid="{093C0217-BEC8-4304-A9C2-01C41D77F87C}"/>
    <cellStyle name="40% - Accent6 2 3 4 3 4" xfId="14279" xr:uid="{9B2F1107-7374-4C5E-BA21-CA61F79B1D1B}"/>
    <cellStyle name="40% - Accent6 2 3 4 4" xfId="18502" xr:uid="{EE52C10E-D44B-4878-AD0E-304BA26F91DB}"/>
    <cellStyle name="40% - Accent6 2 3 4 5" xfId="26947" xr:uid="{20573F3D-D9A6-4281-8A7E-9EFF9D049913}"/>
    <cellStyle name="40% - Accent6 2 3 4 6" xfId="10061" xr:uid="{863677CA-839C-4098-9F33-DBFF5403BAED}"/>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25278" xr:uid="{CC65B1CA-44F3-4E6C-9D93-79435718F356}"/>
    <cellStyle name="40% - Accent6 2 3 5 2 2 3" xfId="33724" xr:uid="{5FA17FC0-A41D-45CC-AD35-72749B7668F4}"/>
    <cellStyle name="40% - Accent6 2 3 5 2 2 4" xfId="16837" xr:uid="{87DED0D2-2B65-4948-BC49-7B551D80B43B}"/>
    <cellStyle name="40% - Accent6 2 3 5 2 3" xfId="21060" xr:uid="{F257C741-A384-4DBD-94A2-73AEE36E5A1D}"/>
    <cellStyle name="40% - Accent6 2 3 5 2 4" xfId="29507" xr:uid="{FC6B1E98-304A-4971-8246-FEFC049F49D4}"/>
    <cellStyle name="40% - Accent6 2 3 5 2 5" xfId="12619" xr:uid="{C7692A4E-0DE1-4710-A5AB-321CF16E9185}"/>
    <cellStyle name="40% - Accent6 2 3 5 3" xfId="6250" xr:uid="{00000000-0005-0000-0000-00001B070000}"/>
    <cellStyle name="40% - Accent6 2 3 5 3 2" xfId="23133" xr:uid="{90367533-9E29-4F56-9287-B5D3AB613860}"/>
    <cellStyle name="40% - Accent6 2 3 5 3 3" xfId="31579" xr:uid="{218377BC-425F-4654-8491-288F753E899A}"/>
    <cellStyle name="40% - Accent6 2 3 5 3 4" xfId="14692" xr:uid="{64B6F67F-FCF8-4188-AC31-649228802936}"/>
    <cellStyle name="40% - Accent6 2 3 5 4" xfId="18915" xr:uid="{681D7806-C0D5-41B6-B185-30F8DAE05B2A}"/>
    <cellStyle name="40% - Accent6 2 3 5 5" xfId="27360" xr:uid="{D4518498-7EE4-4249-8363-71D9CFC19D8A}"/>
    <cellStyle name="40% - Accent6 2 3 5 6" xfId="10474" xr:uid="{BFA3185D-8251-4522-A23E-246D9023F047}"/>
    <cellStyle name="40% - Accent6 2 3 6" xfId="2356" xr:uid="{00000000-0005-0000-0000-00001C070000}"/>
    <cellStyle name="40% - Accent6 2 3 6 2" xfId="6663" xr:uid="{00000000-0005-0000-0000-00001D070000}"/>
    <cellStyle name="40% - Accent6 2 3 6 2 2" xfId="23546" xr:uid="{4BB26A3F-84DC-4D2E-A5D8-CDC55BA7F687}"/>
    <cellStyle name="40% - Accent6 2 3 6 2 3" xfId="31992" xr:uid="{8AB20F89-AD0A-4A30-9783-FFE5916C9065}"/>
    <cellStyle name="40% - Accent6 2 3 6 2 4" xfId="15105" xr:uid="{5A35082D-F81E-4B77-9BD9-358B7AA52E47}"/>
    <cellStyle name="40% - Accent6 2 3 6 3" xfId="19328" xr:uid="{C12C3DE1-867D-49E7-9BEF-62B64F35C090}"/>
    <cellStyle name="40% - Accent6 2 3 6 4" xfId="27773" xr:uid="{D7FF7D62-43EB-4373-8D52-B6D698B35FB9}"/>
    <cellStyle name="40% - Accent6 2 3 6 5" xfId="10887" xr:uid="{4497EF42-D7C1-4DFA-9EC4-AC14A7CDDC06}"/>
    <cellStyle name="40% - Accent6 2 3 7" xfId="4597" xr:uid="{00000000-0005-0000-0000-00001E070000}"/>
    <cellStyle name="40% - Accent6 2 3 7 2" xfId="21480" xr:uid="{6D1DDC28-C381-46DD-B817-8A8C944AFBE9}"/>
    <cellStyle name="40% - Accent6 2 3 7 3" xfId="29926" xr:uid="{E2E9C126-D43F-4486-8EB5-F518BAEAD739}"/>
    <cellStyle name="40% - Accent6 2 3 7 4" xfId="13039" xr:uid="{D5BBC26A-48CE-4DF9-B61A-48E3870F3892}"/>
    <cellStyle name="40% - Accent6 2 3 8" xfId="17262" xr:uid="{BAE7A559-ABE0-4B96-8224-C5B43802D88A}"/>
    <cellStyle name="40% - Accent6 2 3 9" xfId="25704" xr:uid="{EBDF6E5D-B80E-4AD5-A863-925F8FCC8537}"/>
    <cellStyle name="40% - Accent6 2 4" xfId="659" xr:uid="{00000000-0005-0000-0000-00001F070000}"/>
    <cellStyle name="40% - Accent6 2 4 2" xfId="2930" xr:uid="{00000000-0005-0000-0000-000020070000}"/>
    <cellStyle name="40% - Accent6 2 4 2 2" xfId="7153" xr:uid="{00000000-0005-0000-0000-000021070000}"/>
    <cellStyle name="40% - Accent6 2 4 2 2 2" xfId="24036" xr:uid="{44576763-DEAC-4CBA-9209-47D53E507597}"/>
    <cellStyle name="40% - Accent6 2 4 2 2 3" xfId="32482" xr:uid="{083AC5FF-9CC4-49C5-9CC4-31EF3D42924C}"/>
    <cellStyle name="40% - Accent6 2 4 2 2 4" xfId="15595" xr:uid="{2E23D353-475E-48FE-8FFA-71A53C8A75C1}"/>
    <cellStyle name="40% - Accent6 2 4 2 3" xfId="19818" xr:uid="{48241CC9-A719-4630-8249-2259E6A62099}"/>
    <cellStyle name="40% - Accent6 2 4 2 4" xfId="28265" xr:uid="{643FBB57-9DA3-45E1-B7F8-6417B9C95186}"/>
    <cellStyle name="40% - Accent6 2 4 2 5" xfId="11377" xr:uid="{96C76D09-B06D-4739-84BF-1028C7AF0925}"/>
    <cellStyle name="40% - Accent6 2 4 3" xfId="5008" xr:uid="{00000000-0005-0000-0000-000022070000}"/>
    <cellStyle name="40% - Accent6 2 4 3 2" xfId="21891" xr:uid="{D3B7F194-CFCC-4918-B559-BC565B1753E6}"/>
    <cellStyle name="40% - Accent6 2 4 3 3" xfId="30337" xr:uid="{BB60BB8E-1606-426C-843D-98B5DD459507}"/>
    <cellStyle name="40% - Accent6 2 4 3 4" xfId="13450" xr:uid="{A1ED1FC2-D2B4-4003-8D35-B27708CCE510}"/>
    <cellStyle name="40% - Accent6 2 4 4" xfId="17673" xr:uid="{D63728B9-3303-4EFA-9CBD-73A787E4B7CA}"/>
    <cellStyle name="40% - Accent6 2 4 5" xfId="26118" xr:uid="{07F30CB7-C6E4-40D8-8CC5-BED2B1D70741}"/>
    <cellStyle name="40% - Accent6 2 4 6" xfId="9232" xr:uid="{0BC96077-88D5-48AD-BA1D-7C6C5F188193}"/>
    <cellStyle name="40% - Accent6 2 5" xfId="1112" xr:uid="{00000000-0005-0000-0000-000023070000}"/>
    <cellStyle name="40% - Accent6 2 5 2" xfId="3343" xr:uid="{00000000-0005-0000-0000-000024070000}"/>
    <cellStyle name="40% - Accent6 2 5 2 2" xfId="7566" xr:uid="{00000000-0005-0000-0000-000025070000}"/>
    <cellStyle name="40% - Accent6 2 5 2 2 2" xfId="24449" xr:uid="{0EDA6D0F-3B40-4CB0-BF51-658D11D8143B}"/>
    <cellStyle name="40% - Accent6 2 5 2 2 3" xfId="32895" xr:uid="{C3B835BA-8BAD-4CD7-87A5-F79657F6E9CA}"/>
    <cellStyle name="40% - Accent6 2 5 2 2 4" xfId="16008" xr:uid="{8198BED4-C6B0-491A-B469-462EB1CFF538}"/>
    <cellStyle name="40% - Accent6 2 5 2 3" xfId="20231" xr:uid="{ACAC6698-2E68-4475-9EA4-46411F02902B}"/>
    <cellStyle name="40% - Accent6 2 5 2 4" xfId="28678" xr:uid="{B477F4A2-0425-42E8-B699-88F84635C1E9}"/>
    <cellStyle name="40% - Accent6 2 5 2 5" xfId="11790" xr:uid="{C11A2249-0B9E-49B7-95B1-8F96CFA97F27}"/>
    <cellStyle name="40% - Accent6 2 5 3" xfId="5421" xr:uid="{00000000-0005-0000-0000-000026070000}"/>
    <cellStyle name="40% - Accent6 2 5 3 2" xfId="22304" xr:uid="{F3181420-25C1-41A8-A501-C1452841DF1B}"/>
    <cellStyle name="40% - Accent6 2 5 3 3" xfId="30750" xr:uid="{66DE9C07-590C-4FEA-AF3F-183B60D74362}"/>
    <cellStyle name="40% - Accent6 2 5 3 4" xfId="13863" xr:uid="{9F3C6D8A-60B4-44D1-9347-3E4F45389524}"/>
    <cellStyle name="40% - Accent6 2 5 4" xfId="18086" xr:uid="{AA6256A0-B094-404C-86FF-2B69E2F877D8}"/>
    <cellStyle name="40% - Accent6 2 5 5" xfId="26531" xr:uid="{6CCDC095-901A-44A3-9076-2138D433E53B}"/>
    <cellStyle name="40% - Accent6 2 5 6" xfId="9645" xr:uid="{33A0B90F-8B03-47A7-B84E-0D34F1399BDC}"/>
    <cellStyle name="40% - Accent6 2 6" xfId="1526" xr:uid="{00000000-0005-0000-0000-000027070000}"/>
    <cellStyle name="40% - Accent6 2 6 2" xfId="3756" xr:uid="{00000000-0005-0000-0000-000028070000}"/>
    <cellStyle name="40% - Accent6 2 6 2 2" xfId="7979" xr:uid="{00000000-0005-0000-0000-000029070000}"/>
    <cellStyle name="40% - Accent6 2 6 2 2 2" xfId="24862" xr:uid="{1E120CBD-F69A-4407-B40B-7484CCF1828C}"/>
    <cellStyle name="40% - Accent6 2 6 2 2 3" xfId="33308" xr:uid="{09B36213-E833-4695-A913-6E98DF753C53}"/>
    <cellStyle name="40% - Accent6 2 6 2 2 4" xfId="16421" xr:uid="{C311AC4E-F6FC-4657-AE2D-1CB197121B0E}"/>
    <cellStyle name="40% - Accent6 2 6 2 3" xfId="20644" xr:uid="{F8B8A7CE-1E18-4711-A134-63454054F4C4}"/>
    <cellStyle name="40% - Accent6 2 6 2 4" xfId="29091" xr:uid="{CC32A4A0-06E6-41B2-911D-8BE774436893}"/>
    <cellStyle name="40% - Accent6 2 6 2 5" xfId="12203" xr:uid="{D9FC913D-D90D-4412-8241-1DE56B13C35B}"/>
    <cellStyle name="40% - Accent6 2 6 3" xfId="5834" xr:uid="{00000000-0005-0000-0000-00002A070000}"/>
    <cellStyle name="40% - Accent6 2 6 3 2" xfId="22717" xr:uid="{07E56891-5812-4519-91C2-58A238C80B52}"/>
    <cellStyle name="40% - Accent6 2 6 3 3" xfId="31163" xr:uid="{9564A3DB-17AB-47A6-AEFE-A8BE46D0F9E8}"/>
    <cellStyle name="40% - Accent6 2 6 3 4" xfId="14276" xr:uid="{BB956F1E-B087-4D66-A721-9766E53ED7C8}"/>
    <cellStyle name="40% - Accent6 2 6 4" xfId="18499" xr:uid="{7AFD47ED-2304-4FF7-88B0-55C2613A9FF3}"/>
    <cellStyle name="40% - Accent6 2 6 5" xfId="26944" xr:uid="{640A20AA-95EC-4E0B-AE0B-2D6EC5AC39EB}"/>
    <cellStyle name="40% - Accent6 2 6 6" xfId="10058" xr:uid="{D2802CF0-6EA2-4269-8CB6-E6650BD28BAA}"/>
    <cellStyle name="40% - Accent6 2 7" xfId="1940" xr:uid="{00000000-0005-0000-0000-00002B070000}"/>
    <cellStyle name="40% - Accent6 2 7 2" xfId="4169" xr:uid="{00000000-0005-0000-0000-00002C070000}"/>
    <cellStyle name="40% - Accent6 2 7 2 2" xfId="8392" xr:uid="{00000000-0005-0000-0000-00002D070000}"/>
    <cellStyle name="40% - Accent6 2 7 2 2 2" xfId="25275" xr:uid="{37BA9986-F43E-4063-A6A7-91F91A663495}"/>
    <cellStyle name="40% - Accent6 2 7 2 2 3" xfId="33721" xr:uid="{06E0E340-1A79-4ECF-A87A-EC92F1877598}"/>
    <cellStyle name="40% - Accent6 2 7 2 2 4" xfId="16834" xr:uid="{CA9FEC67-5128-47C9-A534-57F372D25BF7}"/>
    <cellStyle name="40% - Accent6 2 7 2 3" xfId="21057" xr:uid="{B2BD1212-A2BD-48C9-B60B-784466B114B4}"/>
    <cellStyle name="40% - Accent6 2 7 2 4" xfId="29504" xr:uid="{FD854D66-EB54-4F16-BD29-9DE80D7DF565}"/>
    <cellStyle name="40% - Accent6 2 7 2 5" xfId="12616" xr:uid="{F1D5B3C7-E220-4B7A-820A-30EC0ECAE7D0}"/>
    <cellStyle name="40% - Accent6 2 7 3" xfId="6247" xr:uid="{00000000-0005-0000-0000-00002E070000}"/>
    <cellStyle name="40% - Accent6 2 7 3 2" xfId="23130" xr:uid="{8DDE1984-25B2-4128-B083-E2B492BA792E}"/>
    <cellStyle name="40% - Accent6 2 7 3 3" xfId="31576" xr:uid="{344D63AC-CC90-45D6-AC87-D975B6ABCF3A}"/>
    <cellStyle name="40% - Accent6 2 7 3 4" xfId="14689" xr:uid="{FA5EA4A8-1539-408E-AD46-8252E53E7224}"/>
    <cellStyle name="40% - Accent6 2 7 4" xfId="18912" xr:uid="{3CFA7386-F4D2-4A5C-AFBB-93B4A2825A72}"/>
    <cellStyle name="40% - Accent6 2 7 5" xfId="27357" xr:uid="{6B92D64F-8725-47B0-902E-F4746E61E886}"/>
    <cellStyle name="40% - Accent6 2 7 6" xfId="10471" xr:uid="{BC382105-437F-4E1A-BAB5-98C45B9F676A}"/>
    <cellStyle name="40% - Accent6 2 8" xfId="2353" xr:uid="{00000000-0005-0000-0000-00002F070000}"/>
    <cellStyle name="40% - Accent6 2 8 2" xfId="6660" xr:uid="{00000000-0005-0000-0000-000030070000}"/>
    <cellStyle name="40% - Accent6 2 8 2 2" xfId="23543" xr:uid="{1C8E7CF9-E523-4293-A60A-9C44CF293204}"/>
    <cellStyle name="40% - Accent6 2 8 2 3" xfId="31989" xr:uid="{01589766-8A23-4943-B25E-38467C9E05D4}"/>
    <cellStyle name="40% - Accent6 2 8 2 4" xfId="15102" xr:uid="{3AAD1849-9B19-4D38-80B0-BE23BAC86F6F}"/>
    <cellStyle name="40% - Accent6 2 8 3" xfId="19325" xr:uid="{92FCC048-47BE-43FB-BD56-8649840E3916}"/>
    <cellStyle name="40% - Accent6 2 8 4" xfId="27770" xr:uid="{1FE3C24C-C483-4980-A3D6-FC5180B80894}"/>
    <cellStyle name="40% - Accent6 2 8 5" xfId="10884" xr:uid="{DEFC4C34-C636-4256-9931-8EED36C56D53}"/>
    <cellStyle name="40% - Accent6 2 9" xfId="4594" xr:uid="{00000000-0005-0000-0000-000031070000}"/>
    <cellStyle name="40% - Accent6 2 9 2" xfId="21477" xr:uid="{4B3B9669-4824-465B-A824-509F56F8EF94}"/>
    <cellStyle name="40% - Accent6 2 9 3" xfId="29923" xr:uid="{EF3E449E-8FC6-4C35-8409-75B70C1BF36D}"/>
    <cellStyle name="40% - Accent6 2 9 4" xfId="13036" xr:uid="{AD379CD6-54E0-4AED-986D-E7C004DFCB04}"/>
    <cellStyle name="40% - Accent6 3" xfId="94" xr:uid="{00000000-0005-0000-0000-000032070000}"/>
    <cellStyle name="40% - Accent6 3 10" xfId="25705" xr:uid="{A75EDACB-0015-4A59-8D3B-E6D79CB86B90}"/>
    <cellStyle name="40% - Accent6 3 11" xfId="8822" xr:uid="{08CED2F5-0045-4DAD-9A25-84BB0D7EF4DC}"/>
    <cellStyle name="40% - Accent6 3 2" xfId="95" xr:uid="{00000000-0005-0000-0000-000033070000}"/>
    <cellStyle name="40% - Accent6 3 2 10" xfId="8823" xr:uid="{DE80A31D-006A-40A7-A169-A91A7A8E5A1D}"/>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24041" xr:uid="{E704436F-B7D8-4864-9032-59A64D2815A2}"/>
    <cellStyle name="40% - Accent6 3 2 2 2 2 3" xfId="32487" xr:uid="{0CE28054-8875-4B78-B0E9-A7E225FB18A8}"/>
    <cellStyle name="40% - Accent6 3 2 2 2 2 4" xfId="15600" xr:uid="{A6A02104-E074-4B91-83C7-256B5FE8F836}"/>
    <cellStyle name="40% - Accent6 3 2 2 2 3" xfId="19823" xr:uid="{9CA0328F-0EA4-4CC8-8949-E9E01A332633}"/>
    <cellStyle name="40% - Accent6 3 2 2 2 4" xfId="28270" xr:uid="{D4CB4CEB-D233-4DE4-89E1-D7A996B827A2}"/>
    <cellStyle name="40% - Accent6 3 2 2 2 5" xfId="11382" xr:uid="{8C2D0152-ED31-468D-B019-EBF9DE9670F5}"/>
    <cellStyle name="40% - Accent6 3 2 2 3" xfId="5013" xr:uid="{00000000-0005-0000-0000-000037070000}"/>
    <cellStyle name="40% - Accent6 3 2 2 3 2" xfId="21896" xr:uid="{5295760F-8F3F-4C9E-BD6D-D47A78BE187A}"/>
    <cellStyle name="40% - Accent6 3 2 2 3 3" xfId="30342" xr:uid="{3A520FD0-6F56-40ED-A83C-D598F2CC56B6}"/>
    <cellStyle name="40% - Accent6 3 2 2 3 4" xfId="13455" xr:uid="{051516A2-C787-4942-8C00-7A9E7D376BEB}"/>
    <cellStyle name="40% - Accent6 3 2 2 4" xfId="17678" xr:uid="{4DBF921B-A3BB-43D1-8B77-9F34F9691B28}"/>
    <cellStyle name="40% - Accent6 3 2 2 5" xfId="26123" xr:uid="{0A85C385-0702-4509-8DDF-60A25768E288}"/>
    <cellStyle name="40% - Accent6 3 2 2 6" xfId="9237" xr:uid="{9CACAE89-E896-447C-8B07-26F0569074D1}"/>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24454" xr:uid="{86CAD29B-323D-4848-BB59-19DD96923FF8}"/>
    <cellStyle name="40% - Accent6 3 2 3 2 2 3" xfId="32900" xr:uid="{87A1A458-709A-48ED-8679-AF9714FCC11A}"/>
    <cellStyle name="40% - Accent6 3 2 3 2 2 4" xfId="16013" xr:uid="{DE4FBE48-66AA-4903-8297-F949C9939F91}"/>
    <cellStyle name="40% - Accent6 3 2 3 2 3" xfId="20236" xr:uid="{2C26CE2F-186C-47D3-8E6B-E60AD449415E}"/>
    <cellStyle name="40% - Accent6 3 2 3 2 4" xfId="28683" xr:uid="{421A9A13-C272-4941-BE1D-96068B869F03}"/>
    <cellStyle name="40% - Accent6 3 2 3 2 5" xfId="11795" xr:uid="{0D41ADB2-16FC-45E2-AF52-22C56891BE41}"/>
    <cellStyle name="40% - Accent6 3 2 3 3" xfId="5426" xr:uid="{00000000-0005-0000-0000-00003B070000}"/>
    <cellStyle name="40% - Accent6 3 2 3 3 2" xfId="22309" xr:uid="{206E1F16-8174-4CD7-B555-4D46AFE35650}"/>
    <cellStyle name="40% - Accent6 3 2 3 3 3" xfId="30755" xr:uid="{F9AB1C92-4877-4425-B0AA-6C2D1429D043}"/>
    <cellStyle name="40% - Accent6 3 2 3 3 4" xfId="13868" xr:uid="{78971EE6-6EEC-40EB-9106-094B2AC8CBA7}"/>
    <cellStyle name="40% - Accent6 3 2 3 4" xfId="18091" xr:uid="{32E2509F-7EF5-4666-A008-88FCA80E87F5}"/>
    <cellStyle name="40% - Accent6 3 2 3 5" xfId="26536" xr:uid="{60E1C9A3-9CD0-46A7-9E1E-3E0F91CE2C92}"/>
    <cellStyle name="40% - Accent6 3 2 3 6" xfId="9650" xr:uid="{BEF3D166-2199-4BCC-96B9-177A77FADE0F}"/>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24867" xr:uid="{BDB24B58-12D9-4CA0-AD2C-6B0F5E08619F}"/>
    <cellStyle name="40% - Accent6 3 2 4 2 2 3" xfId="33313" xr:uid="{0F97BD79-9EAA-474C-9C8B-38F327469767}"/>
    <cellStyle name="40% - Accent6 3 2 4 2 2 4" xfId="16426" xr:uid="{6C489365-F4CE-4828-BC2C-20CB849A6C2C}"/>
    <cellStyle name="40% - Accent6 3 2 4 2 3" xfId="20649" xr:uid="{CF86BA78-9B5C-4C96-9692-BA655FDFE6E5}"/>
    <cellStyle name="40% - Accent6 3 2 4 2 4" xfId="29096" xr:uid="{D1FF1107-04DC-4953-B065-A6DB38CDFA36}"/>
    <cellStyle name="40% - Accent6 3 2 4 2 5" xfId="12208" xr:uid="{6BD78F6F-00D8-460A-8607-12F2CC951106}"/>
    <cellStyle name="40% - Accent6 3 2 4 3" xfId="5839" xr:uid="{00000000-0005-0000-0000-00003F070000}"/>
    <cellStyle name="40% - Accent6 3 2 4 3 2" xfId="22722" xr:uid="{5D0A37EF-CFF9-49DE-86A5-DFC0029F1D77}"/>
    <cellStyle name="40% - Accent6 3 2 4 3 3" xfId="31168" xr:uid="{86577176-90C4-4351-B1EB-F98A8D5ECA2D}"/>
    <cellStyle name="40% - Accent6 3 2 4 3 4" xfId="14281" xr:uid="{CF9D2398-4860-45CF-9AE0-23293F1BDB3C}"/>
    <cellStyle name="40% - Accent6 3 2 4 4" xfId="18504" xr:uid="{1B40332B-28E8-4E51-8115-8E043EB73883}"/>
    <cellStyle name="40% - Accent6 3 2 4 5" xfId="26949" xr:uid="{924DE25B-79CC-4EDB-8E9E-F82F28C0BA27}"/>
    <cellStyle name="40% - Accent6 3 2 4 6" xfId="10063" xr:uid="{B39FCE38-8D24-4885-BDBF-06FBF07CB0BA}"/>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25280" xr:uid="{000178C8-B7AA-4A97-ADD8-285CC5FE5E1B}"/>
    <cellStyle name="40% - Accent6 3 2 5 2 2 3" xfId="33726" xr:uid="{E8E5819D-E8C5-4D4A-B36D-ED6444CB3B89}"/>
    <cellStyle name="40% - Accent6 3 2 5 2 2 4" xfId="16839" xr:uid="{F6509136-FA1F-40E7-8F86-4E097C046E8E}"/>
    <cellStyle name="40% - Accent6 3 2 5 2 3" xfId="21062" xr:uid="{C10D034C-8169-4101-8953-F4A4EE777233}"/>
    <cellStyle name="40% - Accent6 3 2 5 2 4" xfId="29509" xr:uid="{4CDEF848-138F-4B48-94CE-357D8D17746E}"/>
    <cellStyle name="40% - Accent6 3 2 5 2 5" xfId="12621" xr:uid="{C040D01F-EA86-4C1F-855F-7F2CAC33DD44}"/>
    <cellStyle name="40% - Accent6 3 2 5 3" xfId="6252" xr:uid="{00000000-0005-0000-0000-000043070000}"/>
    <cellStyle name="40% - Accent6 3 2 5 3 2" xfId="23135" xr:uid="{FF636F69-02C8-4997-A144-8AF475066DA5}"/>
    <cellStyle name="40% - Accent6 3 2 5 3 3" xfId="31581" xr:uid="{C2316C0C-F0C0-40DD-91CB-167AA5AEAE25}"/>
    <cellStyle name="40% - Accent6 3 2 5 3 4" xfId="14694" xr:uid="{22994707-7A63-4C7F-A134-A1ABC11C295A}"/>
    <cellStyle name="40% - Accent6 3 2 5 4" xfId="18917" xr:uid="{8836BB15-DFBB-4B2B-8E58-87C2BBA3B3D0}"/>
    <cellStyle name="40% - Accent6 3 2 5 5" xfId="27362" xr:uid="{DB55591F-3925-43D1-BAFE-E7B68441B2AF}"/>
    <cellStyle name="40% - Accent6 3 2 5 6" xfId="10476" xr:uid="{55F6EF5C-537D-4C77-AE63-6D911D206190}"/>
    <cellStyle name="40% - Accent6 3 2 6" xfId="2358" xr:uid="{00000000-0005-0000-0000-000044070000}"/>
    <cellStyle name="40% - Accent6 3 2 6 2" xfId="6665" xr:uid="{00000000-0005-0000-0000-000045070000}"/>
    <cellStyle name="40% - Accent6 3 2 6 2 2" xfId="23548" xr:uid="{2470347F-7038-47F5-B5DD-28A32BCE1F61}"/>
    <cellStyle name="40% - Accent6 3 2 6 2 3" xfId="31994" xr:uid="{31B4FF9D-0125-4E4B-9B8D-F155509861D4}"/>
    <cellStyle name="40% - Accent6 3 2 6 2 4" xfId="15107" xr:uid="{B06E2D16-9FFF-4334-A4E5-49965DE40C3F}"/>
    <cellStyle name="40% - Accent6 3 2 6 3" xfId="19330" xr:uid="{8ECCCABB-6DE7-43BB-B228-B919A7B0CCD0}"/>
    <cellStyle name="40% - Accent6 3 2 6 4" xfId="27775" xr:uid="{395267F0-EB50-4E18-962F-622BBECD968C}"/>
    <cellStyle name="40% - Accent6 3 2 6 5" xfId="10889" xr:uid="{1D4B2AB1-50C5-4505-BDF6-7430112639C3}"/>
    <cellStyle name="40% - Accent6 3 2 7" xfId="4599" xr:uid="{00000000-0005-0000-0000-000046070000}"/>
    <cellStyle name="40% - Accent6 3 2 7 2" xfId="21482" xr:uid="{629C15C1-025B-4B1C-8F4A-306CEB49EBF6}"/>
    <cellStyle name="40% - Accent6 3 2 7 3" xfId="29928" xr:uid="{D5646DC3-AC61-4EB3-9791-DF817EC8B8B7}"/>
    <cellStyle name="40% - Accent6 3 2 7 4" xfId="13041" xr:uid="{83901DFB-40D0-4A58-813E-D90430C43DBB}"/>
    <cellStyle name="40% - Accent6 3 2 8" xfId="17264" xr:uid="{83831350-AF78-46C7-BE99-7FFE218F8DEB}"/>
    <cellStyle name="40% - Accent6 3 2 9" xfId="25706" xr:uid="{085CFA38-1D38-4B67-8F7D-F12358773417}"/>
    <cellStyle name="40% - Accent6 3 3" xfId="663" xr:uid="{00000000-0005-0000-0000-000047070000}"/>
    <cellStyle name="40% - Accent6 3 3 2" xfId="2934" xr:uid="{00000000-0005-0000-0000-000048070000}"/>
    <cellStyle name="40% - Accent6 3 3 2 2" xfId="7157" xr:uid="{00000000-0005-0000-0000-000049070000}"/>
    <cellStyle name="40% - Accent6 3 3 2 2 2" xfId="24040" xr:uid="{FC014D2B-8B79-40BE-9E06-328FA66DDE69}"/>
    <cellStyle name="40% - Accent6 3 3 2 2 3" xfId="32486" xr:uid="{9DC67B0D-D360-4DCC-A493-6D8DC8595593}"/>
    <cellStyle name="40% - Accent6 3 3 2 2 4" xfId="15599" xr:uid="{49468C1A-7F8F-47C8-93A5-58FDAB0E3B1C}"/>
    <cellStyle name="40% - Accent6 3 3 2 3" xfId="19822" xr:uid="{21698F1B-92B9-42E1-9274-BC513FB8F3C3}"/>
    <cellStyle name="40% - Accent6 3 3 2 4" xfId="28269" xr:uid="{F05E2DDC-5A09-4FB1-B644-F2A0BB348108}"/>
    <cellStyle name="40% - Accent6 3 3 2 5" xfId="11381" xr:uid="{60779610-A30B-4E41-B064-A2F4981A6259}"/>
    <cellStyle name="40% - Accent6 3 3 3" xfId="5012" xr:uid="{00000000-0005-0000-0000-00004A070000}"/>
    <cellStyle name="40% - Accent6 3 3 3 2" xfId="21895" xr:uid="{2499DABA-B213-49F8-B59D-0419EB578FEF}"/>
    <cellStyle name="40% - Accent6 3 3 3 3" xfId="30341" xr:uid="{7D199C7D-C4EA-4ABE-8939-96FECE54E8C8}"/>
    <cellStyle name="40% - Accent6 3 3 3 4" xfId="13454" xr:uid="{D33F609F-A187-4DE9-9A49-426EF4C04E11}"/>
    <cellStyle name="40% - Accent6 3 3 4" xfId="17677" xr:uid="{F5ECD866-1BF7-4FBC-B55F-5A52D0323FCB}"/>
    <cellStyle name="40% - Accent6 3 3 5" xfId="26122" xr:uid="{C301ECC2-1ED7-4173-A5F8-3A5526F51599}"/>
    <cellStyle name="40% - Accent6 3 3 6" xfId="9236" xr:uid="{FAAF9697-CBE4-4B8D-9649-84722891A774}"/>
    <cellStyle name="40% - Accent6 3 4" xfId="1116" xr:uid="{00000000-0005-0000-0000-00004B070000}"/>
    <cellStyle name="40% - Accent6 3 4 2" xfId="3347" xr:uid="{00000000-0005-0000-0000-00004C070000}"/>
    <cellStyle name="40% - Accent6 3 4 2 2" xfId="7570" xr:uid="{00000000-0005-0000-0000-00004D070000}"/>
    <cellStyle name="40% - Accent6 3 4 2 2 2" xfId="24453" xr:uid="{EF2FCBA1-3C02-4BC9-AD97-5FDF78B0AF2C}"/>
    <cellStyle name="40% - Accent6 3 4 2 2 3" xfId="32899" xr:uid="{3B3EEE2F-A2D3-46DC-BE91-E528D14AA4F0}"/>
    <cellStyle name="40% - Accent6 3 4 2 2 4" xfId="16012" xr:uid="{70312430-87A6-4CCB-8B54-887704D34680}"/>
    <cellStyle name="40% - Accent6 3 4 2 3" xfId="20235" xr:uid="{7FE9B97D-5217-4556-95A3-3D9E0383CEE4}"/>
    <cellStyle name="40% - Accent6 3 4 2 4" xfId="28682" xr:uid="{215E512A-73DD-4A8F-8EF6-D5A8F7A1A0A1}"/>
    <cellStyle name="40% - Accent6 3 4 2 5" xfId="11794" xr:uid="{9978FD43-E32E-4885-9443-CF09D331EEFC}"/>
    <cellStyle name="40% - Accent6 3 4 3" xfId="5425" xr:uid="{00000000-0005-0000-0000-00004E070000}"/>
    <cellStyle name="40% - Accent6 3 4 3 2" xfId="22308" xr:uid="{5D205F9E-4461-4DBB-A82C-1331093600B1}"/>
    <cellStyle name="40% - Accent6 3 4 3 3" xfId="30754" xr:uid="{71DA1DE0-5FF8-463C-A2D0-F3C6A12C7751}"/>
    <cellStyle name="40% - Accent6 3 4 3 4" xfId="13867" xr:uid="{91FA971E-7F3B-4170-8E81-D93EDA06F307}"/>
    <cellStyle name="40% - Accent6 3 4 4" xfId="18090" xr:uid="{D8A2AC45-EDBB-4993-91AB-535C0BE461B2}"/>
    <cellStyle name="40% - Accent6 3 4 5" xfId="26535" xr:uid="{24A35551-0014-4BE4-AEF6-72B439F0A203}"/>
    <cellStyle name="40% - Accent6 3 4 6" xfId="9649" xr:uid="{FBE19AB4-77CB-468A-AF64-37EBB79292AC}"/>
    <cellStyle name="40% - Accent6 3 5" xfId="1530" xr:uid="{00000000-0005-0000-0000-00004F070000}"/>
    <cellStyle name="40% - Accent6 3 5 2" xfId="3760" xr:uid="{00000000-0005-0000-0000-000050070000}"/>
    <cellStyle name="40% - Accent6 3 5 2 2" xfId="7983" xr:uid="{00000000-0005-0000-0000-000051070000}"/>
    <cellStyle name="40% - Accent6 3 5 2 2 2" xfId="24866" xr:uid="{69DD9A77-45A9-4CF1-B026-4234934042A3}"/>
    <cellStyle name="40% - Accent6 3 5 2 2 3" xfId="33312" xr:uid="{34D4897D-3CA2-44AF-B4FB-C2744C55FAD4}"/>
    <cellStyle name="40% - Accent6 3 5 2 2 4" xfId="16425" xr:uid="{E7F40FFB-0591-4D60-92CE-C1DE2AC88C1E}"/>
    <cellStyle name="40% - Accent6 3 5 2 3" xfId="20648" xr:uid="{83A86B0F-662C-4639-86AF-DE70D6B8B614}"/>
    <cellStyle name="40% - Accent6 3 5 2 4" xfId="29095" xr:uid="{88C4C446-DCA0-4942-8C23-03E21E622B47}"/>
    <cellStyle name="40% - Accent6 3 5 2 5" xfId="12207" xr:uid="{EF1EE81A-DEA7-4F8E-A364-EEC0079B92DF}"/>
    <cellStyle name="40% - Accent6 3 5 3" xfId="5838" xr:uid="{00000000-0005-0000-0000-000052070000}"/>
    <cellStyle name="40% - Accent6 3 5 3 2" xfId="22721" xr:uid="{F21B70B6-EF6B-47AF-8EEB-71468BA36DD9}"/>
    <cellStyle name="40% - Accent6 3 5 3 3" xfId="31167" xr:uid="{0A6C4AAE-E50D-4809-89AC-429D108E27E2}"/>
    <cellStyle name="40% - Accent6 3 5 3 4" xfId="14280" xr:uid="{2F8825FE-DFBF-409A-AE81-8E912401D854}"/>
    <cellStyle name="40% - Accent6 3 5 4" xfId="18503" xr:uid="{EB7B41BC-F4A4-4AFE-9622-705A593BE707}"/>
    <cellStyle name="40% - Accent6 3 5 5" xfId="26948" xr:uid="{C437BEB3-765F-4C7B-8E91-B719CFFB7676}"/>
    <cellStyle name="40% - Accent6 3 5 6" xfId="10062" xr:uid="{26070FE6-7F75-4CD1-BE0E-7D10218737E9}"/>
    <cellStyle name="40% - Accent6 3 6" xfId="1944" xr:uid="{00000000-0005-0000-0000-000053070000}"/>
    <cellStyle name="40% - Accent6 3 6 2" xfId="4173" xr:uid="{00000000-0005-0000-0000-000054070000}"/>
    <cellStyle name="40% - Accent6 3 6 2 2" xfId="8396" xr:uid="{00000000-0005-0000-0000-000055070000}"/>
    <cellStyle name="40% - Accent6 3 6 2 2 2" xfId="25279" xr:uid="{668FEA6C-7EF6-4AC5-83B2-675F652742E2}"/>
    <cellStyle name="40% - Accent6 3 6 2 2 3" xfId="33725" xr:uid="{96DA4B36-BE55-49E8-BF0D-E464F69F5000}"/>
    <cellStyle name="40% - Accent6 3 6 2 2 4" xfId="16838" xr:uid="{35A6E7BD-943F-45E5-B41C-877402D08717}"/>
    <cellStyle name="40% - Accent6 3 6 2 3" xfId="21061" xr:uid="{4EB013F9-9660-4312-A098-F47039A2E43F}"/>
    <cellStyle name="40% - Accent6 3 6 2 4" xfId="29508" xr:uid="{A3CAD29C-4E81-436B-B416-14E93B06B5CC}"/>
    <cellStyle name="40% - Accent6 3 6 2 5" xfId="12620" xr:uid="{6894F4CE-C35F-4339-93DD-4D5019988F7F}"/>
    <cellStyle name="40% - Accent6 3 6 3" xfId="6251" xr:uid="{00000000-0005-0000-0000-000056070000}"/>
    <cellStyle name="40% - Accent6 3 6 3 2" xfId="23134" xr:uid="{5C24D2EC-9058-4940-A079-94D5B2EA4F90}"/>
    <cellStyle name="40% - Accent6 3 6 3 3" xfId="31580" xr:uid="{6024041F-0D22-4BCA-870D-770EB326131D}"/>
    <cellStyle name="40% - Accent6 3 6 3 4" xfId="14693" xr:uid="{80061105-5006-4CA6-AF60-299BFB6F202E}"/>
    <cellStyle name="40% - Accent6 3 6 4" xfId="18916" xr:uid="{DFFE00A2-1566-41D1-9745-CA07225D2164}"/>
    <cellStyle name="40% - Accent6 3 6 5" xfId="27361" xr:uid="{585D5F58-7569-44C5-B770-CDD242648A93}"/>
    <cellStyle name="40% - Accent6 3 6 6" xfId="10475" xr:uid="{40A970F5-5EA1-4693-997D-B662DF096A5D}"/>
    <cellStyle name="40% - Accent6 3 7" xfId="2357" xr:uid="{00000000-0005-0000-0000-000057070000}"/>
    <cellStyle name="40% - Accent6 3 7 2" xfId="6664" xr:uid="{00000000-0005-0000-0000-000058070000}"/>
    <cellStyle name="40% - Accent6 3 7 2 2" xfId="23547" xr:uid="{CAF35237-A1AC-4D72-A928-8779FF32C560}"/>
    <cellStyle name="40% - Accent6 3 7 2 3" xfId="31993" xr:uid="{5C86CE7F-97C4-49B5-8D2A-F901A1AC1301}"/>
    <cellStyle name="40% - Accent6 3 7 2 4" xfId="15106" xr:uid="{DA2DD588-462A-44F8-86A2-40E4C5D97EAB}"/>
    <cellStyle name="40% - Accent6 3 7 3" xfId="19329" xr:uid="{078F21E2-AAA6-44E6-BB7F-9D47DD30D7F0}"/>
    <cellStyle name="40% - Accent6 3 7 4" xfId="27774" xr:uid="{7BD2577A-C018-44C3-A8D3-3DC93E74D25C}"/>
    <cellStyle name="40% - Accent6 3 7 5" xfId="10888" xr:uid="{AF0F3C4B-7F71-422F-AF2B-68695D642886}"/>
    <cellStyle name="40% - Accent6 3 8" xfId="4598" xr:uid="{00000000-0005-0000-0000-000059070000}"/>
    <cellStyle name="40% - Accent6 3 8 2" xfId="21481" xr:uid="{11223C10-78FB-4A12-B39A-9F6CA31DFB29}"/>
    <cellStyle name="40% - Accent6 3 8 3" xfId="29927" xr:uid="{1E34E254-C289-4000-AECA-0937B419B4E3}"/>
    <cellStyle name="40% - Accent6 3 8 4" xfId="13040" xr:uid="{BCA12047-F80D-475A-84EC-D1319DE11F32}"/>
    <cellStyle name="40% - Accent6 3 9" xfId="17263" xr:uid="{D0C8107F-2C04-4A52-B0DA-6FD209D41BF8}"/>
    <cellStyle name="40% - Accent6 4" xfId="96" xr:uid="{00000000-0005-0000-0000-00005A070000}"/>
    <cellStyle name="40% - Accent6 4 10" xfId="8824" xr:uid="{77D0BAC9-408B-4E3B-BED3-AA20CD09E778}"/>
    <cellStyle name="40% - Accent6 4 2" xfId="665" xr:uid="{00000000-0005-0000-0000-00005B070000}"/>
    <cellStyle name="40% - Accent6 4 2 2" xfId="2936" xr:uid="{00000000-0005-0000-0000-00005C070000}"/>
    <cellStyle name="40% - Accent6 4 2 2 2" xfId="7159" xr:uid="{00000000-0005-0000-0000-00005D070000}"/>
    <cellStyle name="40% - Accent6 4 2 2 2 2" xfId="24042" xr:uid="{B7DFFB3B-45EF-4C40-BFA3-7BDCA5772CA6}"/>
    <cellStyle name="40% - Accent6 4 2 2 2 3" xfId="32488" xr:uid="{92D6EF67-6327-4C2B-A97D-747F7BB44019}"/>
    <cellStyle name="40% - Accent6 4 2 2 2 4" xfId="15601" xr:uid="{C4240524-3088-4712-8C3E-6B872C4B3CF6}"/>
    <cellStyle name="40% - Accent6 4 2 2 3" xfId="19824" xr:uid="{79A86C80-50B9-454D-BD1E-CBE3A07E92B8}"/>
    <cellStyle name="40% - Accent6 4 2 2 4" xfId="28271" xr:uid="{A1668B96-D5F7-4B6C-A8D0-293E4E3E803C}"/>
    <cellStyle name="40% - Accent6 4 2 2 5" xfId="11383" xr:uid="{55BB32B7-6AB8-446D-B8D2-9E8134FFC487}"/>
    <cellStyle name="40% - Accent6 4 2 3" xfId="5014" xr:uid="{00000000-0005-0000-0000-00005E070000}"/>
    <cellStyle name="40% - Accent6 4 2 3 2" xfId="21897" xr:uid="{A35BAD4A-17C7-4CC0-B290-09E409405F5D}"/>
    <cellStyle name="40% - Accent6 4 2 3 3" xfId="30343" xr:uid="{7085B6A2-BB26-4B41-A737-5B12972A03E6}"/>
    <cellStyle name="40% - Accent6 4 2 3 4" xfId="13456" xr:uid="{90682A11-BB11-43B2-8272-C6B6E58B2954}"/>
    <cellStyle name="40% - Accent6 4 2 4" xfId="17679" xr:uid="{A1D1BD5F-AFE9-4C00-A6B2-4AED4A247ED2}"/>
    <cellStyle name="40% - Accent6 4 2 5" xfId="26124" xr:uid="{88556DAF-4D93-4DC5-80F4-3D3F374B8603}"/>
    <cellStyle name="40% - Accent6 4 2 6" xfId="9238" xr:uid="{7B14CA5A-B036-497E-B540-F2612E46A83E}"/>
    <cellStyle name="40% - Accent6 4 3" xfId="1118" xr:uid="{00000000-0005-0000-0000-00005F070000}"/>
    <cellStyle name="40% - Accent6 4 3 2" xfId="3349" xr:uid="{00000000-0005-0000-0000-000060070000}"/>
    <cellStyle name="40% - Accent6 4 3 2 2" xfId="7572" xr:uid="{00000000-0005-0000-0000-000061070000}"/>
    <cellStyle name="40% - Accent6 4 3 2 2 2" xfId="24455" xr:uid="{6E3A4FBE-97EE-4280-8486-3CA70A85CA23}"/>
    <cellStyle name="40% - Accent6 4 3 2 2 3" xfId="32901" xr:uid="{831C2E50-74FE-410D-B43B-0FFDCC050FDF}"/>
    <cellStyle name="40% - Accent6 4 3 2 2 4" xfId="16014" xr:uid="{52AA7D5F-F12D-442E-8FD8-5580B7BA95D4}"/>
    <cellStyle name="40% - Accent6 4 3 2 3" xfId="20237" xr:uid="{7D47EE5E-AECA-4C22-8D72-1748E2CBF08B}"/>
    <cellStyle name="40% - Accent6 4 3 2 4" xfId="28684" xr:uid="{2DE01128-8CD6-4700-BD19-51396C5EC7BB}"/>
    <cellStyle name="40% - Accent6 4 3 2 5" xfId="11796" xr:uid="{284DC31A-0611-47E8-AA41-59E233C4CA96}"/>
    <cellStyle name="40% - Accent6 4 3 3" xfId="5427" xr:uid="{00000000-0005-0000-0000-000062070000}"/>
    <cellStyle name="40% - Accent6 4 3 3 2" xfId="22310" xr:uid="{54912767-2A01-40ED-8494-B4BDB1DFD57F}"/>
    <cellStyle name="40% - Accent6 4 3 3 3" xfId="30756" xr:uid="{A9B713B1-10E3-4B36-BEC9-3125E0D4FFE3}"/>
    <cellStyle name="40% - Accent6 4 3 3 4" xfId="13869" xr:uid="{09DC4BDD-3E49-47E1-861F-84517D73C035}"/>
    <cellStyle name="40% - Accent6 4 3 4" xfId="18092" xr:uid="{966A569D-35BD-4D97-9373-C2044FA3D05A}"/>
    <cellStyle name="40% - Accent6 4 3 5" xfId="26537" xr:uid="{9DB6CA1A-3C35-48E8-922F-B3ECB326E83C}"/>
    <cellStyle name="40% - Accent6 4 3 6" xfId="9651" xr:uid="{29FB856B-F488-43CF-82C9-241739908C1F}"/>
    <cellStyle name="40% - Accent6 4 4" xfId="1532" xr:uid="{00000000-0005-0000-0000-000063070000}"/>
    <cellStyle name="40% - Accent6 4 4 2" xfId="3762" xr:uid="{00000000-0005-0000-0000-000064070000}"/>
    <cellStyle name="40% - Accent6 4 4 2 2" xfId="7985" xr:uid="{00000000-0005-0000-0000-000065070000}"/>
    <cellStyle name="40% - Accent6 4 4 2 2 2" xfId="24868" xr:uid="{CA564EDD-E87F-4DD3-AFDF-B7B8E8486069}"/>
    <cellStyle name="40% - Accent6 4 4 2 2 3" xfId="33314" xr:uid="{B2B5946F-6C5A-4639-B333-2DB16C79D209}"/>
    <cellStyle name="40% - Accent6 4 4 2 2 4" xfId="16427" xr:uid="{4CA06E88-A78C-4B69-979A-2DD188C3F6BB}"/>
    <cellStyle name="40% - Accent6 4 4 2 3" xfId="20650" xr:uid="{6B125557-C3FB-4835-ABD6-456DE314054B}"/>
    <cellStyle name="40% - Accent6 4 4 2 4" xfId="29097" xr:uid="{740A7A73-D055-44F1-A71D-AC74FBADF3BC}"/>
    <cellStyle name="40% - Accent6 4 4 2 5" xfId="12209" xr:uid="{48EC75C6-A60E-4015-89CA-0B326C068DCA}"/>
    <cellStyle name="40% - Accent6 4 4 3" xfId="5840" xr:uid="{00000000-0005-0000-0000-000066070000}"/>
    <cellStyle name="40% - Accent6 4 4 3 2" xfId="22723" xr:uid="{E7B40FB3-5E55-4550-8655-2972A2706EB2}"/>
    <cellStyle name="40% - Accent6 4 4 3 3" xfId="31169" xr:uid="{6D86B4DD-1D43-412C-8563-DF07CC7FD1D1}"/>
    <cellStyle name="40% - Accent6 4 4 3 4" xfId="14282" xr:uid="{9D578FF9-3058-4002-B404-2F873B2946FE}"/>
    <cellStyle name="40% - Accent6 4 4 4" xfId="18505" xr:uid="{ADAF9F3B-94C9-43DC-B7F7-CC01005E28B4}"/>
    <cellStyle name="40% - Accent6 4 4 5" xfId="26950" xr:uid="{5A426104-B836-433D-8C48-3BA81E24860A}"/>
    <cellStyle name="40% - Accent6 4 4 6" xfId="10064" xr:uid="{D38E3E85-D776-41C8-B2E9-BA7400DDB9A2}"/>
    <cellStyle name="40% - Accent6 4 5" xfId="1946" xr:uid="{00000000-0005-0000-0000-000067070000}"/>
    <cellStyle name="40% - Accent6 4 5 2" xfId="4175" xr:uid="{00000000-0005-0000-0000-000068070000}"/>
    <cellStyle name="40% - Accent6 4 5 2 2" xfId="8398" xr:uid="{00000000-0005-0000-0000-000069070000}"/>
    <cellStyle name="40% - Accent6 4 5 2 2 2" xfId="25281" xr:uid="{862E7799-2A84-4A9F-BA7F-337CFCB2F9E9}"/>
    <cellStyle name="40% - Accent6 4 5 2 2 3" xfId="33727" xr:uid="{36C8668D-0243-4E4A-AB07-DC7B78C09F38}"/>
    <cellStyle name="40% - Accent6 4 5 2 2 4" xfId="16840" xr:uid="{36B94800-08CF-4D38-8375-E735B73BE973}"/>
    <cellStyle name="40% - Accent6 4 5 2 3" xfId="21063" xr:uid="{C3E9C3F4-877E-4593-AED9-A56204DF95C3}"/>
    <cellStyle name="40% - Accent6 4 5 2 4" xfId="29510" xr:uid="{59BD08FE-D26D-47EC-8096-B7245E5E5BC9}"/>
    <cellStyle name="40% - Accent6 4 5 2 5" xfId="12622" xr:uid="{8678EBE8-9808-4685-B11B-A103DE63EDC5}"/>
    <cellStyle name="40% - Accent6 4 5 3" xfId="6253" xr:uid="{00000000-0005-0000-0000-00006A070000}"/>
    <cellStyle name="40% - Accent6 4 5 3 2" xfId="23136" xr:uid="{A3703FB5-C587-4F2C-AF23-4A3330E63B8E}"/>
    <cellStyle name="40% - Accent6 4 5 3 3" xfId="31582" xr:uid="{9B41F6D5-924B-4893-9384-341D3C4FAECA}"/>
    <cellStyle name="40% - Accent6 4 5 3 4" xfId="14695" xr:uid="{0A81809E-9C7A-40D8-8381-31E8C27BF063}"/>
    <cellStyle name="40% - Accent6 4 5 4" xfId="18918" xr:uid="{82FA6ABF-D2E8-4F73-9F63-C4F5309C7923}"/>
    <cellStyle name="40% - Accent6 4 5 5" xfId="27363" xr:uid="{87040C6A-AA47-4F70-A69E-319A19069B35}"/>
    <cellStyle name="40% - Accent6 4 5 6" xfId="10477" xr:uid="{FCBE3367-C261-4124-BA98-2A4A392AE6FE}"/>
    <cellStyle name="40% - Accent6 4 6" xfId="2359" xr:uid="{00000000-0005-0000-0000-00006B070000}"/>
    <cellStyle name="40% - Accent6 4 6 2" xfId="6666" xr:uid="{00000000-0005-0000-0000-00006C070000}"/>
    <cellStyle name="40% - Accent6 4 6 2 2" xfId="23549" xr:uid="{21D82A01-591D-47C9-A7E2-1CDF2A16069A}"/>
    <cellStyle name="40% - Accent6 4 6 2 3" xfId="31995" xr:uid="{108A5618-EB3E-445E-9A2D-153693D40984}"/>
    <cellStyle name="40% - Accent6 4 6 2 4" xfId="15108" xr:uid="{DBCA7ED4-5982-4921-BA42-37B0C3BF64A4}"/>
    <cellStyle name="40% - Accent6 4 6 3" xfId="19331" xr:uid="{25877EFC-E694-446A-9B09-96631F1C815D}"/>
    <cellStyle name="40% - Accent6 4 6 4" xfId="27776" xr:uid="{BB68BB51-017A-40BE-95C9-B0B19D13D2C9}"/>
    <cellStyle name="40% - Accent6 4 6 5" xfId="10890" xr:uid="{0F1EC9A2-A339-491A-8628-433B7E6E543B}"/>
    <cellStyle name="40% - Accent6 4 7" xfId="4600" xr:uid="{00000000-0005-0000-0000-00006D070000}"/>
    <cellStyle name="40% - Accent6 4 7 2" xfId="21483" xr:uid="{55811A80-2CB3-4FBD-AC7F-29068F9075B4}"/>
    <cellStyle name="40% - Accent6 4 7 3" xfId="29929" xr:uid="{0CA0B206-228A-4367-9216-B5B1E692C21E}"/>
    <cellStyle name="40% - Accent6 4 7 4" xfId="13042" xr:uid="{CB3E9A0A-CD93-4AF5-8A67-33FBFA89CD5B}"/>
    <cellStyle name="40% - Accent6 4 8" xfId="17265" xr:uid="{4EDE4B81-7D42-41DC-B257-1FD23D72DCFA}"/>
    <cellStyle name="40% - Accent6 4 9" xfId="25707" xr:uid="{1ECBD4C5-1BF1-4F69-9488-9048E2422CCA}"/>
    <cellStyle name="40% - Accent6 5" xfId="658" xr:uid="{00000000-0005-0000-0000-00006E070000}"/>
    <cellStyle name="40% - Accent6 5 2" xfId="2929" xr:uid="{00000000-0005-0000-0000-00006F070000}"/>
    <cellStyle name="40% - Accent6 5 2 2" xfId="7152" xr:uid="{00000000-0005-0000-0000-000070070000}"/>
    <cellStyle name="40% - Accent6 5 2 2 2" xfId="24035" xr:uid="{74C1D99A-DFFB-4A00-A700-77EC6408C6BC}"/>
    <cellStyle name="40% - Accent6 5 2 2 3" xfId="32481" xr:uid="{0A733B76-0AE9-4CB1-8E3B-92AB986E5157}"/>
    <cellStyle name="40% - Accent6 5 2 2 4" xfId="15594" xr:uid="{2F9FD6B9-724E-47FD-A9BE-6328B217F6E9}"/>
    <cellStyle name="40% - Accent6 5 2 3" xfId="19817" xr:uid="{C2AB59F1-E316-41B5-B492-01912CFBAECB}"/>
    <cellStyle name="40% - Accent6 5 2 4" xfId="28264" xr:uid="{A0842196-6F98-44E9-A06F-C44B33197938}"/>
    <cellStyle name="40% - Accent6 5 2 5" xfId="11376" xr:uid="{022EFFC0-9ACE-4C1F-8227-95755D9793FA}"/>
    <cellStyle name="40% - Accent6 5 3" xfId="5007" xr:uid="{00000000-0005-0000-0000-000071070000}"/>
    <cellStyle name="40% - Accent6 5 3 2" xfId="21890" xr:uid="{2A629EE4-AD1A-4586-B188-E9BA2D3FAE38}"/>
    <cellStyle name="40% - Accent6 5 3 3" xfId="30336" xr:uid="{C8414947-473D-4DFF-9BB2-CE5C67E81254}"/>
    <cellStyle name="40% - Accent6 5 3 4" xfId="13449" xr:uid="{545F8478-6F2F-42E9-9B8E-F2B3BC36304D}"/>
    <cellStyle name="40% - Accent6 5 4" xfId="17672" xr:uid="{59B465B7-FFDC-4A27-82DA-5549E431AB6E}"/>
    <cellStyle name="40% - Accent6 5 5" xfId="26117" xr:uid="{F3F6920C-EBB3-4BEB-A689-C7FC2EA90EE9}"/>
    <cellStyle name="40% - Accent6 5 6" xfId="9231" xr:uid="{3BE39F4F-12CC-46A9-8A08-522B285374AF}"/>
    <cellStyle name="40% - Accent6 6" xfId="1111" xr:uid="{00000000-0005-0000-0000-000072070000}"/>
    <cellStyle name="40% - Accent6 6 2" xfId="3342" xr:uid="{00000000-0005-0000-0000-000073070000}"/>
    <cellStyle name="40% - Accent6 6 2 2" xfId="7565" xr:uid="{00000000-0005-0000-0000-000074070000}"/>
    <cellStyle name="40% - Accent6 6 2 2 2" xfId="24448" xr:uid="{4DB05C42-5285-44D9-8694-66707B7FD536}"/>
    <cellStyle name="40% - Accent6 6 2 2 3" xfId="32894" xr:uid="{CD9C497F-D97E-4FA9-B333-3983DC1606B4}"/>
    <cellStyle name="40% - Accent6 6 2 2 4" xfId="16007" xr:uid="{42B35B27-334C-4C45-9C27-132C05013ED0}"/>
    <cellStyle name="40% - Accent6 6 2 3" xfId="20230" xr:uid="{FF5AA65D-A94F-4A22-9C66-6F0C7540E472}"/>
    <cellStyle name="40% - Accent6 6 2 4" xfId="28677" xr:uid="{CA364107-C030-4104-9673-E8C891924325}"/>
    <cellStyle name="40% - Accent6 6 2 5" xfId="11789" xr:uid="{A87BEC11-00A5-4644-8A00-06E91DF0D129}"/>
    <cellStyle name="40% - Accent6 6 3" xfId="5420" xr:uid="{00000000-0005-0000-0000-000075070000}"/>
    <cellStyle name="40% - Accent6 6 3 2" xfId="22303" xr:uid="{F8EC933C-0017-41FA-B482-AF0BC0FB3A3D}"/>
    <cellStyle name="40% - Accent6 6 3 3" xfId="30749" xr:uid="{DA236E70-D57B-4A2D-9162-7C034C4450FA}"/>
    <cellStyle name="40% - Accent6 6 3 4" xfId="13862" xr:uid="{1E01B91D-10A7-4E36-93CC-CB4F155F5B1F}"/>
    <cellStyle name="40% - Accent6 6 4" xfId="18085" xr:uid="{8FD60D81-14D3-4855-8DB3-9D06B0888C9E}"/>
    <cellStyle name="40% - Accent6 6 5" xfId="26530" xr:uid="{CA7F6719-57D4-4F58-B494-223B12C1A4BE}"/>
    <cellStyle name="40% - Accent6 6 6" xfId="9644" xr:uid="{2574A051-8D59-41D3-A221-CD1310105F75}"/>
    <cellStyle name="40% - Accent6 7" xfId="1525" xr:uid="{00000000-0005-0000-0000-000076070000}"/>
    <cellStyle name="40% - Accent6 7 2" xfId="3755" xr:uid="{00000000-0005-0000-0000-000077070000}"/>
    <cellStyle name="40% - Accent6 7 2 2" xfId="7978" xr:uid="{00000000-0005-0000-0000-000078070000}"/>
    <cellStyle name="40% - Accent6 7 2 2 2" xfId="24861" xr:uid="{B53D33A8-364C-4B46-8D73-D5AE85BA859D}"/>
    <cellStyle name="40% - Accent6 7 2 2 3" xfId="33307" xr:uid="{051962C5-F2CE-4775-8856-EAC38FC9C8CA}"/>
    <cellStyle name="40% - Accent6 7 2 2 4" xfId="16420" xr:uid="{7C964BBC-D96E-4B45-B4AA-B2039BE6066E}"/>
    <cellStyle name="40% - Accent6 7 2 3" xfId="20643" xr:uid="{AF6BD564-4447-4C18-BADA-42819CACF2B8}"/>
    <cellStyle name="40% - Accent6 7 2 4" xfId="29090" xr:uid="{88549284-AACF-4E3A-9963-D4A3100BFC45}"/>
    <cellStyle name="40% - Accent6 7 2 5" xfId="12202" xr:uid="{D06185A4-C1E4-4AD1-BA62-0961532FA381}"/>
    <cellStyle name="40% - Accent6 7 3" xfId="5833" xr:uid="{00000000-0005-0000-0000-000079070000}"/>
    <cellStyle name="40% - Accent6 7 3 2" xfId="22716" xr:uid="{5B3BEDEF-2DCA-4708-809F-0D340290E628}"/>
    <cellStyle name="40% - Accent6 7 3 3" xfId="31162" xr:uid="{88396797-C8F7-4F8B-A4E6-D4311DD375D3}"/>
    <cellStyle name="40% - Accent6 7 3 4" xfId="14275" xr:uid="{35BCA6D7-45FE-4223-81E9-07C6D7138A68}"/>
    <cellStyle name="40% - Accent6 7 4" xfId="18498" xr:uid="{78E34494-D09D-4156-A2BC-4D70CBDC84F2}"/>
    <cellStyle name="40% - Accent6 7 5" xfId="26943" xr:uid="{A3972FBA-5F12-4A95-A234-AE4487BB1274}"/>
    <cellStyle name="40% - Accent6 7 6" xfId="10057" xr:uid="{CCBF32EB-9E01-4A74-B437-48EF5F5DDB31}"/>
    <cellStyle name="40% - Accent6 8" xfId="1939" xr:uid="{00000000-0005-0000-0000-00007A070000}"/>
    <cellStyle name="40% - Accent6 8 2" xfId="4168" xr:uid="{00000000-0005-0000-0000-00007B070000}"/>
    <cellStyle name="40% - Accent6 8 2 2" xfId="8391" xr:uid="{00000000-0005-0000-0000-00007C070000}"/>
    <cellStyle name="40% - Accent6 8 2 2 2" xfId="25274" xr:uid="{C43029F4-D282-44C7-8B2C-4F0273525348}"/>
    <cellStyle name="40% - Accent6 8 2 2 3" xfId="33720" xr:uid="{8FF092C5-90D6-4712-A19F-31CE4A7CEB79}"/>
    <cellStyle name="40% - Accent6 8 2 2 4" xfId="16833" xr:uid="{3B2A87EA-8B4A-4F1C-B422-070C4B1F1D63}"/>
    <cellStyle name="40% - Accent6 8 2 3" xfId="21056" xr:uid="{C7DDDDEF-FDC5-443F-AA6E-81149C151335}"/>
    <cellStyle name="40% - Accent6 8 2 4" xfId="29503" xr:uid="{019E4385-C98C-45F7-BDFD-B4087F53DDE7}"/>
    <cellStyle name="40% - Accent6 8 2 5" xfId="12615" xr:uid="{E599E035-0C42-4BFC-A1D9-F63CDB451C63}"/>
    <cellStyle name="40% - Accent6 8 3" xfId="6246" xr:uid="{00000000-0005-0000-0000-00007D070000}"/>
    <cellStyle name="40% - Accent6 8 3 2" xfId="23129" xr:uid="{11F14840-3B9C-46CF-9EB0-20F659A84113}"/>
    <cellStyle name="40% - Accent6 8 3 3" xfId="31575" xr:uid="{F7D33260-19CC-4A9D-91E8-81ECE0BC9338}"/>
    <cellStyle name="40% - Accent6 8 3 4" xfId="14688" xr:uid="{08F89253-A864-4F61-9AA2-752641015FA7}"/>
    <cellStyle name="40% - Accent6 8 4" xfId="18911" xr:uid="{8C0C571B-7AD0-43E4-875A-FD9316BF7D97}"/>
    <cellStyle name="40% - Accent6 8 5" xfId="27356" xr:uid="{8BDC503A-0AD5-4C8D-A8A6-1E9F8F50E183}"/>
    <cellStyle name="40% - Accent6 8 6" xfId="10470" xr:uid="{51413B21-8D8F-415D-ABE9-5B080BDE56B9}"/>
    <cellStyle name="40% - Accent6 9" xfId="2352" xr:uid="{00000000-0005-0000-0000-00007E070000}"/>
    <cellStyle name="40% - Accent6 9 2" xfId="6659" xr:uid="{00000000-0005-0000-0000-00007F070000}"/>
    <cellStyle name="40% - Accent6 9 2 2" xfId="23542" xr:uid="{4B599671-AF63-486B-985D-E11779301491}"/>
    <cellStyle name="40% - Accent6 9 2 3" xfId="31988" xr:uid="{CC31274F-7AF1-4E51-821A-16C33C8E2F2C}"/>
    <cellStyle name="40% - Accent6 9 2 4" xfId="15101" xr:uid="{2A3AF07E-2F58-4F83-9E29-949136EEB7C7}"/>
    <cellStyle name="40% - Accent6 9 3" xfId="19324" xr:uid="{06C6BCD1-F57D-4E78-81A4-DD626C7A6EBE}"/>
    <cellStyle name="40% - Accent6 9 4" xfId="27769" xr:uid="{694D0BA8-7F4D-4E4F-9F73-972ECAB82A8F}"/>
    <cellStyle name="40% - Accent6 9 5" xfId="10883" xr:uid="{BD845802-4DA2-4DE3-AB98-9823D958FF46}"/>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Bad 2 2" xfId="34095" xr:uid="{29EF9C3F-39F4-4810-81D7-F00FF2CBF52D}"/>
    <cellStyle name="Calculation" xfId="119" builtinId="22" customBuiltin="1"/>
    <cellStyle name="Calculation 2" xfId="120" xr:uid="{00000000-0005-0000-0000-000097070000}"/>
    <cellStyle name="Check Cell" xfId="121" builtinId="23" customBuiltin="1"/>
    <cellStyle name="Comma" xfId="4504" builtinId="3"/>
    <cellStyle name="Comma 10" xfId="34096" xr:uid="{34CAEA37-362D-47EB-A4DB-7960F9C5F956}"/>
    <cellStyle name="Comma 11" xfId="34194" xr:uid="{95123D4F-0940-4255-8DCB-3B53AF1493DE}"/>
    <cellStyle name="Comma 2" xfId="122" xr:uid="{00000000-0005-0000-0000-00009A070000}"/>
    <cellStyle name="Comma 2 2" xfId="123" xr:uid="{00000000-0005-0000-0000-00009B070000}"/>
    <cellStyle name="Comma 2 3" xfId="34057" xr:uid="{7E2DF49E-7388-4547-B63D-135D86E669F6}"/>
    <cellStyle name="Comma 3" xfId="124" xr:uid="{00000000-0005-0000-0000-00009C070000}"/>
    <cellStyle name="Comma 3 2" xfId="34206" xr:uid="{5C84272C-C5AE-4F00-9972-7E4F48199D86}"/>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23867" xr:uid="{5F81C586-4422-4570-830E-86AE7642C08F}"/>
    <cellStyle name="Comma 4 2 2 2 10 2 3" xfId="32313" xr:uid="{D51891D7-467A-476E-8D6D-7316D1DB97D0}"/>
    <cellStyle name="Comma 4 2 2 2 10 2 4" xfId="15426" xr:uid="{96A652B3-4D91-466F-8EE8-A652F0113436}"/>
    <cellStyle name="Comma 4 2 2 2 10 3" xfId="19649" xr:uid="{3B2B8093-8F43-48CE-BC9C-64D01308AFCA}"/>
    <cellStyle name="Comma 4 2 2 2 10 4" xfId="28096" xr:uid="{427BD340-C46B-416E-81BA-F380E96B7E0C}"/>
    <cellStyle name="Comma 4 2 2 2 10 5" xfId="11208" xr:uid="{74685D5A-A6AF-43D6-AD6E-7D5CB1567BE6}"/>
    <cellStyle name="Comma 4 2 2 2 11" xfId="4601" xr:uid="{00000000-0005-0000-0000-0000A3070000}"/>
    <cellStyle name="Comma 4 2 2 2 11 2" xfId="21484" xr:uid="{9830D000-F307-4CF1-A913-76FAAD99224D}"/>
    <cellStyle name="Comma 4 2 2 2 11 3" xfId="29930" xr:uid="{991345BB-CB63-495A-B762-BD58737AC267}"/>
    <cellStyle name="Comma 4 2 2 2 11 4" xfId="13043" xr:uid="{B1A06F13-C7DE-4C0A-AF4C-29772EB60EF0}"/>
    <cellStyle name="Comma 4 2 2 2 12" xfId="17266" xr:uid="{31884AF2-67F3-4D75-A69E-9C5D1615952E}"/>
    <cellStyle name="Comma 4 2 2 2 13" xfId="25709" xr:uid="{32743E28-5C9F-4CC6-B777-B2E4AEAA5C55}"/>
    <cellStyle name="Comma 4 2 2 2 14" xfId="8825" xr:uid="{0CE3F18F-2175-4139-BD48-5D952B34B325}"/>
    <cellStyle name="Comma 4 2 2 2 2" xfId="129" xr:uid="{00000000-0005-0000-0000-0000A4070000}"/>
    <cellStyle name="Comma 4 2 2 2 2 10" xfId="4602" xr:uid="{00000000-0005-0000-0000-0000A5070000}"/>
    <cellStyle name="Comma 4 2 2 2 2 10 2" xfId="21485" xr:uid="{661972BB-8604-4B96-975B-30909B68D199}"/>
    <cellStyle name="Comma 4 2 2 2 2 10 3" xfId="29931" xr:uid="{720D27A8-3FDD-4026-9194-232F117E1E41}"/>
    <cellStyle name="Comma 4 2 2 2 2 10 4" xfId="13044" xr:uid="{CFC11933-8631-4C79-866B-83ECFC565166}"/>
    <cellStyle name="Comma 4 2 2 2 2 11" xfId="17267" xr:uid="{6B98980F-FEFA-4CC1-B861-EE3EF271F5DC}"/>
    <cellStyle name="Comma 4 2 2 2 2 12" xfId="25710" xr:uid="{49EFE54E-BDC1-4657-A090-205F7F08E1BE}"/>
    <cellStyle name="Comma 4 2 2 2 2 13" xfId="8826" xr:uid="{385EAF26-D1A5-4896-B45B-1B8CE1DFBC9D}"/>
    <cellStyle name="Comma 4 2 2 2 2 2" xfId="130" xr:uid="{00000000-0005-0000-0000-0000A6070000}"/>
    <cellStyle name="Comma 4 2 2 2 2 2 10" xfId="17268" xr:uid="{E07AEDE4-3762-4338-B0F9-0D27EC6CBBFC}"/>
    <cellStyle name="Comma 4 2 2 2 2 2 11" xfId="25711" xr:uid="{48739756-1A07-418F-8133-BD8776182914}"/>
    <cellStyle name="Comma 4 2 2 2 2 2 12" xfId="8827" xr:uid="{0624EC40-59AA-4301-8977-E073FEE85DC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24045" xr:uid="{44D10DA5-14F7-4D71-B5B3-115064C8456B}"/>
    <cellStyle name="Comma 4 2 2 2 2 2 2 2 2 3" xfId="32491" xr:uid="{D1399D37-5855-4B6D-9217-E03A277DBA36}"/>
    <cellStyle name="Comma 4 2 2 2 2 2 2 2 2 4" xfId="15604" xr:uid="{3DD80E13-AB93-47CC-A5C3-A78890280688}"/>
    <cellStyle name="Comma 4 2 2 2 2 2 2 2 3" xfId="19827" xr:uid="{D690D784-3F2E-40A8-8EAB-BDC82197FA8F}"/>
    <cellStyle name="Comma 4 2 2 2 2 2 2 2 4" xfId="28274" xr:uid="{55FEC15D-2B22-4353-A54E-EC3AEF6E889E}"/>
    <cellStyle name="Comma 4 2 2 2 2 2 2 2 5" xfId="11386" xr:uid="{946BCDE8-2F70-4CD0-9BA7-A38DBA65360E}"/>
    <cellStyle name="Comma 4 2 2 2 2 2 2 3" xfId="5017" xr:uid="{00000000-0005-0000-0000-0000AA070000}"/>
    <cellStyle name="Comma 4 2 2 2 2 2 2 3 2" xfId="21900" xr:uid="{228719E9-AD76-45BD-A825-7EE95568F26C}"/>
    <cellStyle name="Comma 4 2 2 2 2 2 2 3 3" xfId="30346" xr:uid="{F10C8C26-36B9-4825-B994-03D73AD15DC9}"/>
    <cellStyle name="Comma 4 2 2 2 2 2 2 3 4" xfId="13459" xr:uid="{05051C30-ADB5-47ED-B070-393F0FCA3B1A}"/>
    <cellStyle name="Comma 4 2 2 2 2 2 2 4" xfId="17682" xr:uid="{B436FDD8-C1F0-48E3-B98A-9CDDE6259F94}"/>
    <cellStyle name="Comma 4 2 2 2 2 2 2 5" xfId="26127" xr:uid="{AAAD34B9-F16E-4854-989D-D2910F583AE9}"/>
    <cellStyle name="Comma 4 2 2 2 2 2 2 6" xfId="9241" xr:uid="{750C28B4-1123-4723-A4F6-67BB999525AB}"/>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24458" xr:uid="{4F49519B-9339-47C6-AAF8-8E9E4B552B3D}"/>
    <cellStyle name="Comma 4 2 2 2 2 2 3 2 2 3" xfId="32904" xr:uid="{FDA0685F-CA52-4C56-9A63-E0BBBBDEBEDA}"/>
    <cellStyle name="Comma 4 2 2 2 2 2 3 2 2 4" xfId="16017" xr:uid="{5FE80DCB-EEED-4F5D-AAAC-062938FD4820}"/>
    <cellStyle name="Comma 4 2 2 2 2 2 3 2 3" xfId="20240" xr:uid="{2E61DD2E-1B6F-476F-95FD-05ED9CF9D8CE}"/>
    <cellStyle name="Comma 4 2 2 2 2 2 3 2 4" xfId="28687" xr:uid="{5AEE0F1A-5066-4FAB-BF10-D9FAA5271050}"/>
    <cellStyle name="Comma 4 2 2 2 2 2 3 2 5" xfId="11799" xr:uid="{51205DFC-E2AA-4249-9947-26028E1D31E1}"/>
    <cellStyle name="Comma 4 2 2 2 2 2 3 3" xfId="5430" xr:uid="{00000000-0005-0000-0000-0000AE070000}"/>
    <cellStyle name="Comma 4 2 2 2 2 2 3 3 2" xfId="22313" xr:uid="{8E14E214-3522-4BC2-AF3C-9A665DBF82EF}"/>
    <cellStyle name="Comma 4 2 2 2 2 2 3 3 3" xfId="30759" xr:uid="{3BA42C5E-086B-48B0-B8C6-69C3FF0C6B04}"/>
    <cellStyle name="Comma 4 2 2 2 2 2 3 3 4" xfId="13872" xr:uid="{ED3F55D5-0AEC-4DED-9E6F-FE69C0027966}"/>
    <cellStyle name="Comma 4 2 2 2 2 2 3 4" xfId="18095" xr:uid="{FED12D69-B0ED-4FC5-94F2-7A659C1BF425}"/>
    <cellStyle name="Comma 4 2 2 2 2 2 3 5" xfId="26540" xr:uid="{3FD75837-3F5A-4D2F-BFFA-E4C39B4DF583}"/>
    <cellStyle name="Comma 4 2 2 2 2 2 3 6" xfId="9654" xr:uid="{80981315-CD21-413B-AE1E-4740E36D54EA}"/>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24871" xr:uid="{C3F3114C-152A-4A0C-807B-1E4D8750519A}"/>
    <cellStyle name="Comma 4 2 2 2 2 2 4 2 2 3" xfId="33317" xr:uid="{BB84D11B-8D87-479A-BE49-49A222A03970}"/>
    <cellStyle name="Comma 4 2 2 2 2 2 4 2 2 4" xfId="16430" xr:uid="{43F41894-CA1D-479E-A026-B3872D6EB618}"/>
    <cellStyle name="Comma 4 2 2 2 2 2 4 2 3" xfId="20653" xr:uid="{27635947-2EB1-4B7D-B4E6-C478D812A1A9}"/>
    <cellStyle name="Comma 4 2 2 2 2 2 4 2 4" xfId="29100" xr:uid="{5219490D-45B3-46DF-929B-6BBDA4CF08B2}"/>
    <cellStyle name="Comma 4 2 2 2 2 2 4 2 5" xfId="12212" xr:uid="{8689BFBB-29E1-4DCB-A51E-8D618BD272D7}"/>
    <cellStyle name="Comma 4 2 2 2 2 2 4 3" xfId="5843" xr:uid="{00000000-0005-0000-0000-0000B2070000}"/>
    <cellStyle name="Comma 4 2 2 2 2 2 4 3 2" xfId="22726" xr:uid="{87930CDE-BA67-479F-A278-EE4D8BFC7844}"/>
    <cellStyle name="Comma 4 2 2 2 2 2 4 3 3" xfId="31172" xr:uid="{14E573AC-1FF2-4BDF-8B77-0644908FBB2F}"/>
    <cellStyle name="Comma 4 2 2 2 2 2 4 3 4" xfId="14285" xr:uid="{4BE69622-A538-4E42-A248-7B6D84D4B787}"/>
    <cellStyle name="Comma 4 2 2 2 2 2 4 4" xfId="18508" xr:uid="{EF803410-C565-4063-AF3E-E971ED42A49F}"/>
    <cellStyle name="Comma 4 2 2 2 2 2 4 5" xfId="26953" xr:uid="{AC0708C0-D6E5-4C55-84B9-B8F6020FD975}"/>
    <cellStyle name="Comma 4 2 2 2 2 2 4 6" xfId="10067" xr:uid="{D8EC1C0C-2E31-48C6-8AAD-95420896A6E1}"/>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25284" xr:uid="{6DA9AC60-C104-4F72-B25A-C247CBABFD62}"/>
    <cellStyle name="Comma 4 2 2 2 2 2 5 2 2 3" xfId="33730" xr:uid="{093E8358-B40F-4D2C-9104-00F442EC2017}"/>
    <cellStyle name="Comma 4 2 2 2 2 2 5 2 2 4" xfId="16843" xr:uid="{8D04661D-78DE-4BD8-BCDB-E1C3BB3F269E}"/>
    <cellStyle name="Comma 4 2 2 2 2 2 5 2 3" xfId="21066" xr:uid="{7F65074E-8539-4154-BB29-0481D8D5BABF}"/>
    <cellStyle name="Comma 4 2 2 2 2 2 5 2 4" xfId="29513" xr:uid="{C42DD2AF-8165-4B64-8E0C-5417A62F2412}"/>
    <cellStyle name="Comma 4 2 2 2 2 2 5 2 5" xfId="12625" xr:uid="{544383A6-30E4-4788-9779-705C40A8C3BB}"/>
    <cellStyle name="Comma 4 2 2 2 2 2 5 3" xfId="6256" xr:uid="{00000000-0005-0000-0000-0000B6070000}"/>
    <cellStyle name="Comma 4 2 2 2 2 2 5 3 2" xfId="23139" xr:uid="{5565A3AA-B78B-4A77-A330-D214FCC3F212}"/>
    <cellStyle name="Comma 4 2 2 2 2 2 5 3 3" xfId="31585" xr:uid="{B81A3D86-2C4D-4603-A879-CD8FEE5F84D7}"/>
    <cellStyle name="Comma 4 2 2 2 2 2 5 3 4" xfId="14698" xr:uid="{928CA9D7-7B0C-44C1-802E-A91663BAAA8E}"/>
    <cellStyle name="Comma 4 2 2 2 2 2 5 4" xfId="18921" xr:uid="{775D1A96-FD5F-4803-B686-368F71233316}"/>
    <cellStyle name="Comma 4 2 2 2 2 2 5 5" xfId="27366" xr:uid="{488D420E-D00D-4A78-B0A7-B1097435B8F3}"/>
    <cellStyle name="Comma 4 2 2 2 2 2 5 6" xfId="10480" xr:uid="{EB7B2D8B-2415-4B44-BCCE-256689190678}"/>
    <cellStyle name="Comma 4 2 2 2 2 2 6" xfId="2384" xr:uid="{00000000-0005-0000-0000-0000B7070000}"/>
    <cellStyle name="Comma 4 2 2 2 2 2 6 2" xfId="6669" xr:uid="{00000000-0005-0000-0000-0000B8070000}"/>
    <cellStyle name="Comma 4 2 2 2 2 2 6 2 2" xfId="23552" xr:uid="{59694E5A-CCA1-4460-9099-2A8C9034A8E4}"/>
    <cellStyle name="Comma 4 2 2 2 2 2 6 2 3" xfId="31998" xr:uid="{93E21186-21E0-456D-8364-448B5166B240}"/>
    <cellStyle name="Comma 4 2 2 2 2 2 6 2 4" xfId="15111" xr:uid="{0D06FB50-8635-403D-8224-37275A16DB68}"/>
    <cellStyle name="Comma 4 2 2 2 2 2 6 3" xfId="19334" xr:uid="{942A3595-84BD-4969-8DAD-648E38B9DBF6}"/>
    <cellStyle name="Comma 4 2 2 2 2 2 6 4" xfId="27779" xr:uid="{D74272A3-7284-4B17-9D8F-00BFC76BD410}"/>
    <cellStyle name="Comma 4 2 2 2 2 2 6 5" xfId="10893" xr:uid="{CC01DFAD-E94B-44CD-9F6D-5A1854F6FB40}"/>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23869" xr:uid="{DD50E879-DACF-4571-A09B-035C5C960988}"/>
    <cellStyle name="Comma 4 2 2 2 2 2 8 2 3" xfId="32315" xr:uid="{38466C77-E61D-4F4A-96ED-B9BA33747BDD}"/>
    <cellStyle name="Comma 4 2 2 2 2 2 8 2 4" xfId="15428" xr:uid="{CCEAF668-F96E-455F-A2F5-83772D1D66D0}"/>
    <cellStyle name="Comma 4 2 2 2 2 2 8 3" xfId="19651" xr:uid="{41F520E1-AD14-4CBE-939C-1173E388D9B1}"/>
    <cellStyle name="Comma 4 2 2 2 2 2 8 4" xfId="28098" xr:uid="{C7C17AB0-D198-4041-AAE7-188CE7084EA7}"/>
    <cellStyle name="Comma 4 2 2 2 2 2 8 5" xfId="11210" xr:uid="{F8B8F47C-1550-4F7B-AF8B-E96280D391A9}"/>
    <cellStyle name="Comma 4 2 2 2 2 2 9" xfId="4603" xr:uid="{00000000-0005-0000-0000-0000BC070000}"/>
    <cellStyle name="Comma 4 2 2 2 2 2 9 2" xfId="21486" xr:uid="{11BFC05C-16F1-4658-8302-27666B2019E8}"/>
    <cellStyle name="Comma 4 2 2 2 2 2 9 3" xfId="29932" xr:uid="{8865A269-BBE3-40DA-A353-9C4B9B4A584A}"/>
    <cellStyle name="Comma 4 2 2 2 2 2 9 4" xfId="13045" xr:uid="{FAE8E88E-203A-492A-898C-238F107DBA51}"/>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24044" xr:uid="{F9C69621-D16A-4299-8B69-7FF233113B53}"/>
    <cellStyle name="Comma 4 2 2 2 2 3 2 2 3" xfId="32490" xr:uid="{4C46DA75-EFD4-4094-8B91-9E9C6CDDF9A3}"/>
    <cellStyle name="Comma 4 2 2 2 2 3 2 2 4" xfId="15603" xr:uid="{310BD66E-D378-4A2D-A7DA-7F4B5FF12913}"/>
    <cellStyle name="Comma 4 2 2 2 2 3 2 3" xfId="19826" xr:uid="{79477299-D20C-4CF8-9C95-0E716FA0DF99}"/>
    <cellStyle name="Comma 4 2 2 2 2 3 2 4" xfId="28273" xr:uid="{E42B9648-4849-4379-89A0-A91489AADB9B}"/>
    <cellStyle name="Comma 4 2 2 2 2 3 2 5" xfId="11385" xr:uid="{FD5E2215-34B0-4001-B680-1D7DCA714A21}"/>
    <cellStyle name="Comma 4 2 2 2 2 3 3" xfId="5016" xr:uid="{00000000-0005-0000-0000-0000C0070000}"/>
    <cellStyle name="Comma 4 2 2 2 2 3 3 2" xfId="21899" xr:uid="{89CF15FA-A07C-4852-83BA-588535E9A7A5}"/>
    <cellStyle name="Comma 4 2 2 2 2 3 3 3" xfId="30345" xr:uid="{C853E188-94E4-44EF-A7E0-C486A0BB14CD}"/>
    <cellStyle name="Comma 4 2 2 2 2 3 3 4" xfId="13458" xr:uid="{55030DFF-B554-4749-B540-7FFDBA4251A6}"/>
    <cellStyle name="Comma 4 2 2 2 2 3 4" xfId="17681" xr:uid="{3A573CA5-E383-4696-AECD-E5E0A12AA13F}"/>
    <cellStyle name="Comma 4 2 2 2 2 3 5" xfId="26126" xr:uid="{4EB81B15-4DAC-4717-92FB-B134BAA88E96}"/>
    <cellStyle name="Comma 4 2 2 2 2 3 6" xfId="9240" xr:uid="{3D9555F1-0926-4F5A-B3CF-19F9F69C08D6}"/>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24457" xr:uid="{4BEFE326-BC99-46A4-933E-019C9BB73BB6}"/>
    <cellStyle name="Comma 4 2 2 2 2 4 2 2 3" xfId="32903" xr:uid="{BC0070C4-9759-43FE-B4E3-99A031B79B08}"/>
    <cellStyle name="Comma 4 2 2 2 2 4 2 2 4" xfId="16016" xr:uid="{F7BCE4A2-4F42-44F0-8787-16474325A3C0}"/>
    <cellStyle name="Comma 4 2 2 2 2 4 2 3" xfId="20239" xr:uid="{1B172DBF-CF7E-4A48-9632-22B9B039E6BD}"/>
    <cellStyle name="Comma 4 2 2 2 2 4 2 4" xfId="28686" xr:uid="{FD5A591D-5FE0-48CD-BD66-B2453E425A1C}"/>
    <cellStyle name="Comma 4 2 2 2 2 4 2 5" xfId="11798" xr:uid="{7F8AA658-A374-4BC5-B8D1-88FED7B5AB72}"/>
    <cellStyle name="Comma 4 2 2 2 2 4 3" xfId="5429" xr:uid="{00000000-0005-0000-0000-0000C4070000}"/>
    <cellStyle name="Comma 4 2 2 2 2 4 3 2" xfId="22312" xr:uid="{9D07A07B-C4CA-4C8C-88E2-46D58D4A1233}"/>
    <cellStyle name="Comma 4 2 2 2 2 4 3 3" xfId="30758" xr:uid="{5D129A66-A228-489B-8825-323A8D7B6542}"/>
    <cellStyle name="Comma 4 2 2 2 2 4 3 4" xfId="13871" xr:uid="{2F202F9A-A62C-4CE8-8DBB-BD5F661C7B5D}"/>
    <cellStyle name="Comma 4 2 2 2 2 4 4" xfId="18094" xr:uid="{CABC0905-DE1B-4F42-8D83-D41325D8E957}"/>
    <cellStyle name="Comma 4 2 2 2 2 4 5" xfId="26539" xr:uid="{CAB93A90-F5A9-446C-A9A2-982140BD9E20}"/>
    <cellStyle name="Comma 4 2 2 2 2 4 6" xfId="9653" xr:uid="{BB69A7D6-6813-4610-A5EC-2A67EB2DED43}"/>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24870" xr:uid="{1F7A6E68-BFB1-47CE-8461-9AAEC637AC85}"/>
    <cellStyle name="Comma 4 2 2 2 2 5 2 2 3" xfId="33316" xr:uid="{A4357F31-4E7A-4E81-AF17-7F40C71E9D75}"/>
    <cellStyle name="Comma 4 2 2 2 2 5 2 2 4" xfId="16429" xr:uid="{DD92D38B-E0B8-4023-813A-44DB880EDE76}"/>
    <cellStyle name="Comma 4 2 2 2 2 5 2 3" xfId="20652" xr:uid="{20F5A8BE-1273-4FD7-8CF8-0EAC5124BB46}"/>
    <cellStyle name="Comma 4 2 2 2 2 5 2 4" xfId="29099" xr:uid="{9F482AE6-8500-4C2C-B996-C9518D13DF46}"/>
    <cellStyle name="Comma 4 2 2 2 2 5 2 5" xfId="12211" xr:uid="{9FF259AE-9D2B-4580-9884-79039EF90A25}"/>
    <cellStyle name="Comma 4 2 2 2 2 5 3" xfId="5842" xr:uid="{00000000-0005-0000-0000-0000C8070000}"/>
    <cellStyle name="Comma 4 2 2 2 2 5 3 2" xfId="22725" xr:uid="{06A1673C-3127-46BC-9B84-637F8CAB3764}"/>
    <cellStyle name="Comma 4 2 2 2 2 5 3 3" xfId="31171" xr:uid="{AA8A0D75-27FA-4CF0-8038-DBE3BE43EFF1}"/>
    <cellStyle name="Comma 4 2 2 2 2 5 3 4" xfId="14284" xr:uid="{A5B1C259-888D-4457-A14E-5BC51432BBA3}"/>
    <cellStyle name="Comma 4 2 2 2 2 5 4" xfId="18507" xr:uid="{30A89A06-A76A-40F1-97FC-E16B17137755}"/>
    <cellStyle name="Comma 4 2 2 2 2 5 5" xfId="26952" xr:uid="{E6C8D190-FD6E-482F-8E29-4363EEF4A1B4}"/>
    <cellStyle name="Comma 4 2 2 2 2 5 6" xfId="10066" xr:uid="{8EF28C00-7987-44A5-8481-87E3974D3EE6}"/>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25283" xr:uid="{6E0CBEEE-BA9D-4348-AAED-8DB169EC8822}"/>
    <cellStyle name="Comma 4 2 2 2 2 6 2 2 3" xfId="33729" xr:uid="{9FB0F231-D792-4C0D-B441-5455531AC335}"/>
    <cellStyle name="Comma 4 2 2 2 2 6 2 2 4" xfId="16842" xr:uid="{A4FCFCFC-2713-4477-A794-1D505A4AB07E}"/>
    <cellStyle name="Comma 4 2 2 2 2 6 2 3" xfId="21065" xr:uid="{B75A57C3-23DC-42AD-B1CB-84F1257F0C9A}"/>
    <cellStyle name="Comma 4 2 2 2 2 6 2 4" xfId="29512" xr:uid="{249D196F-A320-4A10-B80C-7DA78E6EB6E8}"/>
    <cellStyle name="Comma 4 2 2 2 2 6 2 5" xfId="12624" xr:uid="{6585037E-3D74-43ED-9BF5-ECB5FD188307}"/>
    <cellStyle name="Comma 4 2 2 2 2 6 3" xfId="6255" xr:uid="{00000000-0005-0000-0000-0000CC070000}"/>
    <cellStyle name="Comma 4 2 2 2 2 6 3 2" xfId="23138" xr:uid="{E183A937-E415-4EDB-888A-763C510E3F4D}"/>
    <cellStyle name="Comma 4 2 2 2 2 6 3 3" xfId="31584" xr:uid="{F304AA08-A83E-47B6-938F-52DC914CFA0C}"/>
    <cellStyle name="Comma 4 2 2 2 2 6 3 4" xfId="14697" xr:uid="{4D4391CD-EB1E-4686-9C71-B7D2B4768E4B}"/>
    <cellStyle name="Comma 4 2 2 2 2 6 4" xfId="18920" xr:uid="{285F7010-6729-4E5C-9916-C8148490E2EC}"/>
    <cellStyle name="Comma 4 2 2 2 2 6 5" xfId="27365" xr:uid="{13316A53-4EFC-4F20-8A28-EE30F2F809CD}"/>
    <cellStyle name="Comma 4 2 2 2 2 6 6" xfId="10479" xr:uid="{EB084B48-A3C5-440C-845C-C7FFBC4BD2A6}"/>
    <cellStyle name="Comma 4 2 2 2 2 7" xfId="2383" xr:uid="{00000000-0005-0000-0000-0000CD070000}"/>
    <cellStyle name="Comma 4 2 2 2 2 7 2" xfId="6668" xr:uid="{00000000-0005-0000-0000-0000CE070000}"/>
    <cellStyle name="Comma 4 2 2 2 2 7 2 2" xfId="23551" xr:uid="{7357554B-E9A1-4E41-B832-B503F657A5DB}"/>
    <cellStyle name="Comma 4 2 2 2 2 7 2 3" xfId="31997" xr:uid="{D6D200AD-E873-47C5-AD4E-C6F419AA6437}"/>
    <cellStyle name="Comma 4 2 2 2 2 7 2 4" xfId="15110" xr:uid="{0251929E-0081-4155-A5AE-D85B5C18B481}"/>
    <cellStyle name="Comma 4 2 2 2 2 7 3" xfId="19333" xr:uid="{E449F045-FD34-45E2-8689-6368BFC455C3}"/>
    <cellStyle name="Comma 4 2 2 2 2 7 4" xfId="27778" xr:uid="{511A39EA-D4D4-44FA-81FD-041E8D9930E7}"/>
    <cellStyle name="Comma 4 2 2 2 2 7 5" xfId="10892" xr:uid="{63D4BAAE-7BF6-4037-9A61-E790BEC9D922}"/>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23868" xr:uid="{7C02EF45-DC86-4C2E-918D-5ACC6767F891}"/>
    <cellStyle name="Comma 4 2 2 2 2 9 2 3" xfId="32314" xr:uid="{FFB2699C-1763-4561-9F39-6B2EE436E6E3}"/>
    <cellStyle name="Comma 4 2 2 2 2 9 2 4" xfId="15427" xr:uid="{BEF94CCD-59EC-4064-BBE8-87811057E6F1}"/>
    <cellStyle name="Comma 4 2 2 2 2 9 3" xfId="19650" xr:uid="{2BAF4EF0-065A-4421-B56A-1475C2EE48F9}"/>
    <cellStyle name="Comma 4 2 2 2 2 9 4" xfId="28097" xr:uid="{DE30CCF6-EA08-4C05-841D-61B030C26AA9}"/>
    <cellStyle name="Comma 4 2 2 2 2 9 5" xfId="11209" xr:uid="{63612686-8F11-400E-B60C-E8250C16F779}"/>
    <cellStyle name="Comma 4 2 2 2 3" xfId="131" xr:uid="{00000000-0005-0000-0000-0000D2070000}"/>
    <cellStyle name="Comma 4 2 2 2 3 10" xfId="17269" xr:uid="{2EC8EC4E-0F3A-4D72-8FB4-90939620E2E5}"/>
    <cellStyle name="Comma 4 2 2 2 3 11" xfId="25712" xr:uid="{83C79585-02F4-4095-9886-DF7940535BBD}"/>
    <cellStyle name="Comma 4 2 2 2 3 12" xfId="8828" xr:uid="{33AFE433-A46A-4D3F-AAAD-4A397D1EB886}"/>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24046" xr:uid="{A1CA311F-23B8-4685-9F96-862A04117687}"/>
    <cellStyle name="Comma 4 2 2 2 3 2 2 2 3" xfId="32492" xr:uid="{726D91C3-F400-4975-B6C3-9224DD8F1CED}"/>
    <cellStyle name="Comma 4 2 2 2 3 2 2 2 4" xfId="15605" xr:uid="{BB9744B6-BCC4-4AED-8B02-CFA7493E53B9}"/>
    <cellStyle name="Comma 4 2 2 2 3 2 2 3" xfId="19828" xr:uid="{7CF94A70-E071-41C9-BCF5-4BACFD1100AB}"/>
    <cellStyle name="Comma 4 2 2 2 3 2 2 4" xfId="28275" xr:uid="{BD41317E-CF81-4980-844C-4C4841B9019C}"/>
    <cellStyle name="Comma 4 2 2 2 3 2 2 5" xfId="11387" xr:uid="{BDDCB578-805C-40FB-A5E7-BC07934A6325}"/>
    <cellStyle name="Comma 4 2 2 2 3 2 3" xfId="5018" xr:uid="{00000000-0005-0000-0000-0000D6070000}"/>
    <cellStyle name="Comma 4 2 2 2 3 2 3 2" xfId="21901" xr:uid="{AE92E975-B018-4AED-850D-083A0F04110E}"/>
    <cellStyle name="Comma 4 2 2 2 3 2 3 3" xfId="30347" xr:uid="{C4D12635-2E80-4B2D-8D66-8C1C0BAF3427}"/>
    <cellStyle name="Comma 4 2 2 2 3 2 3 4" xfId="13460" xr:uid="{5CB96C20-ADDC-41A8-9C52-1F650AC10F99}"/>
    <cellStyle name="Comma 4 2 2 2 3 2 4" xfId="17683" xr:uid="{0B8EFC54-E8DC-4C36-8A0F-05F956F67CD0}"/>
    <cellStyle name="Comma 4 2 2 2 3 2 5" xfId="26128" xr:uid="{5D482687-9693-4825-8490-12143728F3A0}"/>
    <cellStyle name="Comma 4 2 2 2 3 2 6" xfId="9242" xr:uid="{013369B2-278A-45EA-814C-AE84693B1E49}"/>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24459" xr:uid="{79043BE4-0FD0-434F-93A3-4B4C76D0069C}"/>
    <cellStyle name="Comma 4 2 2 2 3 3 2 2 3" xfId="32905" xr:uid="{67B88D40-8A2A-4B2E-8365-758FE8F80D64}"/>
    <cellStyle name="Comma 4 2 2 2 3 3 2 2 4" xfId="16018" xr:uid="{410F4AC1-BBE7-4A9B-A2D1-164D7E697B35}"/>
    <cellStyle name="Comma 4 2 2 2 3 3 2 3" xfId="20241" xr:uid="{AEE586BC-63B2-4081-8FD3-E4778B0A9E01}"/>
    <cellStyle name="Comma 4 2 2 2 3 3 2 4" xfId="28688" xr:uid="{209B2438-6464-47DC-AB3F-E9C38557E96E}"/>
    <cellStyle name="Comma 4 2 2 2 3 3 2 5" xfId="11800" xr:uid="{C5E76C43-9B56-487B-BF56-8E47040A1E24}"/>
    <cellStyle name="Comma 4 2 2 2 3 3 3" xfId="5431" xr:uid="{00000000-0005-0000-0000-0000DA070000}"/>
    <cellStyle name="Comma 4 2 2 2 3 3 3 2" xfId="22314" xr:uid="{F4998CBD-15F9-4222-BCF6-C605621E695E}"/>
    <cellStyle name="Comma 4 2 2 2 3 3 3 3" xfId="30760" xr:uid="{820333D1-AE27-44B9-BA1E-467711586320}"/>
    <cellStyle name="Comma 4 2 2 2 3 3 3 4" xfId="13873" xr:uid="{0711763C-FA43-449F-AFCE-E2DFB6DB939B}"/>
    <cellStyle name="Comma 4 2 2 2 3 3 4" xfId="18096" xr:uid="{4892D45D-7416-4F62-BB8E-36AEA61A8215}"/>
    <cellStyle name="Comma 4 2 2 2 3 3 5" xfId="26541" xr:uid="{2476ACB9-8DFA-418C-9C98-3B1E145220D7}"/>
    <cellStyle name="Comma 4 2 2 2 3 3 6" xfId="9655" xr:uid="{5FA52021-BAF8-496D-8B21-F2A750BA43ED}"/>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24872" xr:uid="{6D28362D-1D64-4DB7-B203-E56C0C788237}"/>
    <cellStyle name="Comma 4 2 2 2 3 4 2 2 3" xfId="33318" xr:uid="{6187912F-837F-4B39-BFD6-F7C786DA7BF9}"/>
    <cellStyle name="Comma 4 2 2 2 3 4 2 2 4" xfId="16431" xr:uid="{15F9337E-732A-46D2-AD64-C480995B35A3}"/>
    <cellStyle name="Comma 4 2 2 2 3 4 2 3" xfId="20654" xr:uid="{93E18D75-9F17-4B3D-A3C4-A425131B580A}"/>
    <cellStyle name="Comma 4 2 2 2 3 4 2 4" xfId="29101" xr:uid="{08969E66-8EC3-46BA-BDF8-AA48DEE08B99}"/>
    <cellStyle name="Comma 4 2 2 2 3 4 2 5" xfId="12213" xr:uid="{47872155-686F-4767-91B5-AE824B9053E6}"/>
    <cellStyle name="Comma 4 2 2 2 3 4 3" xfId="5844" xr:uid="{00000000-0005-0000-0000-0000DE070000}"/>
    <cellStyle name="Comma 4 2 2 2 3 4 3 2" xfId="22727" xr:uid="{09DB1E5A-50EC-4C2F-8564-524A5869001E}"/>
    <cellStyle name="Comma 4 2 2 2 3 4 3 3" xfId="31173" xr:uid="{88283737-26C6-4B0C-8FE2-0F9F39E01454}"/>
    <cellStyle name="Comma 4 2 2 2 3 4 3 4" xfId="14286" xr:uid="{F77C7FC6-E2D3-4C6A-9822-834049F8FF51}"/>
    <cellStyle name="Comma 4 2 2 2 3 4 4" xfId="18509" xr:uid="{A921D19F-58BC-4E97-956E-85828072851E}"/>
    <cellStyle name="Comma 4 2 2 2 3 4 5" xfId="26954" xr:uid="{4DC7EC30-2820-4EB7-83FF-D3B9CDB845D1}"/>
    <cellStyle name="Comma 4 2 2 2 3 4 6" xfId="10068" xr:uid="{F8E81469-2CE2-408C-8FA9-2AE67CF68AD6}"/>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25285" xr:uid="{98B4A983-A7A7-4900-AF73-79C34471EAA1}"/>
    <cellStyle name="Comma 4 2 2 2 3 5 2 2 3" xfId="33731" xr:uid="{C475A014-E9E7-460C-B1BF-B61EBB2B8CF7}"/>
    <cellStyle name="Comma 4 2 2 2 3 5 2 2 4" xfId="16844" xr:uid="{C654FFE7-F4E0-46A2-BD7B-F0C6E4642EFD}"/>
    <cellStyle name="Comma 4 2 2 2 3 5 2 3" xfId="21067" xr:uid="{F6E457ED-9C4F-4016-9E62-845F1E407727}"/>
    <cellStyle name="Comma 4 2 2 2 3 5 2 4" xfId="29514" xr:uid="{11A0BCFF-08CA-4BF8-A2C2-7CBA7A8B1A8A}"/>
    <cellStyle name="Comma 4 2 2 2 3 5 2 5" xfId="12626" xr:uid="{0C6ECB6C-F87C-4B27-886D-5BB3F34D44D3}"/>
    <cellStyle name="Comma 4 2 2 2 3 5 3" xfId="6257" xr:uid="{00000000-0005-0000-0000-0000E2070000}"/>
    <cellStyle name="Comma 4 2 2 2 3 5 3 2" xfId="23140" xr:uid="{9B7EBD39-DB18-4008-BC9F-D019145DE32C}"/>
    <cellStyle name="Comma 4 2 2 2 3 5 3 3" xfId="31586" xr:uid="{FF217229-3A29-4D94-ADB1-760BE4379143}"/>
    <cellStyle name="Comma 4 2 2 2 3 5 3 4" xfId="14699" xr:uid="{E6820ACD-CD6A-45B2-A347-3AC15489FE69}"/>
    <cellStyle name="Comma 4 2 2 2 3 5 4" xfId="18922" xr:uid="{7B3B6B5E-2079-4DCA-94DF-A58121E6D31A}"/>
    <cellStyle name="Comma 4 2 2 2 3 5 5" xfId="27367" xr:uid="{23DEFEDB-620B-4BA1-8663-46478BE282F4}"/>
    <cellStyle name="Comma 4 2 2 2 3 5 6" xfId="10481" xr:uid="{C9FCABB7-EBDE-41E3-88DD-0FCF80A10990}"/>
    <cellStyle name="Comma 4 2 2 2 3 6" xfId="2385" xr:uid="{00000000-0005-0000-0000-0000E3070000}"/>
    <cellStyle name="Comma 4 2 2 2 3 6 2" xfId="6670" xr:uid="{00000000-0005-0000-0000-0000E4070000}"/>
    <cellStyle name="Comma 4 2 2 2 3 6 2 2" xfId="23553" xr:uid="{AA81BB9D-1B7E-4D84-9C26-FD76203389EB}"/>
    <cellStyle name="Comma 4 2 2 2 3 6 2 3" xfId="31999" xr:uid="{15A9D22D-A7DB-4332-AD5F-0137F2D516BB}"/>
    <cellStyle name="Comma 4 2 2 2 3 6 2 4" xfId="15112" xr:uid="{C28AEB35-92EF-432A-A8D1-D1BA69425475}"/>
    <cellStyle name="Comma 4 2 2 2 3 6 3" xfId="19335" xr:uid="{16890D26-25BA-49B3-BB53-54699379200E}"/>
    <cellStyle name="Comma 4 2 2 2 3 6 4" xfId="27780" xr:uid="{22680031-BB05-4DC5-BEDC-5D918FD07330}"/>
    <cellStyle name="Comma 4 2 2 2 3 6 5" xfId="10894" xr:uid="{A2880388-496B-4BBC-9B92-A2BFBB71BA7A}"/>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23870" xr:uid="{BA1111BE-6B5E-439F-B5B8-C04F691EE644}"/>
    <cellStyle name="Comma 4 2 2 2 3 8 2 3" xfId="32316" xr:uid="{5ABAF259-0452-4C31-942F-36E90DF0BC6A}"/>
    <cellStyle name="Comma 4 2 2 2 3 8 2 4" xfId="15429" xr:uid="{FEF3138E-9F9B-4AA3-925A-93948ACA4AE9}"/>
    <cellStyle name="Comma 4 2 2 2 3 8 3" xfId="19652" xr:uid="{9454E3E8-374E-4C9A-B2D8-223ACDE36973}"/>
    <cellStyle name="Comma 4 2 2 2 3 8 4" xfId="28099" xr:uid="{C0B572E9-973B-4A15-8C53-4AFE318573B6}"/>
    <cellStyle name="Comma 4 2 2 2 3 8 5" xfId="11211" xr:uid="{6004F8B2-5972-409D-9FC2-AFD532563758}"/>
    <cellStyle name="Comma 4 2 2 2 3 9" xfId="4604" xr:uid="{00000000-0005-0000-0000-0000E8070000}"/>
    <cellStyle name="Comma 4 2 2 2 3 9 2" xfId="21487" xr:uid="{A7FBDD5A-D3F1-4F78-8A88-36F3A114AD65}"/>
    <cellStyle name="Comma 4 2 2 2 3 9 3" xfId="29933" xr:uid="{321CA457-0892-4CF2-8BF9-051BBF9A4AF5}"/>
    <cellStyle name="Comma 4 2 2 2 3 9 4" xfId="13046" xr:uid="{99F28032-CEF8-4CD4-990D-72BB9AAB1A9B}"/>
    <cellStyle name="Comma 4 2 2 2 4" xfId="666" xr:uid="{00000000-0005-0000-0000-0000E9070000}"/>
    <cellStyle name="Comma 4 2 2 2 4 2" xfId="2937" xr:uid="{00000000-0005-0000-0000-0000EA070000}"/>
    <cellStyle name="Comma 4 2 2 2 4 2 2" xfId="7160" xr:uid="{00000000-0005-0000-0000-0000EB070000}"/>
    <cellStyle name="Comma 4 2 2 2 4 2 2 2" xfId="24043" xr:uid="{99CE2584-9C65-483E-AF5C-CC40110A85F4}"/>
    <cellStyle name="Comma 4 2 2 2 4 2 2 3" xfId="32489" xr:uid="{6247E0AB-5321-472D-B4A8-7F6700AE9D89}"/>
    <cellStyle name="Comma 4 2 2 2 4 2 2 4" xfId="15602" xr:uid="{91CACC97-3715-4367-9B8F-9DFD84155DC3}"/>
    <cellStyle name="Comma 4 2 2 2 4 2 3" xfId="19825" xr:uid="{42148D53-74F4-44FA-9A07-80568F1AD8D8}"/>
    <cellStyle name="Comma 4 2 2 2 4 2 4" xfId="28272" xr:uid="{1A5DD88C-96A2-453E-9F61-064975308294}"/>
    <cellStyle name="Comma 4 2 2 2 4 2 5" xfId="11384" xr:uid="{62359FC7-038F-4CA7-922C-2311A09D3E4A}"/>
    <cellStyle name="Comma 4 2 2 2 4 3" xfId="5015" xr:uid="{00000000-0005-0000-0000-0000EC070000}"/>
    <cellStyle name="Comma 4 2 2 2 4 3 2" xfId="21898" xr:uid="{797F5A66-A860-438E-B235-19D67F2293E2}"/>
    <cellStyle name="Comma 4 2 2 2 4 3 3" xfId="30344" xr:uid="{6AFE5628-AA3F-40DC-87DD-4D29CB66FF54}"/>
    <cellStyle name="Comma 4 2 2 2 4 3 4" xfId="13457" xr:uid="{18BFE701-5D05-4B32-B326-8D83A4AC9693}"/>
    <cellStyle name="Comma 4 2 2 2 4 4" xfId="17680" xr:uid="{2D314DA4-39E0-413A-AB2C-E41B2809AFAF}"/>
    <cellStyle name="Comma 4 2 2 2 4 5" xfId="26125" xr:uid="{73A2145C-5A40-4DB6-BACC-F8CA2FAF5E1D}"/>
    <cellStyle name="Comma 4 2 2 2 4 6" xfId="9239" xr:uid="{5F883907-601B-4B83-A6F7-38E6388E0A2D}"/>
    <cellStyle name="Comma 4 2 2 2 5" xfId="1119" xr:uid="{00000000-0005-0000-0000-0000ED070000}"/>
    <cellStyle name="Comma 4 2 2 2 5 2" xfId="3350" xr:uid="{00000000-0005-0000-0000-0000EE070000}"/>
    <cellStyle name="Comma 4 2 2 2 5 2 2" xfId="7573" xr:uid="{00000000-0005-0000-0000-0000EF070000}"/>
    <cellStyle name="Comma 4 2 2 2 5 2 2 2" xfId="24456" xr:uid="{E1E8F0E6-1DF9-41DA-A0AA-5FD9738FE575}"/>
    <cellStyle name="Comma 4 2 2 2 5 2 2 3" xfId="32902" xr:uid="{09792304-F370-406A-BF8E-A4E3E5E5122D}"/>
    <cellStyle name="Comma 4 2 2 2 5 2 2 4" xfId="16015" xr:uid="{7C31B9FC-88B4-44A2-AC75-597474B9C19F}"/>
    <cellStyle name="Comma 4 2 2 2 5 2 3" xfId="20238" xr:uid="{6498736D-C1B6-4668-815C-A56F4121F825}"/>
    <cellStyle name="Comma 4 2 2 2 5 2 4" xfId="28685" xr:uid="{B3815B2F-4788-4B24-B416-449519149420}"/>
    <cellStyle name="Comma 4 2 2 2 5 2 5" xfId="11797" xr:uid="{60529B59-2618-4246-923A-72A2AF4F8116}"/>
    <cellStyle name="Comma 4 2 2 2 5 3" xfId="5428" xr:uid="{00000000-0005-0000-0000-0000F0070000}"/>
    <cellStyle name="Comma 4 2 2 2 5 3 2" xfId="22311" xr:uid="{A5EA8140-8DB9-4C0D-8DD7-7B5F8E505203}"/>
    <cellStyle name="Comma 4 2 2 2 5 3 3" xfId="30757" xr:uid="{066F0244-3889-457B-AAFF-F43464EDEC7A}"/>
    <cellStyle name="Comma 4 2 2 2 5 3 4" xfId="13870" xr:uid="{FA6FCD03-12F6-4235-87E5-908991F1DE2C}"/>
    <cellStyle name="Comma 4 2 2 2 5 4" xfId="18093" xr:uid="{41A88346-C4C1-4F82-B79A-3630244EEB9B}"/>
    <cellStyle name="Comma 4 2 2 2 5 5" xfId="26538" xr:uid="{7F12C416-D47F-4443-BC39-7A839129CA33}"/>
    <cellStyle name="Comma 4 2 2 2 5 6" xfId="9652" xr:uid="{924608BD-0417-4B28-BD32-7E31A88243CF}"/>
    <cellStyle name="Comma 4 2 2 2 6" xfId="1533" xr:uid="{00000000-0005-0000-0000-0000F1070000}"/>
    <cellStyle name="Comma 4 2 2 2 6 2" xfId="3763" xr:uid="{00000000-0005-0000-0000-0000F2070000}"/>
    <cellStyle name="Comma 4 2 2 2 6 2 2" xfId="7986" xr:uid="{00000000-0005-0000-0000-0000F3070000}"/>
    <cellStyle name="Comma 4 2 2 2 6 2 2 2" xfId="24869" xr:uid="{BD483845-7471-4C13-84C4-146E4B6F95F3}"/>
    <cellStyle name="Comma 4 2 2 2 6 2 2 3" xfId="33315" xr:uid="{E5E4E482-7ADC-42AC-BD5C-D6C61D202C3B}"/>
    <cellStyle name="Comma 4 2 2 2 6 2 2 4" xfId="16428" xr:uid="{36752818-9849-4EEE-A1F2-B0FBF3E310E2}"/>
    <cellStyle name="Comma 4 2 2 2 6 2 3" xfId="20651" xr:uid="{AC1DE8D6-5CD8-444A-B335-2A8E00088727}"/>
    <cellStyle name="Comma 4 2 2 2 6 2 4" xfId="29098" xr:uid="{0AA82A15-1DF4-47B9-83E7-FBA904C271E7}"/>
    <cellStyle name="Comma 4 2 2 2 6 2 5" xfId="12210" xr:uid="{06ABEBFA-A14A-4B8B-8303-0868125CA09A}"/>
    <cellStyle name="Comma 4 2 2 2 6 3" xfId="5841" xr:uid="{00000000-0005-0000-0000-0000F4070000}"/>
    <cellStyle name="Comma 4 2 2 2 6 3 2" xfId="22724" xr:uid="{9F244242-A34B-4F86-B066-40DD820996AD}"/>
    <cellStyle name="Comma 4 2 2 2 6 3 3" xfId="31170" xr:uid="{25BD6F15-B563-4508-B2EB-4A718FA9905D}"/>
    <cellStyle name="Comma 4 2 2 2 6 3 4" xfId="14283" xr:uid="{53A84369-1F1F-4E92-991B-32D279782BD6}"/>
    <cellStyle name="Comma 4 2 2 2 6 4" xfId="18506" xr:uid="{8F93AC75-C50F-4642-B468-8818A3C4B03A}"/>
    <cellStyle name="Comma 4 2 2 2 6 5" xfId="26951" xr:uid="{F4AE4C6F-AF90-4956-807E-4FC086FB47AE}"/>
    <cellStyle name="Comma 4 2 2 2 6 6" xfId="10065" xr:uid="{75C521AF-6031-49A2-AA6E-92A5042E12F5}"/>
    <cellStyle name="Comma 4 2 2 2 7" xfId="1947" xr:uid="{00000000-0005-0000-0000-0000F5070000}"/>
    <cellStyle name="Comma 4 2 2 2 7 2" xfId="4176" xr:uid="{00000000-0005-0000-0000-0000F6070000}"/>
    <cellStyle name="Comma 4 2 2 2 7 2 2" xfId="8399" xr:uid="{00000000-0005-0000-0000-0000F7070000}"/>
    <cellStyle name="Comma 4 2 2 2 7 2 2 2" xfId="25282" xr:uid="{6F9E99D5-551B-416C-B9DC-A853F65B7C40}"/>
    <cellStyle name="Comma 4 2 2 2 7 2 2 3" xfId="33728" xr:uid="{BE0E76CF-E49D-4209-BAF3-A35F8980CEBF}"/>
    <cellStyle name="Comma 4 2 2 2 7 2 2 4" xfId="16841" xr:uid="{F3CD58AD-7331-465A-BC93-D966A5C7166D}"/>
    <cellStyle name="Comma 4 2 2 2 7 2 3" xfId="21064" xr:uid="{DA5F3184-BB8C-46AF-B3F9-6823E0572AD5}"/>
    <cellStyle name="Comma 4 2 2 2 7 2 4" xfId="29511" xr:uid="{DA8134AA-320F-4DD7-82D5-78E33E5501CD}"/>
    <cellStyle name="Comma 4 2 2 2 7 2 5" xfId="12623" xr:uid="{75C1B339-3584-421D-A8A4-E827AEF33DA9}"/>
    <cellStyle name="Comma 4 2 2 2 7 3" xfId="6254" xr:uid="{00000000-0005-0000-0000-0000F8070000}"/>
    <cellStyle name="Comma 4 2 2 2 7 3 2" xfId="23137" xr:uid="{84BB0387-9531-4A6F-91A3-254EAE9C635E}"/>
    <cellStyle name="Comma 4 2 2 2 7 3 3" xfId="31583" xr:uid="{EB86EB60-F9F2-43C5-A3E5-3C478133D37A}"/>
    <cellStyle name="Comma 4 2 2 2 7 3 4" xfId="14696" xr:uid="{0668E757-136B-4846-90AC-2B2D7AA193E7}"/>
    <cellStyle name="Comma 4 2 2 2 7 4" xfId="18919" xr:uid="{C1D4CBC8-4445-42C1-AFAF-500688B1C1B5}"/>
    <cellStyle name="Comma 4 2 2 2 7 5" xfId="27364" xr:uid="{DC1F567D-F374-44CA-8660-9579A65EEA83}"/>
    <cellStyle name="Comma 4 2 2 2 7 6" xfId="10478" xr:uid="{BACC6967-C2F1-43E5-BED3-891FEC4F69CF}"/>
    <cellStyle name="Comma 4 2 2 2 8" xfId="2382" xr:uid="{00000000-0005-0000-0000-0000F9070000}"/>
    <cellStyle name="Comma 4 2 2 2 8 2" xfId="6667" xr:uid="{00000000-0005-0000-0000-0000FA070000}"/>
    <cellStyle name="Comma 4 2 2 2 8 2 2" xfId="23550" xr:uid="{EB4F82A0-2144-4907-B7B1-3A0E0CACE4DF}"/>
    <cellStyle name="Comma 4 2 2 2 8 2 3" xfId="31996" xr:uid="{0F140777-4C40-48E8-ADF7-7CD175831BC5}"/>
    <cellStyle name="Comma 4 2 2 2 8 2 4" xfId="15109" xr:uid="{E5B73FD5-D712-473B-92E0-FB31A1961652}"/>
    <cellStyle name="Comma 4 2 2 2 8 3" xfId="19332" xr:uid="{C8252C29-FEB8-4831-BA58-50F736E737A4}"/>
    <cellStyle name="Comma 4 2 2 2 8 4" xfId="27777" xr:uid="{EE6AEF3C-4755-461B-853A-F7D3C186894C}"/>
    <cellStyle name="Comma 4 2 2 2 8 5" xfId="10891" xr:uid="{22FF5602-B804-4C5C-86C8-9B2433552745}"/>
    <cellStyle name="Comma 4 2 2 2 9" xfId="2381" xr:uid="{00000000-0005-0000-0000-0000FB070000}"/>
    <cellStyle name="Comma 4 2 2 3" xfId="132" xr:uid="{00000000-0005-0000-0000-0000FC070000}"/>
    <cellStyle name="Comma 4 2 2 3 10" xfId="4605" xr:uid="{00000000-0005-0000-0000-0000FD070000}"/>
    <cellStyle name="Comma 4 2 2 3 10 2" xfId="21488" xr:uid="{A7F54802-8B22-42E9-8A32-8CFB210EC236}"/>
    <cellStyle name="Comma 4 2 2 3 10 3" xfId="29934" xr:uid="{70B7EA75-7F2C-49D5-A010-46DCB9A9AF8D}"/>
    <cellStyle name="Comma 4 2 2 3 10 4" xfId="13047" xr:uid="{4EE4C8C7-EB19-4005-9975-63C9EA62114A}"/>
    <cellStyle name="Comma 4 2 2 3 11" xfId="17270" xr:uid="{E3E48466-6917-4FF9-9750-666C9D72ABDD}"/>
    <cellStyle name="Comma 4 2 2 3 12" xfId="25713" xr:uid="{355BDDB1-9FA0-4840-AABE-87F30412B94F}"/>
    <cellStyle name="Comma 4 2 2 3 13" xfId="8829" xr:uid="{3E728BB2-6353-4D64-8054-113343216866}"/>
    <cellStyle name="Comma 4 2 2 3 2" xfId="133" xr:uid="{00000000-0005-0000-0000-0000FE070000}"/>
    <cellStyle name="Comma 4 2 2 3 2 10" xfId="17271" xr:uid="{74DD5453-F62F-4865-853C-EEAA6BF761C8}"/>
    <cellStyle name="Comma 4 2 2 3 2 11" xfId="25714" xr:uid="{F9A6A1EB-32F3-436A-A5F9-25FD9CF81B34}"/>
    <cellStyle name="Comma 4 2 2 3 2 12" xfId="8830" xr:uid="{6CBFCAC1-62CE-4140-A697-867E12795DA4}"/>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24048" xr:uid="{D22DFB9E-9BBC-4D37-9CC0-AFEC158CA920}"/>
    <cellStyle name="Comma 4 2 2 3 2 2 2 2 3" xfId="32494" xr:uid="{091B4362-958A-494A-98A9-EEB6DAF1A013}"/>
    <cellStyle name="Comma 4 2 2 3 2 2 2 2 4" xfId="15607" xr:uid="{2DE43FE3-E12D-455C-8320-1E5897863277}"/>
    <cellStyle name="Comma 4 2 2 3 2 2 2 3" xfId="19830" xr:uid="{D083260A-86BC-41FF-B146-7386694EC04A}"/>
    <cellStyle name="Comma 4 2 2 3 2 2 2 4" xfId="28277" xr:uid="{6025A22D-038E-4084-A018-80F1F5A30CAA}"/>
    <cellStyle name="Comma 4 2 2 3 2 2 2 5" xfId="11389" xr:uid="{A4583872-F04C-40A1-935F-E3CF3E66156F}"/>
    <cellStyle name="Comma 4 2 2 3 2 2 3" xfId="5020" xr:uid="{00000000-0005-0000-0000-000002080000}"/>
    <cellStyle name="Comma 4 2 2 3 2 2 3 2" xfId="21903" xr:uid="{14FB30FD-2020-491D-B3C7-74EE14E86715}"/>
    <cellStyle name="Comma 4 2 2 3 2 2 3 3" xfId="30349" xr:uid="{E428EE64-BE14-48C8-8AF8-178510232372}"/>
    <cellStyle name="Comma 4 2 2 3 2 2 3 4" xfId="13462" xr:uid="{839DB821-423E-4141-8242-824CDD30A1F0}"/>
    <cellStyle name="Comma 4 2 2 3 2 2 4" xfId="17685" xr:uid="{A6A8EB98-5E60-4449-80C8-32D7396E15D3}"/>
    <cellStyle name="Comma 4 2 2 3 2 2 5" xfId="26130" xr:uid="{61D52464-149C-44D9-9977-A979ED69A7A2}"/>
    <cellStyle name="Comma 4 2 2 3 2 2 6" xfId="9244" xr:uid="{5BC574EF-2D39-4468-B19E-BDF27EBA4C5B}"/>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24461" xr:uid="{EED499AC-543D-4EA1-A06F-1E5496F8C0B6}"/>
    <cellStyle name="Comma 4 2 2 3 2 3 2 2 3" xfId="32907" xr:uid="{624F35A8-F761-4144-B741-367823A9DFF3}"/>
    <cellStyle name="Comma 4 2 2 3 2 3 2 2 4" xfId="16020" xr:uid="{067C6862-A03D-4582-B2D0-D1B31970DCA2}"/>
    <cellStyle name="Comma 4 2 2 3 2 3 2 3" xfId="20243" xr:uid="{BB5C2DE1-2688-4280-B160-CFEE77FA0B8E}"/>
    <cellStyle name="Comma 4 2 2 3 2 3 2 4" xfId="28690" xr:uid="{C15771AA-F92C-42F9-B3BE-C82EB1600C19}"/>
    <cellStyle name="Comma 4 2 2 3 2 3 2 5" xfId="11802" xr:uid="{B6646B9D-74E7-4388-B848-41087A0E70A4}"/>
    <cellStyle name="Comma 4 2 2 3 2 3 3" xfId="5433" xr:uid="{00000000-0005-0000-0000-000006080000}"/>
    <cellStyle name="Comma 4 2 2 3 2 3 3 2" xfId="22316" xr:uid="{AB81B858-87FC-4846-8B3A-5D3B12F3508D}"/>
    <cellStyle name="Comma 4 2 2 3 2 3 3 3" xfId="30762" xr:uid="{E0F5786C-2142-422A-952B-7430FAE1D09C}"/>
    <cellStyle name="Comma 4 2 2 3 2 3 3 4" xfId="13875" xr:uid="{B3152FBB-41B9-4899-9D3E-A0FDB5D79181}"/>
    <cellStyle name="Comma 4 2 2 3 2 3 4" xfId="18098" xr:uid="{7074DEF3-D61A-461A-A803-83D40524E094}"/>
    <cellStyle name="Comma 4 2 2 3 2 3 5" xfId="26543" xr:uid="{2D4CAA58-F588-4378-A0B2-1AA83CC5AAF8}"/>
    <cellStyle name="Comma 4 2 2 3 2 3 6" xfId="9657" xr:uid="{44F18378-A64F-46EC-A10A-88B0BD1CACCB}"/>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24874" xr:uid="{DAEC9B6D-D160-4C41-88EB-1FB215EDB004}"/>
    <cellStyle name="Comma 4 2 2 3 2 4 2 2 3" xfId="33320" xr:uid="{3A7B4CC9-9BC1-4F9D-815C-98E571C6A87C}"/>
    <cellStyle name="Comma 4 2 2 3 2 4 2 2 4" xfId="16433" xr:uid="{6DD6A6D2-3FFA-4154-956F-7A2B7ED44E2A}"/>
    <cellStyle name="Comma 4 2 2 3 2 4 2 3" xfId="20656" xr:uid="{0D61BE61-8924-46C2-83DF-F7C48F0D9314}"/>
    <cellStyle name="Comma 4 2 2 3 2 4 2 4" xfId="29103" xr:uid="{69B0300D-0EBD-4F17-8F54-A6F642A3F2D6}"/>
    <cellStyle name="Comma 4 2 2 3 2 4 2 5" xfId="12215" xr:uid="{2E993F6B-4F6D-4066-ADBA-97C8CD25D2EA}"/>
    <cellStyle name="Comma 4 2 2 3 2 4 3" xfId="5846" xr:uid="{00000000-0005-0000-0000-00000A080000}"/>
    <cellStyle name="Comma 4 2 2 3 2 4 3 2" xfId="22729" xr:uid="{268DCA7E-78CE-4B99-8E14-88DEE8B980EB}"/>
    <cellStyle name="Comma 4 2 2 3 2 4 3 3" xfId="31175" xr:uid="{7FC8D246-0511-49E4-8C6E-DBB2810EE3A3}"/>
    <cellStyle name="Comma 4 2 2 3 2 4 3 4" xfId="14288" xr:uid="{65691B5C-6226-4347-9741-D2D4FC1E7FA9}"/>
    <cellStyle name="Comma 4 2 2 3 2 4 4" xfId="18511" xr:uid="{9235F8BF-0DF2-4040-AADB-13691D4A2549}"/>
    <cellStyle name="Comma 4 2 2 3 2 4 5" xfId="26956" xr:uid="{737B65C2-6220-4469-ACA0-7687AAF426B8}"/>
    <cellStyle name="Comma 4 2 2 3 2 4 6" xfId="10070" xr:uid="{65E84904-6078-42EB-BEC2-C229D86C4BC2}"/>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25287" xr:uid="{E1074E4F-D815-4C1E-AFF3-1C2EB28F5018}"/>
    <cellStyle name="Comma 4 2 2 3 2 5 2 2 3" xfId="33733" xr:uid="{BCBA292A-16A0-4D87-A7C9-12443040B177}"/>
    <cellStyle name="Comma 4 2 2 3 2 5 2 2 4" xfId="16846" xr:uid="{B1A6D827-D040-44C6-BE66-37870D7B7454}"/>
    <cellStyle name="Comma 4 2 2 3 2 5 2 3" xfId="21069" xr:uid="{F42C0C0E-5561-4B92-949D-571994BC932B}"/>
    <cellStyle name="Comma 4 2 2 3 2 5 2 4" xfId="29516" xr:uid="{29AE7BF4-866A-400F-BEBC-5A0BFAABB58C}"/>
    <cellStyle name="Comma 4 2 2 3 2 5 2 5" xfId="12628" xr:uid="{620E8FC1-2372-4D8C-93AD-8CAB47492950}"/>
    <cellStyle name="Comma 4 2 2 3 2 5 3" xfId="6259" xr:uid="{00000000-0005-0000-0000-00000E080000}"/>
    <cellStyle name="Comma 4 2 2 3 2 5 3 2" xfId="23142" xr:uid="{44D12F9D-A7C5-4B10-96C2-4DB38FFF81B8}"/>
    <cellStyle name="Comma 4 2 2 3 2 5 3 3" xfId="31588" xr:uid="{E35FDD7C-FF68-4F01-BCEB-3A7A16B4CED3}"/>
    <cellStyle name="Comma 4 2 2 3 2 5 3 4" xfId="14701" xr:uid="{1828C0DF-DE7F-4381-B58D-9CF7D5FD6890}"/>
    <cellStyle name="Comma 4 2 2 3 2 5 4" xfId="18924" xr:uid="{B9231E9F-4043-488F-AF64-8EE58C888B6E}"/>
    <cellStyle name="Comma 4 2 2 3 2 5 5" xfId="27369" xr:uid="{5D07345E-0691-4899-9F19-0311640A0ECF}"/>
    <cellStyle name="Comma 4 2 2 3 2 5 6" xfId="10483" xr:uid="{791E8398-7CB2-43AF-9B38-D5F3E5F7ABD6}"/>
    <cellStyle name="Comma 4 2 2 3 2 6" xfId="2387" xr:uid="{00000000-0005-0000-0000-00000F080000}"/>
    <cellStyle name="Comma 4 2 2 3 2 6 2" xfId="6672" xr:uid="{00000000-0005-0000-0000-000010080000}"/>
    <cellStyle name="Comma 4 2 2 3 2 6 2 2" xfId="23555" xr:uid="{FFF305F4-EBC6-427A-99C6-BF1184EC2EEB}"/>
    <cellStyle name="Comma 4 2 2 3 2 6 2 3" xfId="32001" xr:uid="{803E1CE3-5D34-44A3-9E23-C686A103AA61}"/>
    <cellStyle name="Comma 4 2 2 3 2 6 2 4" xfId="15114" xr:uid="{5AE30D21-7C63-4D27-8E59-51777D882267}"/>
    <cellStyle name="Comma 4 2 2 3 2 6 3" xfId="19337" xr:uid="{0E7DD74C-1046-43E6-AF69-80B97BD919B2}"/>
    <cellStyle name="Comma 4 2 2 3 2 6 4" xfId="27782" xr:uid="{41F3AE3A-C0D9-4079-9DCA-11D2C162F699}"/>
    <cellStyle name="Comma 4 2 2 3 2 6 5" xfId="10896" xr:uid="{68060328-21AB-4C2C-A89B-619CBCAFF964}"/>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23872" xr:uid="{324BB1D5-999B-4B42-B04E-D371FC172D39}"/>
    <cellStyle name="Comma 4 2 2 3 2 8 2 3" xfId="32318" xr:uid="{2FED3C5E-0514-4765-BE7B-F2E8EDEE8CAC}"/>
    <cellStyle name="Comma 4 2 2 3 2 8 2 4" xfId="15431" xr:uid="{42041218-20B5-49FD-95B5-C4F5C177BFEB}"/>
    <cellStyle name="Comma 4 2 2 3 2 8 3" xfId="19654" xr:uid="{DEB6F768-F5F6-4712-A8CF-9DE71FFB665B}"/>
    <cellStyle name="Comma 4 2 2 3 2 8 4" xfId="28101" xr:uid="{D030E097-F6BF-47AD-819B-CB56E29FF15A}"/>
    <cellStyle name="Comma 4 2 2 3 2 8 5" xfId="11213" xr:uid="{316B8145-0EEF-4EEE-9376-5E1A95E35BFD}"/>
    <cellStyle name="Comma 4 2 2 3 2 9" xfId="4606" xr:uid="{00000000-0005-0000-0000-000014080000}"/>
    <cellStyle name="Comma 4 2 2 3 2 9 2" xfId="21489" xr:uid="{5A0CDCC6-5F16-47E8-8E4E-6EFA5F045C83}"/>
    <cellStyle name="Comma 4 2 2 3 2 9 3" xfId="29935" xr:uid="{FB42C099-9811-459C-9DE8-9A569AAD1B9F}"/>
    <cellStyle name="Comma 4 2 2 3 2 9 4" xfId="13048" xr:uid="{A9131D09-2D05-485B-894D-975A6FC06A01}"/>
    <cellStyle name="Comma 4 2 2 3 3" xfId="670" xr:uid="{00000000-0005-0000-0000-000015080000}"/>
    <cellStyle name="Comma 4 2 2 3 3 2" xfId="2941" xr:uid="{00000000-0005-0000-0000-000016080000}"/>
    <cellStyle name="Comma 4 2 2 3 3 2 2" xfId="7164" xr:uid="{00000000-0005-0000-0000-000017080000}"/>
    <cellStyle name="Comma 4 2 2 3 3 2 2 2" xfId="24047" xr:uid="{2B28E148-3B2A-4665-8721-23A7E0108EF8}"/>
    <cellStyle name="Comma 4 2 2 3 3 2 2 3" xfId="32493" xr:uid="{9ACB7FD5-44F6-4C66-908A-CC2994916536}"/>
    <cellStyle name="Comma 4 2 2 3 3 2 2 4" xfId="15606" xr:uid="{F624CA66-1774-4A68-B6A7-4AA4865A688A}"/>
    <cellStyle name="Comma 4 2 2 3 3 2 3" xfId="19829" xr:uid="{47119020-410E-47D5-B47B-803AF149BE09}"/>
    <cellStyle name="Comma 4 2 2 3 3 2 4" xfId="28276" xr:uid="{8610937C-8ADC-4900-92D0-A47EC34EB66F}"/>
    <cellStyle name="Comma 4 2 2 3 3 2 5" xfId="11388" xr:uid="{BB6E08A2-D938-4177-B00E-3BA4C53262BB}"/>
    <cellStyle name="Comma 4 2 2 3 3 3" xfId="5019" xr:uid="{00000000-0005-0000-0000-000018080000}"/>
    <cellStyle name="Comma 4 2 2 3 3 3 2" xfId="21902" xr:uid="{125B6B35-CF94-41D2-8C7A-1358865D40B2}"/>
    <cellStyle name="Comma 4 2 2 3 3 3 3" xfId="30348" xr:uid="{709436F3-39F2-4B05-B174-072A6B8490E8}"/>
    <cellStyle name="Comma 4 2 2 3 3 3 4" xfId="13461" xr:uid="{685A81ED-585B-470C-8F48-6D8BA06A793F}"/>
    <cellStyle name="Comma 4 2 2 3 3 4" xfId="17684" xr:uid="{F1D397EA-ECD0-4408-A26D-B95B0317BE25}"/>
    <cellStyle name="Comma 4 2 2 3 3 5" xfId="26129" xr:uid="{5E38A9A4-9123-4A29-8DC1-431D5579DE5E}"/>
    <cellStyle name="Comma 4 2 2 3 3 6" xfId="9243" xr:uid="{EE7C98EF-D297-42FC-8067-74AD536370C7}"/>
    <cellStyle name="Comma 4 2 2 3 4" xfId="1123" xr:uid="{00000000-0005-0000-0000-000019080000}"/>
    <cellStyle name="Comma 4 2 2 3 4 2" xfId="3354" xr:uid="{00000000-0005-0000-0000-00001A080000}"/>
    <cellStyle name="Comma 4 2 2 3 4 2 2" xfId="7577" xr:uid="{00000000-0005-0000-0000-00001B080000}"/>
    <cellStyle name="Comma 4 2 2 3 4 2 2 2" xfId="24460" xr:uid="{C52F8638-11DE-43FD-9157-666FBC61999B}"/>
    <cellStyle name="Comma 4 2 2 3 4 2 2 3" xfId="32906" xr:uid="{673DDD03-9744-42D2-A3A4-CE4FF0F7B920}"/>
    <cellStyle name="Comma 4 2 2 3 4 2 2 4" xfId="16019" xr:uid="{C8424B11-EBE4-4932-824F-6E34B1C9623E}"/>
    <cellStyle name="Comma 4 2 2 3 4 2 3" xfId="20242" xr:uid="{7CF32C3E-49E4-4A0E-8603-5DCDCC949951}"/>
    <cellStyle name="Comma 4 2 2 3 4 2 4" xfId="28689" xr:uid="{D8444B7F-103A-4364-B2EA-A58624C1FBB7}"/>
    <cellStyle name="Comma 4 2 2 3 4 2 5" xfId="11801" xr:uid="{55E9034F-CCAE-466A-9FC6-3F0FEBC403FC}"/>
    <cellStyle name="Comma 4 2 2 3 4 3" xfId="5432" xr:uid="{00000000-0005-0000-0000-00001C080000}"/>
    <cellStyle name="Comma 4 2 2 3 4 3 2" xfId="22315" xr:uid="{AC9F47F7-FB2C-42AF-88EE-D09E177A4601}"/>
    <cellStyle name="Comma 4 2 2 3 4 3 3" xfId="30761" xr:uid="{AA90F437-793D-43ED-9FE7-8607F0BDE7B3}"/>
    <cellStyle name="Comma 4 2 2 3 4 3 4" xfId="13874" xr:uid="{70B310AA-4D81-423B-BB3E-3E701C7D7B97}"/>
    <cellStyle name="Comma 4 2 2 3 4 4" xfId="18097" xr:uid="{0A1BC969-65C4-483B-8ACB-A1D7A74217F0}"/>
    <cellStyle name="Comma 4 2 2 3 4 5" xfId="26542" xr:uid="{CE5A9FAC-F217-4EB3-9F01-C620824F1FAD}"/>
    <cellStyle name="Comma 4 2 2 3 4 6" xfId="9656" xr:uid="{79555AED-4537-4438-8126-8EE40FA4F929}"/>
    <cellStyle name="Comma 4 2 2 3 5" xfId="1537" xr:uid="{00000000-0005-0000-0000-00001D080000}"/>
    <cellStyle name="Comma 4 2 2 3 5 2" xfId="3767" xr:uid="{00000000-0005-0000-0000-00001E080000}"/>
    <cellStyle name="Comma 4 2 2 3 5 2 2" xfId="7990" xr:uid="{00000000-0005-0000-0000-00001F080000}"/>
    <cellStyle name="Comma 4 2 2 3 5 2 2 2" xfId="24873" xr:uid="{F83C3E1A-EC90-412A-92B5-2FBC0FE34AA5}"/>
    <cellStyle name="Comma 4 2 2 3 5 2 2 3" xfId="33319" xr:uid="{BF3F2DA8-83B3-4DD7-951E-41536AEE70D2}"/>
    <cellStyle name="Comma 4 2 2 3 5 2 2 4" xfId="16432" xr:uid="{669907EC-7395-4D2B-9A31-B990326E4CC5}"/>
    <cellStyle name="Comma 4 2 2 3 5 2 3" xfId="20655" xr:uid="{4FEC7163-8FFC-43A1-92FC-271E24A43A88}"/>
    <cellStyle name="Comma 4 2 2 3 5 2 4" xfId="29102" xr:uid="{5ED6DC04-A5BD-4C0A-90FA-06B6E2E0C1C9}"/>
    <cellStyle name="Comma 4 2 2 3 5 2 5" xfId="12214" xr:uid="{B8B6EF0F-D4E9-4F6F-8AAC-8AF5E76AE663}"/>
    <cellStyle name="Comma 4 2 2 3 5 3" xfId="5845" xr:uid="{00000000-0005-0000-0000-000020080000}"/>
    <cellStyle name="Comma 4 2 2 3 5 3 2" xfId="22728" xr:uid="{F3E2098D-D3F7-4930-A627-FF9367D56FFB}"/>
    <cellStyle name="Comma 4 2 2 3 5 3 3" xfId="31174" xr:uid="{77BD9509-E646-4356-9C6C-B106A19F6987}"/>
    <cellStyle name="Comma 4 2 2 3 5 3 4" xfId="14287" xr:uid="{6333B1FE-E800-4E8B-AFF0-E9BD52F6ABD4}"/>
    <cellStyle name="Comma 4 2 2 3 5 4" xfId="18510" xr:uid="{5B6FB3EC-4AC4-43F7-AD38-BC4FDFFF55CB}"/>
    <cellStyle name="Comma 4 2 2 3 5 5" xfId="26955" xr:uid="{546CA7B0-6602-4B8D-9A5A-647A9BDF9E72}"/>
    <cellStyle name="Comma 4 2 2 3 5 6" xfId="10069" xr:uid="{EB976F81-DE2F-4309-94EF-ED2B41388EEB}"/>
    <cellStyle name="Comma 4 2 2 3 6" xfId="1951" xr:uid="{00000000-0005-0000-0000-000021080000}"/>
    <cellStyle name="Comma 4 2 2 3 6 2" xfId="4180" xr:uid="{00000000-0005-0000-0000-000022080000}"/>
    <cellStyle name="Comma 4 2 2 3 6 2 2" xfId="8403" xr:uid="{00000000-0005-0000-0000-000023080000}"/>
    <cellStyle name="Comma 4 2 2 3 6 2 2 2" xfId="25286" xr:uid="{979CF093-7A5B-4F9F-A384-DAE542234BE8}"/>
    <cellStyle name="Comma 4 2 2 3 6 2 2 3" xfId="33732" xr:uid="{B859A3CE-DF9C-4855-9378-663782730B16}"/>
    <cellStyle name="Comma 4 2 2 3 6 2 2 4" xfId="16845" xr:uid="{BA01C080-1E95-409E-9FC0-C91368C7ACC0}"/>
    <cellStyle name="Comma 4 2 2 3 6 2 3" xfId="21068" xr:uid="{B1C14545-B19B-4B08-9126-E524AA6EFB55}"/>
    <cellStyle name="Comma 4 2 2 3 6 2 4" xfId="29515" xr:uid="{5586A95C-1B17-45F2-BA48-2B4A4A25976D}"/>
    <cellStyle name="Comma 4 2 2 3 6 2 5" xfId="12627" xr:uid="{9486A07F-8C51-4B84-A9B2-17D9C16F2225}"/>
    <cellStyle name="Comma 4 2 2 3 6 3" xfId="6258" xr:uid="{00000000-0005-0000-0000-000024080000}"/>
    <cellStyle name="Comma 4 2 2 3 6 3 2" xfId="23141" xr:uid="{46AD088D-D96B-4078-9EA5-798F3DC6678F}"/>
    <cellStyle name="Comma 4 2 2 3 6 3 3" xfId="31587" xr:uid="{D9808E18-048A-4D9D-B9F1-9241DC2DC531}"/>
    <cellStyle name="Comma 4 2 2 3 6 3 4" xfId="14700" xr:uid="{304B2D16-D18E-4F30-AFC1-923D1EF280D9}"/>
    <cellStyle name="Comma 4 2 2 3 6 4" xfId="18923" xr:uid="{FE151AE8-04AD-4177-A039-0CAE54133FF1}"/>
    <cellStyle name="Comma 4 2 2 3 6 5" xfId="27368" xr:uid="{D052FFD3-A91D-4DEC-9D33-7BEF800F0492}"/>
    <cellStyle name="Comma 4 2 2 3 6 6" xfId="10482" xr:uid="{085D8C62-9412-463B-B894-9961E49C4B07}"/>
    <cellStyle name="Comma 4 2 2 3 7" xfId="2386" xr:uid="{00000000-0005-0000-0000-000025080000}"/>
    <cellStyle name="Comma 4 2 2 3 7 2" xfId="6671" xr:uid="{00000000-0005-0000-0000-000026080000}"/>
    <cellStyle name="Comma 4 2 2 3 7 2 2" xfId="23554" xr:uid="{1BB22B61-A091-4FAF-836D-66B638114C12}"/>
    <cellStyle name="Comma 4 2 2 3 7 2 3" xfId="32000" xr:uid="{0993EFEF-E4CA-4520-B12C-32D22A55066C}"/>
    <cellStyle name="Comma 4 2 2 3 7 2 4" xfId="15113" xr:uid="{29357782-5F97-4BB4-994F-42A54C6DEABE}"/>
    <cellStyle name="Comma 4 2 2 3 7 3" xfId="19336" xr:uid="{B23C7442-0250-438D-8657-A6CAAE53E373}"/>
    <cellStyle name="Comma 4 2 2 3 7 4" xfId="27781" xr:uid="{86938480-3022-4609-A078-8AB66777529B}"/>
    <cellStyle name="Comma 4 2 2 3 7 5" xfId="10895" xr:uid="{1A1DB89B-CAE0-4CBA-A755-4CF0CAC5B6CD}"/>
    <cellStyle name="Comma 4 2 2 3 8" xfId="2377" xr:uid="{00000000-0005-0000-0000-000027080000}"/>
    <cellStyle name="Comma 4 2 2 3 9" xfId="2764" xr:uid="{00000000-0005-0000-0000-000028080000}"/>
    <cellStyle name="Comma 4 2 2 3 9 2" xfId="6988" xr:uid="{00000000-0005-0000-0000-000029080000}"/>
    <cellStyle name="Comma 4 2 2 3 9 2 2" xfId="23871" xr:uid="{5A53987B-6C1A-4F15-955B-0D7EF1BBF71F}"/>
    <cellStyle name="Comma 4 2 2 3 9 2 3" xfId="32317" xr:uid="{852C4D8B-6767-464F-A968-2711E3BA9A35}"/>
    <cellStyle name="Comma 4 2 2 3 9 2 4" xfId="15430" xr:uid="{3AFEB344-DD19-4CBF-A76E-84846CADD17E}"/>
    <cellStyle name="Comma 4 2 2 3 9 3" xfId="19653" xr:uid="{9B368919-A422-49D8-B6C9-49FA71CB31F1}"/>
    <cellStyle name="Comma 4 2 2 3 9 4" xfId="28100" xr:uid="{6447B463-98CE-4943-A8DE-37AEBFF535D6}"/>
    <cellStyle name="Comma 4 2 2 3 9 5" xfId="11212" xr:uid="{817E3E3A-BBD5-4FC8-9EA0-8CD758B13274}"/>
    <cellStyle name="Comma 4 2 2 4" xfId="134" xr:uid="{00000000-0005-0000-0000-00002A080000}"/>
    <cellStyle name="Comma 4 2 2 4 10" xfId="17272" xr:uid="{88681095-AC84-4EB0-A1FB-E76679DBB016}"/>
    <cellStyle name="Comma 4 2 2 4 11" xfId="25715" xr:uid="{5762CCB1-3096-4B7E-84DD-3FADB8681658}"/>
    <cellStyle name="Comma 4 2 2 4 12" xfId="8831" xr:uid="{707C6EA6-4143-4FD2-9041-B99D2D72DF91}"/>
    <cellStyle name="Comma 4 2 2 4 2" xfId="672" xr:uid="{00000000-0005-0000-0000-00002B080000}"/>
    <cellStyle name="Comma 4 2 2 4 2 2" xfId="2943" xr:uid="{00000000-0005-0000-0000-00002C080000}"/>
    <cellStyle name="Comma 4 2 2 4 2 2 2" xfId="7166" xr:uid="{00000000-0005-0000-0000-00002D080000}"/>
    <cellStyle name="Comma 4 2 2 4 2 2 2 2" xfId="24049" xr:uid="{FF3799F9-A0FA-4C47-BE22-B23595C6164E}"/>
    <cellStyle name="Comma 4 2 2 4 2 2 2 3" xfId="32495" xr:uid="{C74AB6BF-43F1-48C6-B0CF-31523D40018B}"/>
    <cellStyle name="Comma 4 2 2 4 2 2 2 4" xfId="15608" xr:uid="{9F135474-A462-48D4-8C26-22A5BDC99AD8}"/>
    <cellStyle name="Comma 4 2 2 4 2 2 3" xfId="19831" xr:uid="{625A1C1B-76BD-4C74-99CC-6654C927391B}"/>
    <cellStyle name="Comma 4 2 2 4 2 2 4" xfId="28278" xr:uid="{E00FE764-BEAB-4031-A1B6-81C099E26773}"/>
    <cellStyle name="Comma 4 2 2 4 2 2 5" xfId="11390" xr:uid="{453F7483-5C13-4616-8C28-CE7D13C8E8B4}"/>
    <cellStyle name="Comma 4 2 2 4 2 3" xfId="5021" xr:uid="{00000000-0005-0000-0000-00002E080000}"/>
    <cellStyle name="Comma 4 2 2 4 2 3 2" xfId="21904" xr:uid="{6BF3CF3D-0BEB-4A86-A27A-92BFB0DB5CCC}"/>
    <cellStyle name="Comma 4 2 2 4 2 3 3" xfId="30350" xr:uid="{0DFBB6C9-7083-4908-AC54-A2460D2EFEDA}"/>
    <cellStyle name="Comma 4 2 2 4 2 3 4" xfId="13463" xr:uid="{488A5676-D9E3-4682-9902-4F1A77F7988D}"/>
    <cellStyle name="Comma 4 2 2 4 2 4" xfId="17686" xr:uid="{D4B22C89-CA2B-46ED-A217-259B9997FEB7}"/>
    <cellStyle name="Comma 4 2 2 4 2 5" xfId="26131" xr:uid="{333FD734-BA89-4A88-891C-93A4351E4735}"/>
    <cellStyle name="Comma 4 2 2 4 2 6" xfId="9245" xr:uid="{24DE6A58-F1CE-42D1-A26C-EF6C53BA6DBC}"/>
    <cellStyle name="Comma 4 2 2 4 3" xfId="1125" xr:uid="{00000000-0005-0000-0000-00002F080000}"/>
    <cellStyle name="Comma 4 2 2 4 3 2" xfId="3356" xr:uid="{00000000-0005-0000-0000-000030080000}"/>
    <cellStyle name="Comma 4 2 2 4 3 2 2" xfId="7579" xr:uid="{00000000-0005-0000-0000-000031080000}"/>
    <cellStyle name="Comma 4 2 2 4 3 2 2 2" xfId="24462" xr:uid="{3EC9CCA9-2316-4F8F-8B6D-93B0726D6084}"/>
    <cellStyle name="Comma 4 2 2 4 3 2 2 3" xfId="32908" xr:uid="{63E61792-A8DB-422C-B716-5D42608612B5}"/>
    <cellStyle name="Comma 4 2 2 4 3 2 2 4" xfId="16021" xr:uid="{7A3DF61D-4474-4620-991E-6D6A896F9565}"/>
    <cellStyle name="Comma 4 2 2 4 3 2 3" xfId="20244" xr:uid="{E358CD73-2474-432B-B626-9123D25F1421}"/>
    <cellStyle name="Comma 4 2 2 4 3 2 4" xfId="28691" xr:uid="{DC0C7860-A6DE-4283-B0D6-680308F8A44A}"/>
    <cellStyle name="Comma 4 2 2 4 3 2 5" xfId="11803" xr:uid="{A0E3A788-FB00-4A63-AFE5-72617059F567}"/>
    <cellStyle name="Comma 4 2 2 4 3 3" xfId="5434" xr:uid="{00000000-0005-0000-0000-000032080000}"/>
    <cellStyle name="Comma 4 2 2 4 3 3 2" xfId="22317" xr:uid="{10E7847F-2116-4D5D-8DF0-8C5A06B63DF6}"/>
    <cellStyle name="Comma 4 2 2 4 3 3 3" xfId="30763" xr:uid="{58D6EDE3-5A99-47EE-BDE4-4673B615062A}"/>
    <cellStyle name="Comma 4 2 2 4 3 3 4" xfId="13876" xr:uid="{2814A224-8726-4336-AAD1-FFF99FB9BB0B}"/>
    <cellStyle name="Comma 4 2 2 4 3 4" xfId="18099" xr:uid="{67E2AE06-3E5B-4BCF-B35B-0E0811300270}"/>
    <cellStyle name="Comma 4 2 2 4 3 5" xfId="26544" xr:uid="{2D2FC3FD-7897-4A1E-AB44-F78255D88364}"/>
    <cellStyle name="Comma 4 2 2 4 3 6" xfId="9658" xr:uid="{3975E3EB-6A68-44B0-A0E3-F513014C0868}"/>
    <cellStyle name="Comma 4 2 2 4 4" xfId="1539" xr:uid="{00000000-0005-0000-0000-000033080000}"/>
    <cellStyle name="Comma 4 2 2 4 4 2" xfId="3769" xr:uid="{00000000-0005-0000-0000-000034080000}"/>
    <cellStyle name="Comma 4 2 2 4 4 2 2" xfId="7992" xr:uid="{00000000-0005-0000-0000-000035080000}"/>
    <cellStyle name="Comma 4 2 2 4 4 2 2 2" xfId="24875" xr:uid="{CF98BA12-68D1-4D5F-9ECE-779790B4335C}"/>
    <cellStyle name="Comma 4 2 2 4 4 2 2 3" xfId="33321" xr:uid="{F9B7D4A3-C67F-4243-A756-2309F5BE3CDB}"/>
    <cellStyle name="Comma 4 2 2 4 4 2 2 4" xfId="16434" xr:uid="{F52F2054-7341-42D2-A4DF-0DD5B906FE2B}"/>
    <cellStyle name="Comma 4 2 2 4 4 2 3" xfId="20657" xr:uid="{183EAE5E-EBF8-4B7B-B6FD-53C183D792B5}"/>
    <cellStyle name="Comma 4 2 2 4 4 2 4" xfId="29104" xr:uid="{E6586CA7-FB81-4BE2-A1E9-A078F1566DF9}"/>
    <cellStyle name="Comma 4 2 2 4 4 2 5" xfId="12216" xr:uid="{88F20F17-5233-4FD1-89CF-3B82333AF9A6}"/>
    <cellStyle name="Comma 4 2 2 4 4 3" xfId="5847" xr:uid="{00000000-0005-0000-0000-000036080000}"/>
    <cellStyle name="Comma 4 2 2 4 4 3 2" xfId="22730" xr:uid="{A496316B-C662-4D2D-AD20-1CDF2B94C9DE}"/>
    <cellStyle name="Comma 4 2 2 4 4 3 3" xfId="31176" xr:uid="{7F9473C7-335D-49C5-9F3F-83CBA414CAF4}"/>
    <cellStyle name="Comma 4 2 2 4 4 3 4" xfId="14289" xr:uid="{C16C5344-9E18-454C-BEB4-EBD3D9D2AECD}"/>
    <cellStyle name="Comma 4 2 2 4 4 4" xfId="18512" xr:uid="{B6B9F9EB-CF5E-4F77-9EF2-F43F7E1359D4}"/>
    <cellStyle name="Comma 4 2 2 4 4 5" xfId="26957" xr:uid="{E06FD50B-D4C4-44A2-8F98-E3AD98F402C7}"/>
    <cellStyle name="Comma 4 2 2 4 4 6" xfId="10071" xr:uid="{5B8A5E7E-0A16-461C-A4B1-6740CE6B939D}"/>
    <cellStyle name="Comma 4 2 2 4 5" xfId="1953" xr:uid="{00000000-0005-0000-0000-000037080000}"/>
    <cellStyle name="Comma 4 2 2 4 5 2" xfId="4182" xr:uid="{00000000-0005-0000-0000-000038080000}"/>
    <cellStyle name="Comma 4 2 2 4 5 2 2" xfId="8405" xr:uid="{00000000-0005-0000-0000-000039080000}"/>
    <cellStyle name="Comma 4 2 2 4 5 2 2 2" xfId="25288" xr:uid="{11B53E16-7B42-472D-B34F-0E330F230D2B}"/>
    <cellStyle name="Comma 4 2 2 4 5 2 2 3" xfId="33734" xr:uid="{809C6D0D-7ABE-45DF-8FF1-D6BA8D12A680}"/>
    <cellStyle name="Comma 4 2 2 4 5 2 2 4" xfId="16847" xr:uid="{63FE3CDB-CEF9-48F3-A593-460B8BF56CBF}"/>
    <cellStyle name="Comma 4 2 2 4 5 2 3" xfId="21070" xr:uid="{D9CAAC46-D7E8-4C0C-934A-336C8AD2D4C1}"/>
    <cellStyle name="Comma 4 2 2 4 5 2 4" xfId="29517" xr:uid="{67D30795-8A2F-45EC-8243-A34CEA5B6DEF}"/>
    <cellStyle name="Comma 4 2 2 4 5 2 5" xfId="12629" xr:uid="{B94473AA-E173-46E3-9175-121F8E565204}"/>
    <cellStyle name="Comma 4 2 2 4 5 3" xfId="6260" xr:uid="{00000000-0005-0000-0000-00003A080000}"/>
    <cellStyle name="Comma 4 2 2 4 5 3 2" xfId="23143" xr:uid="{FE195E22-D48A-4417-8EF0-336F6EE80E14}"/>
    <cellStyle name="Comma 4 2 2 4 5 3 3" xfId="31589" xr:uid="{57FAB09F-6CAA-4813-A440-1482563F4711}"/>
    <cellStyle name="Comma 4 2 2 4 5 3 4" xfId="14702" xr:uid="{9A773373-6EF1-4114-A826-EAD0EA44E97B}"/>
    <cellStyle name="Comma 4 2 2 4 5 4" xfId="18925" xr:uid="{79293B6E-C108-417B-BD1B-C0498C4BA559}"/>
    <cellStyle name="Comma 4 2 2 4 5 5" xfId="27370" xr:uid="{951E0D00-A332-4047-A3D7-B04157BEECD0}"/>
    <cellStyle name="Comma 4 2 2 4 5 6" xfId="10484" xr:uid="{A3B48564-329D-4067-BC7B-F6A3E500EE13}"/>
    <cellStyle name="Comma 4 2 2 4 6" xfId="2388" xr:uid="{00000000-0005-0000-0000-00003B080000}"/>
    <cellStyle name="Comma 4 2 2 4 6 2" xfId="6673" xr:uid="{00000000-0005-0000-0000-00003C080000}"/>
    <cellStyle name="Comma 4 2 2 4 6 2 2" xfId="23556" xr:uid="{BAA3F7AA-8E69-4674-BEE0-1802A0E57823}"/>
    <cellStyle name="Comma 4 2 2 4 6 2 3" xfId="32002" xr:uid="{0AA8C26F-434C-4F45-B017-AB58228A60CB}"/>
    <cellStyle name="Comma 4 2 2 4 6 2 4" xfId="15115" xr:uid="{A7C38B27-5947-4A97-8DDF-FDA035EAE02C}"/>
    <cellStyle name="Comma 4 2 2 4 6 3" xfId="19338" xr:uid="{B7FD6406-B0B7-44D1-A64F-EFB62328BB01}"/>
    <cellStyle name="Comma 4 2 2 4 6 4" xfId="27783" xr:uid="{5E1F1173-0BA1-4BB4-BBC8-D20E480866E6}"/>
    <cellStyle name="Comma 4 2 2 4 6 5" xfId="10897" xr:uid="{1B79B084-174A-4D95-9243-323DA5D3DFC8}"/>
    <cellStyle name="Comma 4 2 2 4 7" xfId="2375" xr:uid="{00000000-0005-0000-0000-00003D080000}"/>
    <cellStyle name="Comma 4 2 2 4 8" xfId="2766" xr:uid="{00000000-0005-0000-0000-00003E080000}"/>
    <cellStyle name="Comma 4 2 2 4 8 2" xfId="6990" xr:uid="{00000000-0005-0000-0000-00003F080000}"/>
    <cellStyle name="Comma 4 2 2 4 8 2 2" xfId="23873" xr:uid="{8B3E5464-51EC-42F3-B0A8-E178B13ED78E}"/>
    <cellStyle name="Comma 4 2 2 4 8 2 3" xfId="32319" xr:uid="{53B33879-0DCB-407C-95AD-05ED6D5810BA}"/>
    <cellStyle name="Comma 4 2 2 4 8 2 4" xfId="15432" xr:uid="{B738BD5E-425E-4C20-B13E-7057217226E5}"/>
    <cellStyle name="Comma 4 2 2 4 8 3" xfId="19655" xr:uid="{FFFDDBCE-F24B-48E3-B91D-C01CEDC74378}"/>
    <cellStyle name="Comma 4 2 2 4 8 4" xfId="28102" xr:uid="{920EF922-3E0F-4155-97E9-DC65BFF0C990}"/>
    <cellStyle name="Comma 4 2 2 4 8 5" xfId="11214" xr:uid="{54607202-A006-401F-A964-32C582087370}"/>
    <cellStyle name="Comma 4 2 2 4 9" xfId="4607" xr:uid="{00000000-0005-0000-0000-000040080000}"/>
    <cellStyle name="Comma 4 2 2 4 9 2" xfId="21490" xr:uid="{70C6BAD2-1EF4-4CF8-AA7F-0610A64A0F0A}"/>
    <cellStyle name="Comma 4 2 2 4 9 3" xfId="29936" xr:uid="{CBB88FF3-A0F1-424F-AA2D-407184954651}"/>
    <cellStyle name="Comma 4 2 2 4 9 4" xfId="13049" xr:uid="{BCBF32FF-6FEC-4725-AD8B-9C521F8BEB0B}"/>
    <cellStyle name="Comma 4 2 2 5" xfId="135" xr:uid="{00000000-0005-0000-0000-000041080000}"/>
    <cellStyle name="Comma 4 2 2 5 10" xfId="17273" xr:uid="{BFD7C58B-8593-47A3-9A8A-DD1BDCAE599E}"/>
    <cellStyle name="Comma 4 2 2 5 11" xfId="25716" xr:uid="{311FBCA4-404A-4446-80FB-34DE1B960009}"/>
    <cellStyle name="Comma 4 2 2 5 12" xfId="8832" xr:uid="{BE15146A-07EA-45DE-9A5C-B852CA13AA01}"/>
    <cellStyle name="Comma 4 2 2 5 2" xfId="673" xr:uid="{00000000-0005-0000-0000-000042080000}"/>
    <cellStyle name="Comma 4 2 2 5 2 2" xfId="2944" xr:uid="{00000000-0005-0000-0000-000043080000}"/>
    <cellStyle name="Comma 4 2 2 5 2 2 2" xfId="7167" xr:uid="{00000000-0005-0000-0000-000044080000}"/>
    <cellStyle name="Comma 4 2 2 5 2 2 2 2" xfId="24050" xr:uid="{532B8F35-8808-4AAA-8944-83D481A9D36F}"/>
    <cellStyle name="Comma 4 2 2 5 2 2 2 3" xfId="32496" xr:uid="{8473E595-39C2-41EB-9F89-ABE90D6BDFB6}"/>
    <cellStyle name="Comma 4 2 2 5 2 2 2 4" xfId="15609" xr:uid="{9E461246-407F-4525-B9C2-EE7979C814C7}"/>
    <cellStyle name="Comma 4 2 2 5 2 2 3" xfId="19832" xr:uid="{B59A33F7-F1EB-4703-8211-3B0E12A34141}"/>
    <cellStyle name="Comma 4 2 2 5 2 2 4" xfId="28279" xr:uid="{0EC8500F-6448-45C3-8CDD-DD1770687D01}"/>
    <cellStyle name="Comma 4 2 2 5 2 2 5" xfId="11391" xr:uid="{A06AFF71-B120-4D73-8D10-385B0F0A47F2}"/>
    <cellStyle name="Comma 4 2 2 5 2 3" xfId="5022" xr:uid="{00000000-0005-0000-0000-000045080000}"/>
    <cellStyle name="Comma 4 2 2 5 2 3 2" xfId="21905" xr:uid="{A737F32C-AEEF-47A7-A1E1-C6F7E135530A}"/>
    <cellStyle name="Comma 4 2 2 5 2 3 3" xfId="30351" xr:uid="{1B967F20-909E-43F2-9C69-C900A11BEBF6}"/>
    <cellStyle name="Comma 4 2 2 5 2 3 4" xfId="13464" xr:uid="{7E256462-850F-4187-B63F-08AD5D62673A}"/>
    <cellStyle name="Comma 4 2 2 5 2 4" xfId="17687" xr:uid="{164F75D1-28FA-4F6E-926B-003810F4A576}"/>
    <cellStyle name="Comma 4 2 2 5 2 5" xfId="26132" xr:uid="{68FE437E-FA30-4F6E-B4C6-A78514CBF176}"/>
    <cellStyle name="Comma 4 2 2 5 2 6" xfId="9246" xr:uid="{7049D387-F7C0-4A47-BE41-1A205A16E617}"/>
    <cellStyle name="Comma 4 2 2 5 3" xfId="1126" xr:uid="{00000000-0005-0000-0000-000046080000}"/>
    <cellStyle name="Comma 4 2 2 5 3 2" xfId="3357" xr:uid="{00000000-0005-0000-0000-000047080000}"/>
    <cellStyle name="Comma 4 2 2 5 3 2 2" xfId="7580" xr:uid="{00000000-0005-0000-0000-000048080000}"/>
    <cellStyle name="Comma 4 2 2 5 3 2 2 2" xfId="24463" xr:uid="{9F869397-1FFD-41A2-AE14-3FAEACA3F3BD}"/>
    <cellStyle name="Comma 4 2 2 5 3 2 2 3" xfId="32909" xr:uid="{37B9747B-E9B5-48E6-82E9-C2BFFEC08C10}"/>
    <cellStyle name="Comma 4 2 2 5 3 2 2 4" xfId="16022" xr:uid="{0BAED659-564E-4511-84BD-05B3971D0BB5}"/>
    <cellStyle name="Comma 4 2 2 5 3 2 3" xfId="20245" xr:uid="{B312BDB6-EC4B-4B09-976B-67A368888A98}"/>
    <cellStyle name="Comma 4 2 2 5 3 2 4" xfId="28692" xr:uid="{F1572E6A-B805-44D8-B4B1-E3EA7E1F13A3}"/>
    <cellStyle name="Comma 4 2 2 5 3 2 5" xfId="11804" xr:uid="{3E8CB946-01EB-4B9C-99DC-CC8A942FAA23}"/>
    <cellStyle name="Comma 4 2 2 5 3 3" xfId="5435" xr:uid="{00000000-0005-0000-0000-000049080000}"/>
    <cellStyle name="Comma 4 2 2 5 3 3 2" xfId="22318" xr:uid="{044A771A-AC77-4A68-AEC4-BB1C38213217}"/>
    <cellStyle name="Comma 4 2 2 5 3 3 3" xfId="30764" xr:uid="{4F145105-321D-4158-B0DE-6B70FAEB3A5C}"/>
    <cellStyle name="Comma 4 2 2 5 3 3 4" xfId="13877" xr:uid="{AFE71B58-6AF3-439E-B112-5975FA11EDCF}"/>
    <cellStyle name="Comma 4 2 2 5 3 4" xfId="18100" xr:uid="{81166357-394A-4689-B985-950D49495611}"/>
    <cellStyle name="Comma 4 2 2 5 3 5" xfId="26545" xr:uid="{887F70B1-B4F8-4CFB-93E7-FC6C128BAC87}"/>
    <cellStyle name="Comma 4 2 2 5 3 6" xfId="9659" xr:uid="{EDD77158-021B-4E87-B92B-0B6077CB94E7}"/>
    <cellStyle name="Comma 4 2 2 5 4" xfId="1540" xr:uid="{00000000-0005-0000-0000-00004A080000}"/>
    <cellStyle name="Comma 4 2 2 5 4 2" xfId="3770" xr:uid="{00000000-0005-0000-0000-00004B080000}"/>
    <cellStyle name="Comma 4 2 2 5 4 2 2" xfId="7993" xr:uid="{00000000-0005-0000-0000-00004C080000}"/>
    <cellStyle name="Comma 4 2 2 5 4 2 2 2" xfId="24876" xr:uid="{2F9AAEFB-F8E4-4BC3-8C95-E95E9407D1FD}"/>
    <cellStyle name="Comma 4 2 2 5 4 2 2 3" xfId="33322" xr:uid="{46776C2C-421F-4056-9798-CD5492101D75}"/>
    <cellStyle name="Comma 4 2 2 5 4 2 2 4" xfId="16435" xr:uid="{6A176201-28A7-438C-9CFE-8D89E7596FFF}"/>
    <cellStyle name="Comma 4 2 2 5 4 2 3" xfId="20658" xr:uid="{ED1468BB-75BB-443B-B40D-3AC6620FC7A1}"/>
    <cellStyle name="Comma 4 2 2 5 4 2 4" xfId="29105" xr:uid="{FD0043F6-B3F1-44A0-AF17-3267DDE420CB}"/>
    <cellStyle name="Comma 4 2 2 5 4 2 5" xfId="12217" xr:uid="{6F4DD1F8-B5C4-4A8D-864F-6512026F7EDE}"/>
    <cellStyle name="Comma 4 2 2 5 4 3" xfId="5848" xr:uid="{00000000-0005-0000-0000-00004D080000}"/>
    <cellStyle name="Comma 4 2 2 5 4 3 2" xfId="22731" xr:uid="{7DDBA888-67F1-4C48-A898-5238C8028F01}"/>
    <cellStyle name="Comma 4 2 2 5 4 3 3" xfId="31177" xr:uid="{003DB5E2-2740-4E17-9F52-D2DB9370EC4D}"/>
    <cellStyle name="Comma 4 2 2 5 4 3 4" xfId="14290" xr:uid="{EF4467B3-220E-4048-A3F5-AB88BC99C768}"/>
    <cellStyle name="Comma 4 2 2 5 4 4" xfId="18513" xr:uid="{B3FB195C-5E3B-4D86-B83C-3FBA90F735B3}"/>
    <cellStyle name="Comma 4 2 2 5 4 5" xfId="26958" xr:uid="{3D340945-A28A-4BA0-AC86-C3A812E3B0BA}"/>
    <cellStyle name="Comma 4 2 2 5 4 6" xfId="10072" xr:uid="{6038F32D-3D2A-472B-AD9C-661A536E67A3}"/>
    <cellStyle name="Comma 4 2 2 5 5" xfId="1954" xr:uid="{00000000-0005-0000-0000-00004E080000}"/>
    <cellStyle name="Comma 4 2 2 5 5 2" xfId="4183" xr:uid="{00000000-0005-0000-0000-00004F080000}"/>
    <cellStyle name="Comma 4 2 2 5 5 2 2" xfId="8406" xr:uid="{00000000-0005-0000-0000-000050080000}"/>
    <cellStyle name="Comma 4 2 2 5 5 2 2 2" xfId="25289" xr:uid="{2EC33EB7-D7AF-4CC5-9FCB-8C5642643567}"/>
    <cellStyle name="Comma 4 2 2 5 5 2 2 3" xfId="33735" xr:uid="{3A122487-6462-4643-9025-6A46BEB5EDCA}"/>
    <cellStyle name="Comma 4 2 2 5 5 2 2 4" xfId="16848" xr:uid="{DFBB455E-95A9-4A31-9559-327A4DBC6BEF}"/>
    <cellStyle name="Comma 4 2 2 5 5 2 3" xfId="21071" xr:uid="{48FE0AD9-F033-47FB-B94A-EBC0D95B3BA0}"/>
    <cellStyle name="Comma 4 2 2 5 5 2 4" xfId="29518" xr:uid="{F148A958-7CCF-4EFF-9289-7F18E1B8C447}"/>
    <cellStyle name="Comma 4 2 2 5 5 2 5" xfId="12630" xr:uid="{10F81C99-BD03-460C-913A-3FB027C42C8B}"/>
    <cellStyle name="Comma 4 2 2 5 5 3" xfId="6261" xr:uid="{00000000-0005-0000-0000-000051080000}"/>
    <cellStyle name="Comma 4 2 2 5 5 3 2" xfId="23144" xr:uid="{8EB018EC-DE1C-4276-BCB2-49E5EEF7BA20}"/>
    <cellStyle name="Comma 4 2 2 5 5 3 3" xfId="31590" xr:uid="{5121ADB6-3AC9-4E34-BA8C-3119504981DC}"/>
    <cellStyle name="Comma 4 2 2 5 5 3 4" xfId="14703" xr:uid="{A47B3A2C-9597-4211-9FB8-47B7951E7B57}"/>
    <cellStyle name="Comma 4 2 2 5 5 4" xfId="18926" xr:uid="{3B79155C-0000-4FE3-B962-E3456DB75786}"/>
    <cellStyle name="Comma 4 2 2 5 5 5" xfId="27371" xr:uid="{C93FA4B5-8759-4A40-96D0-B035708AE94C}"/>
    <cellStyle name="Comma 4 2 2 5 5 6" xfId="10485" xr:uid="{9ED2E868-42F7-4EA0-9875-F31CE8DC1B88}"/>
    <cellStyle name="Comma 4 2 2 5 6" xfId="2389" xr:uid="{00000000-0005-0000-0000-000052080000}"/>
    <cellStyle name="Comma 4 2 2 5 6 2" xfId="6674" xr:uid="{00000000-0005-0000-0000-000053080000}"/>
    <cellStyle name="Comma 4 2 2 5 6 2 2" xfId="23557" xr:uid="{F9A6D733-6BA2-4BF2-AD45-C9CF363666B3}"/>
    <cellStyle name="Comma 4 2 2 5 6 2 3" xfId="32003" xr:uid="{4929B289-D9FB-4465-B5EF-A1DC6F38BB77}"/>
    <cellStyle name="Comma 4 2 2 5 6 2 4" xfId="15116" xr:uid="{F9C17C9C-8BC7-400D-9F38-ABE5284E7C7D}"/>
    <cellStyle name="Comma 4 2 2 5 6 3" xfId="19339" xr:uid="{0DD91FB4-4A99-48ED-9461-404609EE78B3}"/>
    <cellStyle name="Comma 4 2 2 5 6 4" xfId="27784" xr:uid="{2DEDB30A-082D-4DEE-A06E-230FFB7D0ADE}"/>
    <cellStyle name="Comma 4 2 2 5 6 5" xfId="10898" xr:uid="{D69D43CF-8195-48D8-B5FB-17429767A379}"/>
    <cellStyle name="Comma 4 2 2 5 7" xfId="2374" xr:uid="{00000000-0005-0000-0000-000054080000}"/>
    <cellStyle name="Comma 4 2 2 5 8" xfId="2767" xr:uid="{00000000-0005-0000-0000-000055080000}"/>
    <cellStyle name="Comma 4 2 2 5 8 2" xfId="6991" xr:uid="{00000000-0005-0000-0000-000056080000}"/>
    <cellStyle name="Comma 4 2 2 5 8 2 2" xfId="23874" xr:uid="{689AE7AC-5FC6-4747-9671-71AD72CC6729}"/>
    <cellStyle name="Comma 4 2 2 5 8 2 3" xfId="32320" xr:uid="{D76FCF96-04F9-40D5-B3E7-CABA2AC0FF02}"/>
    <cellStyle name="Comma 4 2 2 5 8 2 4" xfId="15433" xr:uid="{33636639-5A2F-4E7A-8C5E-0D69278870B8}"/>
    <cellStyle name="Comma 4 2 2 5 8 3" xfId="19656" xr:uid="{F170E112-751C-4AB5-8596-3FB99098EF2C}"/>
    <cellStyle name="Comma 4 2 2 5 8 4" xfId="28103" xr:uid="{3D5B479F-1657-4CF8-86B8-216CF4CA98A6}"/>
    <cellStyle name="Comma 4 2 2 5 8 5" xfId="11215" xr:uid="{F2660E2F-740E-4659-8FE2-3B4BBC2786ED}"/>
    <cellStyle name="Comma 4 2 2 5 9" xfId="4608" xr:uid="{00000000-0005-0000-0000-000057080000}"/>
    <cellStyle name="Comma 4 2 2 5 9 2" xfId="21491" xr:uid="{090E9372-F3E0-4F0A-88B0-B9D4C3303B79}"/>
    <cellStyle name="Comma 4 2 2 5 9 3" xfId="29937" xr:uid="{EC2ED923-62CA-4BB1-8F2A-4F97619C0A9A}"/>
    <cellStyle name="Comma 4 2 2 5 9 4" xfId="13050" xr:uid="{04CD9072-DB38-4C92-85E6-9FEDD41EF070}"/>
    <cellStyle name="Comma 4 2 3" xfId="136" xr:uid="{00000000-0005-0000-0000-000058080000}"/>
    <cellStyle name="Comma 4 2 3 10" xfId="2768" xr:uid="{00000000-0005-0000-0000-000059080000}"/>
    <cellStyle name="Comma 4 2 3 10 2" xfId="6992" xr:uid="{00000000-0005-0000-0000-00005A080000}"/>
    <cellStyle name="Comma 4 2 3 10 2 2" xfId="23875" xr:uid="{90F3E02A-E659-4A26-BFD8-DE459629010F}"/>
    <cellStyle name="Comma 4 2 3 10 2 3" xfId="32321" xr:uid="{485D7380-2221-4379-8F98-A099DF9E471B}"/>
    <cellStyle name="Comma 4 2 3 10 2 4" xfId="15434" xr:uid="{994F4E57-61E6-4A70-B7B5-91DF3F512D03}"/>
    <cellStyle name="Comma 4 2 3 10 3" xfId="19657" xr:uid="{CCE43F20-038D-4948-846E-18C0EF5FFB94}"/>
    <cellStyle name="Comma 4 2 3 10 4" xfId="28104" xr:uid="{88F43110-C8B1-4795-A4F3-5F27B97BFD30}"/>
    <cellStyle name="Comma 4 2 3 10 5" xfId="11216" xr:uid="{45534271-75C6-418E-8C88-370F0449BCDE}"/>
    <cellStyle name="Comma 4 2 3 11" xfId="4609" xr:uid="{00000000-0005-0000-0000-00005B080000}"/>
    <cellStyle name="Comma 4 2 3 11 2" xfId="21492" xr:uid="{21CAAA4E-314F-40D2-BC5A-859AAFCA8E32}"/>
    <cellStyle name="Comma 4 2 3 11 3" xfId="29938" xr:uid="{9FAB202A-B665-4872-9BE0-54E298A36AED}"/>
    <cellStyle name="Comma 4 2 3 11 4" xfId="13051" xr:uid="{C5C79B38-2C89-444A-8A84-180313DAB19D}"/>
    <cellStyle name="Comma 4 2 3 12" xfId="17274" xr:uid="{4D8E142E-5F4B-402F-9F10-E81AD120CBDA}"/>
    <cellStyle name="Comma 4 2 3 13" xfId="25717" xr:uid="{98168F28-213F-4687-B4D6-F7F25B48A4F9}"/>
    <cellStyle name="Comma 4 2 3 14" xfId="8833" xr:uid="{858DF30C-2884-488D-8F6D-B7654D185EC3}"/>
    <cellStyle name="Comma 4 2 3 2" xfId="137" xr:uid="{00000000-0005-0000-0000-00005C080000}"/>
    <cellStyle name="Comma 4 2 3 2 10" xfId="4610" xr:uid="{00000000-0005-0000-0000-00005D080000}"/>
    <cellStyle name="Comma 4 2 3 2 10 2" xfId="21493" xr:uid="{530478DA-EB85-48EA-B5B9-24A5374B19AA}"/>
    <cellStyle name="Comma 4 2 3 2 10 3" xfId="29939" xr:uid="{BACEAC6F-03AD-42BA-B996-23DA99F5D75D}"/>
    <cellStyle name="Comma 4 2 3 2 10 4" xfId="13052" xr:uid="{F0EBD034-1E8A-4BF9-9B54-ED4A25C5B386}"/>
    <cellStyle name="Comma 4 2 3 2 11" xfId="17275" xr:uid="{E633416A-18E6-41C0-B1C9-A662B6950EF3}"/>
    <cellStyle name="Comma 4 2 3 2 12" xfId="25718" xr:uid="{64B74FE4-2F34-47CE-B6D4-3D0739EEC1CA}"/>
    <cellStyle name="Comma 4 2 3 2 13" xfId="8834" xr:uid="{4EED9569-F467-4516-B7D0-D2EA49007A89}"/>
    <cellStyle name="Comma 4 2 3 2 2" xfId="138" xr:uid="{00000000-0005-0000-0000-00005E080000}"/>
    <cellStyle name="Comma 4 2 3 2 2 10" xfId="17276" xr:uid="{DF0B78F7-C2A4-4973-89EC-B08774D7FEE9}"/>
    <cellStyle name="Comma 4 2 3 2 2 11" xfId="25719" xr:uid="{B8551772-755F-4831-A4DA-2BC8025C4EAD}"/>
    <cellStyle name="Comma 4 2 3 2 2 12" xfId="8835" xr:uid="{A3917B3B-DFEC-4E6A-8E2A-FD8063D60B30}"/>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24053" xr:uid="{55515396-C2D8-4C00-9495-522ED6F4F957}"/>
    <cellStyle name="Comma 4 2 3 2 2 2 2 2 3" xfId="32499" xr:uid="{0E48154D-BB7B-4121-956B-74858D73B796}"/>
    <cellStyle name="Comma 4 2 3 2 2 2 2 2 4" xfId="15612" xr:uid="{46707540-04C9-4184-AF5A-F8C3F1A2837A}"/>
    <cellStyle name="Comma 4 2 3 2 2 2 2 3" xfId="19835" xr:uid="{90D703C9-CCDE-4D43-B54A-3A88B809A10C}"/>
    <cellStyle name="Comma 4 2 3 2 2 2 2 4" xfId="28282" xr:uid="{7B29F3E6-EA2A-4389-A1E3-FEAFCB19A17D}"/>
    <cellStyle name="Comma 4 2 3 2 2 2 2 5" xfId="11394" xr:uid="{A7F01CFC-A592-4550-8971-5A080FBFFEFE}"/>
    <cellStyle name="Comma 4 2 3 2 2 2 3" xfId="5025" xr:uid="{00000000-0005-0000-0000-000062080000}"/>
    <cellStyle name="Comma 4 2 3 2 2 2 3 2" xfId="21908" xr:uid="{D828D1C4-D799-4F7D-B2B7-87A83AFE8100}"/>
    <cellStyle name="Comma 4 2 3 2 2 2 3 3" xfId="30354" xr:uid="{EC0C4A60-4730-464C-AD26-86038F5424BA}"/>
    <cellStyle name="Comma 4 2 3 2 2 2 3 4" xfId="13467" xr:uid="{A99C51CF-EC35-4094-94D3-75E7132B46E7}"/>
    <cellStyle name="Comma 4 2 3 2 2 2 4" xfId="17690" xr:uid="{9BFAD443-0DDA-4928-85A2-EDF7823E18C7}"/>
    <cellStyle name="Comma 4 2 3 2 2 2 5" xfId="26135" xr:uid="{C4121877-F64C-43C3-9565-6B049D34DC41}"/>
    <cellStyle name="Comma 4 2 3 2 2 2 6" xfId="9249" xr:uid="{C25C0AC0-A3FC-422F-B5A3-EA71BC4BF21E}"/>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24466" xr:uid="{25908F7A-5A19-4AA6-AA00-96B665750E2A}"/>
    <cellStyle name="Comma 4 2 3 2 2 3 2 2 3" xfId="32912" xr:uid="{8B85C55A-1468-4C3E-A5F2-B922C77A820C}"/>
    <cellStyle name="Comma 4 2 3 2 2 3 2 2 4" xfId="16025" xr:uid="{25810823-DCEA-426B-AE59-988CA3803FF5}"/>
    <cellStyle name="Comma 4 2 3 2 2 3 2 3" xfId="20248" xr:uid="{452FBE42-1EEC-4C7C-836F-66AD0A2E4EB8}"/>
    <cellStyle name="Comma 4 2 3 2 2 3 2 4" xfId="28695" xr:uid="{5D685862-4E08-49D8-BD7C-100B8692ACD1}"/>
    <cellStyle name="Comma 4 2 3 2 2 3 2 5" xfId="11807" xr:uid="{59CE4449-CD99-4D85-8807-469BFF46A820}"/>
    <cellStyle name="Comma 4 2 3 2 2 3 3" xfId="5438" xr:uid="{00000000-0005-0000-0000-000066080000}"/>
    <cellStyle name="Comma 4 2 3 2 2 3 3 2" xfId="22321" xr:uid="{F00BCDF5-31C6-4C2D-AFD2-05DE7D275F21}"/>
    <cellStyle name="Comma 4 2 3 2 2 3 3 3" xfId="30767" xr:uid="{5EE2B934-A843-4DD6-A1A5-950B842AE6BC}"/>
    <cellStyle name="Comma 4 2 3 2 2 3 3 4" xfId="13880" xr:uid="{ED7394DA-1868-4EB3-BDC1-B8027C2F4480}"/>
    <cellStyle name="Comma 4 2 3 2 2 3 4" xfId="18103" xr:uid="{7ECEBC28-3FFE-42C3-A74C-FAC410528CD0}"/>
    <cellStyle name="Comma 4 2 3 2 2 3 5" xfId="26548" xr:uid="{16EE0623-DDF6-4643-A251-BA81BCDCF783}"/>
    <cellStyle name="Comma 4 2 3 2 2 3 6" xfId="9662" xr:uid="{9A022CAB-E8FA-4D92-9A49-479720C8B57B}"/>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24879" xr:uid="{0668BCDA-590A-4F97-93A6-559DFB9CA59E}"/>
    <cellStyle name="Comma 4 2 3 2 2 4 2 2 3" xfId="33325" xr:uid="{DFB09C76-5AB2-4583-9D7C-D96F66532126}"/>
    <cellStyle name="Comma 4 2 3 2 2 4 2 2 4" xfId="16438" xr:uid="{83E288AF-5769-45B4-8C3E-72636312575F}"/>
    <cellStyle name="Comma 4 2 3 2 2 4 2 3" xfId="20661" xr:uid="{0443A037-C77A-483C-9CC9-850160F1EE45}"/>
    <cellStyle name="Comma 4 2 3 2 2 4 2 4" xfId="29108" xr:uid="{CC13228E-E84C-4072-9A55-7E99DC4D7391}"/>
    <cellStyle name="Comma 4 2 3 2 2 4 2 5" xfId="12220" xr:uid="{773CB51A-6E1B-402C-A92F-E12DE7555F92}"/>
    <cellStyle name="Comma 4 2 3 2 2 4 3" xfId="5851" xr:uid="{00000000-0005-0000-0000-00006A080000}"/>
    <cellStyle name="Comma 4 2 3 2 2 4 3 2" xfId="22734" xr:uid="{B29C8059-F44A-4616-AFBA-176B3F7EA87B}"/>
    <cellStyle name="Comma 4 2 3 2 2 4 3 3" xfId="31180" xr:uid="{D056D301-8726-47B2-AE20-0A394E8D9A61}"/>
    <cellStyle name="Comma 4 2 3 2 2 4 3 4" xfId="14293" xr:uid="{3FA66DE3-DA06-46E4-8818-46B851401B77}"/>
    <cellStyle name="Comma 4 2 3 2 2 4 4" xfId="18516" xr:uid="{396F45F0-CD86-49B7-BC6A-32DB7E43383D}"/>
    <cellStyle name="Comma 4 2 3 2 2 4 5" xfId="26961" xr:uid="{583FF5A2-11C1-418A-8199-242511902B01}"/>
    <cellStyle name="Comma 4 2 3 2 2 4 6" xfId="10075" xr:uid="{EEE7D157-4C51-4B2E-A506-AAA7B34458DB}"/>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25292" xr:uid="{C58BB6F1-9F84-41ED-9676-2FB37EFE6821}"/>
    <cellStyle name="Comma 4 2 3 2 2 5 2 2 3" xfId="33738" xr:uid="{07854956-EF74-4452-A3BC-9B7A7869C708}"/>
    <cellStyle name="Comma 4 2 3 2 2 5 2 2 4" xfId="16851" xr:uid="{FE9C7E03-44B5-43D2-AF7E-D9E37FF1B88D}"/>
    <cellStyle name="Comma 4 2 3 2 2 5 2 3" xfId="21074" xr:uid="{39AF936A-8EC8-41A0-9E28-79DFBA67D21E}"/>
    <cellStyle name="Comma 4 2 3 2 2 5 2 4" xfId="29521" xr:uid="{3DF49248-FDDC-47C2-8187-8FE11CDAF46D}"/>
    <cellStyle name="Comma 4 2 3 2 2 5 2 5" xfId="12633" xr:uid="{39630C96-DFB5-42E3-A857-36E481F77D2D}"/>
    <cellStyle name="Comma 4 2 3 2 2 5 3" xfId="6264" xr:uid="{00000000-0005-0000-0000-00006E080000}"/>
    <cellStyle name="Comma 4 2 3 2 2 5 3 2" xfId="23147" xr:uid="{5CE02AED-9809-4682-A0AF-1F92E247C4D6}"/>
    <cellStyle name="Comma 4 2 3 2 2 5 3 3" xfId="31593" xr:uid="{FEB28A4C-3F3D-4BE0-9A28-A086ED28A45C}"/>
    <cellStyle name="Comma 4 2 3 2 2 5 3 4" xfId="14706" xr:uid="{9CECB215-CF9A-4A65-BE27-3D6005E31F1F}"/>
    <cellStyle name="Comma 4 2 3 2 2 5 4" xfId="18929" xr:uid="{CEB71652-7FDB-4737-8542-6AC1493F3D58}"/>
    <cellStyle name="Comma 4 2 3 2 2 5 5" xfId="27374" xr:uid="{E409AB1B-BCD5-470B-B03F-1BA373D5C22D}"/>
    <cellStyle name="Comma 4 2 3 2 2 5 6" xfId="10488" xr:uid="{03D441AF-C503-48F6-8B91-CCDC9B2A8324}"/>
    <cellStyle name="Comma 4 2 3 2 2 6" xfId="2392" xr:uid="{00000000-0005-0000-0000-00006F080000}"/>
    <cellStyle name="Comma 4 2 3 2 2 6 2" xfId="6677" xr:uid="{00000000-0005-0000-0000-000070080000}"/>
    <cellStyle name="Comma 4 2 3 2 2 6 2 2" xfId="23560" xr:uid="{8F053A12-5347-4606-AB56-7397F9170257}"/>
    <cellStyle name="Comma 4 2 3 2 2 6 2 3" xfId="32006" xr:uid="{687FB1A2-5D14-4FFC-A8EC-002E3E4A4281}"/>
    <cellStyle name="Comma 4 2 3 2 2 6 2 4" xfId="15119" xr:uid="{AE2BF87B-2EAC-4A66-ACD2-AF9A312A3C16}"/>
    <cellStyle name="Comma 4 2 3 2 2 6 3" xfId="19342" xr:uid="{C1432E8C-254F-4362-AA8E-9C5FE0F2C302}"/>
    <cellStyle name="Comma 4 2 3 2 2 6 4" xfId="27787" xr:uid="{3FB0EE82-0247-498F-AE72-D0AFC03C6834}"/>
    <cellStyle name="Comma 4 2 3 2 2 6 5" xfId="10901" xr:uid="{819A673A-49CE-448F-8A7D-8737C4B020AA}"/>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23877" xr:uid="{836BD741-5DA6-4CA9-AD2B-6F44102BB633}"/>
    <cellStyle name="Comma 4 2 3 2 2 8 2 3" xfId="32323" xr:uid="{22923292-7083-4564-BCCF-BFB697A431E9}"/>
    <cellStyle name="Comma 4 2 3 2 2 8 2 4" xfId="15436" xr:uid="{8EEF9343-7072-4F06-9E60-53BA61813E0F}"/>
    <cellStyle name="Comma 4 2 3 2 2 8 3" xfId="19659" xr:uid="{6815CFAA-0A1D-4319-B2C5-07E93FB83567}"/>
    <cellStyle name="Comma 4 2 3 2 2 8 4" xfId="28106" xr:uid="{C13C77A1-ADE7-461A-B687-73057E4E54A5}"/>
    <cellStyle name="Comma 4 2 3 2 2 8 5" xfId="11218" xr:uid="{938D6352-B9C9-4C32-B1D6-08CA67207BAE}"/>
    <cellStyle name="Comma 4 2 3 2 2 9" xfId="4611" xr:uid="{00000000-0005-0000-0000-000074080000}"/>
    <cellStyle name="Comma 4 2 3 2 2 9 2" xfId="21494" xr:uid="{0E732901-8103-4B9D-BE7B-3B5385D6DE87}"/>
    <cellStyle name="Comma 4 2 3 2 2 9 3" xfId="29940" xr:uid="{94F4F297-984E-4081-9E80-CE592AFB2E1C}"/>
    <cellStyle name="Comma 4 2 3 2 2 9 4" xfId="13053" xr:uid="{233E4C1B-1AA9-4B1C-9BE4-751899536CF3}"/>
    <cellStyle name="Comma 4 2 3 2 3" xfId="675" xr:uid="{00000000-0005-0000-0000-000075080000}"/>
    <cellStyle name="Comma 4 2 3 2 3 2" xfId="2946" xr:uid="{00000000-0005-0000-0000-000076080000}"/>
    <cellStyle name="Comma 4 2 3 2 3 2 2" xfId="7169" xr:uid="{00000000-0005-0000-0000-000077080000}"/>
    <cellStyle name="Comma 4 2 3 2 3 2 2 2" xfId="24052" xr:uid="{3F93C1C0-6CB9-471F-822A-4A77E154CD4D}"/>
    <cellStyle name="Comma 4 2 3 2 3 2 2 3" xfId="32498" xr:uid="{96DA3082-E54F-44B6-A53A-EDAB8B3FA1EF}"/>
    <cellStyle name="Comma 4 2 3 2 3 2 2 4" xfId="15611" xr:uid="{D96AC4B8-F417-4A15-A29D-E71445A774F9}"/>
    <cellStyle name="Comma 4 2 3 2 3 2 3" xfId="19834" xr:uid="{4EED70A8-3A74-44F9-B2C9-B318B9B33D20}"/>
    <cellStyle name="Comma 4 2 3 2 3 2 4" xfId="28281" xr:uid="{535EBF6F-714D-4FAD-AD8A-AB2303D48D1D}"/>
    <cellStyle name="Comma 4 2 3 2 3 2 5" xfId="11393" xr:uid="{3DA3E4EF-D2ED-4528-825B-9B3AF3C92AA5}"/>
    <cellStyle name="Comma 4 2 3 2 3 3" xfId="5024" xr:uid="{00000000-0005-0000-0000-000078080000}"/>
    <cellStyle name="Comma 4 2 3 2 3 3 2" xfId="21907" xr:uid="{67749516-E137-4AE9-BFDE-157AE1EEB126}"/>
    <cellStyle name="Comma 4 2 3 2 3 3 3" xfId="30353" xr:uid="{5864406B-FBE8-4413-AD67-4494930D627C}"/>
    <cellStyle name="Comma 4 2 3 2 3 3 4" xfId="13466" xr:uid="{CF3C2C8F-3947-4C6B-9F2E-6A51FF405D33}"/>
    <cellStyle name="Comma 4 2 3 2 3 4" xfId="17689" xr:uid="{719EB6D2-1FBA-47FE-87DF-09CD259C9970}"/>
    <cellStyle name="Comma 4 2 3 2 3 5" xfId="26134" xr:uid="{78331753-A9FE-41FF-94B2-563782E8161E}"/>
    <cellStyle name="Comma 4 2 3 2 3 6" xfId="9248" xr:uid="{9611994F-8E2C-4E96-9331-706F8DD6045B}"/>
    <cellStyle name="Comma 4 2 3 2 4" xfId="1128" xr:uid="{00000000-0005-0000-0000-000079080000}"/>
    <cellStyle name="Comma 4 2 3 2 4 2" xfId="3359" xr:uid="{00000000-0005-0000-0000-00007A080000}"/>
    <cellStyle name="Comma 4 2 3 2 4 2 2" xfId="7582" xr:uid="{00000000-0005-0000-0000-00007B080000}"/>
    <cellStyle name="Comma 4 2 3 2 4 2 2 2" xfId="24465" xr:uid="{5BC4FEC1-0304-4AEB-AE39-C872ABE9AEBD}"/>
    <cellStyle name="Comma 4 2 3 2 4 2 2 3" xfId="32911" xr:uid="{C703F42D-36BB-4364-BA67-C268EB9ADAD6}"/>
    <cellStyle name="Comma 4 2 3 2 4 2 2 4" xfId="16024" xr:uid="{79DD333E-1E1B-443F-B8EA-DD3E44A6B25E}"/>
    <cellStyle name="Comma 4 2 3 2 4 2 3" xfId="20247" xr:uid="{2B2F263E-8E54-486A-B593-92D4AE206673}"/>
    <cellStyle name="Comma 4 2 3 2 4 2 4" xfId="28694" xr:uid="{7075E33E-30C1-4DBD-817B-2C4962B81B03}"/>
    <cellStyle name="Comma 4 2 3 2 4 2 5" xfId="11806" xr:uid="{0A6262EF-FCF7-4074-BDD0-21C74ACA369C}"/>
    <cellStyle name="Comma 4 2 3 2 4 3" xfId="5437" xr:uid="{00000000-0005-0000-0000-00007C080000}"/>
    <cellStyle name="Comma 4 2 3 2 4 3 2" xfId="22320" xr:uid="{D54E27D6-2926-4129-92B1-492D112DD63D}"/>
    <cellStyle name="Comma 4 2 3 2 4 3 3" xfId="30766" xr:uid="{322E5F43-10D4-42F1-BCE2-EBD8AE31CD31}"/>
    <cellStyle name="Comma 4 2 3 2 4 3 4" xfId="13879" xr:uid="{DC469B83-12DA-4426-888E-682AB5E15807}"/>
    <cellStyle name="Comma 4 2 3 2 4 4" xfId="18102" xr:uid="{D5EC530C-5725-47A4-A073-599EA132C181}"/>
    <cellStyle name="Comma 4 2 3 2 4 5" xfId="26547" xr:uid="{6994F1B6-E32D-44DF-A324-4A3054710D3D}"/>
    <cellStyle name="Comma 4 2 3 2 4 6" xfId="9661" xr:uid="{0CDD5E41-3AB2-4183-94ED-B7CBF5671304}"/>
    <cellStyle name="Comma 4 2 3 2 5" xfId="1542" xr:uid="{00000000-0005-0000-0000-00007D080000}"/>
    <cellStyle name="Comma 4 2 3 2 5 2" xfId="3772" xr:uid="{00000000-0005-0000-0000-00007E080000}"/>
    <cellStyle name="Comma 4 2 3 2 5 2 2" xfId="7995" xr:uid="{00000000-0005-0000-0000-00007F080000}"/>
    <cellStyle name="Comma 4 2 3 2 5 2 2 2" xfId="24878" xr:uid="{96BC20A4-6000-470C-9218-0E7E05F92AC4}"/>
    <cellStyle name="Comma 4 2 3 2 5 2 2 3" xfId="33324" xr:uid="{206BB36B-53C3-430D-82E1-9D3A686ED306}"/>
    <cellStyle name="Comma 4 2 3 2 5 2 2 4" xfId="16437" xr:uid="{2AE7BFF0-1F22-451B-ABA9-44D86B001474}"/>
    <cellStyle name="Comma 4 2 3 2 5 2 3" xfId="20660" xr:uid="{7FD57972-FAAC-4809-ABF4-4967999E79A8}"/>
    <cellStyle name="Comma 4 2 3 2 5 2 4" xfId="29107" xr:uid="{B4278E9F-9434-44DE-92DE-3FA8A65119D7}"/>
    <cellStyle name="Comma 4 2 3 2 5 2 5" xfId="12219" xr:uid="{53129697-1059-4CE3-B965-AD8E61162B30}"/>
    <cellStyle name="Comma 4 2 3 2 5 3" xfId="5850" xr:uid="{00000000-0005-0000-0000-000080080000}"/>
    <cellStyle name="Comma 4 2 3 2 5 3 2" xfId="22733" xr:uid="{4F8992F0-8675-465B-ABE1-1983C143BDE4}"/>
    <cellStyle name="Comma 4 2 3 2 5 3 3" xfId="31179" xr:uid="{C5B0410E-8D49-4569-997D-176816CDE47A}"/>
    <cellStyle name="Comma 4 2 3 2 5 3 4" xfId="14292" xr:uid="{0D67F63D-4627-470F-AD24-756276E4275A}"/>
    <cellStyle name="Comma 4 2 3 2 5 4" xfId="18515" xr:uid="{7D5D062C-CF62-47E3-AEEB-710901DB5C45}"/>
    <cellStyle name="Comma 4 2 3 2 5 5" xfId="26960" xr:uid="{0BF41C91-CF5D-4A94-96C7-C1C49292A6B7}"/>
    <cellStyle name="Comma 4 2 3 2 5 6" xfId="10074" xr:uid="{0969EB40-C23D-4752-9084-4270219AFF9D}"/>
    <cellStyle name="Comma 4 2 3 2 6" xfId="1956" xr:uid="{00000000-0005-0000-0000-000081080000}"/>
    <cellStyle name="Comma 4 2 3 2 6 2" xfId="4185" xr:uid="{00000000-0005-0000-0000-000082080000}"/>
    <cellStyle name="Comma 4 2 3 2 6 2 2" xfId="8408" xr:uid="{00000000-0005-0000-0000-000083080000}"/>
    <cellStyle name="Comma 4 2 3 2 6 2 2 2" xfId="25291" xr:uid="{477392D7-89F4-42D1-BC0F-AF90068E1FE0}"/>
    <cellStyle name="Comma 4 2 3 2 6 2 2 3" xfId="33737" xr:uid="{93673A5B-3AC6-4631-9427-8FABAFEC3AB6}"/>
    <cellStyle name="Comma 4 2 3 2 6 2 2 4" xfId="16850" xr:uid="{979BA394-7581-4B91-86EE-1A612DBDDDC4}"/>
    <cellStyle name="Comma 4 2 3 2 6 2 3" xfId="21073" xr:uid="{9FA8385A-7485-4F82-8A84-4706EB9D68B8}"/>
    <cellStyle name="Comma 4 2 3 2 6 2 4" xfId="29520" xr:uid="{9215F089-988D-41C9-9D0F-DEC67FA891E4}"/>
    <cellStyle name="Comma 4 2 3 2 6 2 5" xfId="12632" xr:uid="{F87F738A-DA8D-4DD9-9630-91252F7D398D}"/>
    <cellStyle name="Comma 4 2 3 2 6 3" xfId="6263" xr:uid="{00000000-0005-0000-0000-000084080000}"/>
    <cellStyle name="Comma 4 2 3 2 6 3 2" xfId="23146" xr:uid="{86FBB235-E7E1-42E1-8599-CF5304C70260}"/>
    <cellStyle name="Comma 4 2 3 2 6 3 3" xfId="31592" xr:uid="{18AD28E0-DEBA-40B9-BBCF-550243FD2F2D}"/>
    <cellStyle name="Comma 4 2 3 2 6 3 4" xfId="14705" xr:uid="{00B8C06E-4A94-4F4F-87CC-F93CE354F98C}"/>
    <cellStyle name="Comma 4 2 3 2 6 4" xfId="18928" xr:uid="{996CD84A-F664-4EE1-B8BB-0B66FF3E1B09}"/>
    <cellStyle name="Comma 4 2 3 2 6 5" xfId="27373" xr:uid="{5C3ED487-BA01-44B5-AA37-EC89785EBF0F}"/>
    <cellStyle name="Comma 4 2 3 2 6 6" xfId="10487" xr:uid="{9BD8F662-B2E6-4C76-A7CA-67049EC247C0}"/>
    <cellStyle name="Comma 4 2 3 2 7" xfId="2391" xr:uid="{00000000-0005-0000-0000-000085080000}"/>
    <cellStyle name="Comma 4 2 3 2 7 2" xfId="6676" xr:uid="{00000000-0005-0000-0000-000086080000}"/>
    <cellStyle name="Comma 4 2 3 2 7 2 2" xfId="23559" xr:uid="{26005853-F960-4033-90CB-46D1CC2B2AA5}"/>
    <cellStyle name="Comma 4 2 3 2 7 2 3" xfId="32005" xr:uid="{FAF16918-A1ED-4ED0-ADDE-07406771F6DB}"/>
    <cellStyle name="Comma 4 2 3 2 7 2 4" xfId="15118" xr:uid="{002A48F7-8878-45E7-8BCB-F11704130C1C}"/>
    <cellStyle name="Comma 4 2 3 2 7 3" xfId="19341" xr:uid="{D8837AF1-CB14-4691-83E2-2C1E01EC63DE}"/>
    <cellStyle name="Comma 4 2 3 2 7 4" xfId="27786" xr:uid="{6374BA12-E68E-488A-BE63-3EC5B5A27BD4}"/>
    <cellStyle name="Comma 4 2 3 2 7 5" xfId="10900" xr:uid="{FA89838D-CF10-4B05-81AC-7E7507B30951}"/>
    <cellStyle name="Comma 4 2 3 2 8" xfId="2372" xr:uid="{00000000-0005-0000-0000-000087080000}"/>
    <cellStyle name="Comma 4 2 3 2 9" xfId="2769" xr:uid="{00000000-0005-0000-0000-000088080000}"/>
    <cellStyle name="Comma 4 2 3 2 9 2" xfId="6993" xr:uid="{00000000-0005-0000-0000-000089080000}"/>
    <cellStyle name="Comma 4 2 3 2 9 2 2" xfId="23876" xr:uid="{A682FF59-A4AA-4C1E-9E64-94876A3A8BD5}"/>
    <cellStyle name="Comma 4 2 3 2 9 2 3" xfId="32322" xr:uid="{95FA4C7B-A1C3-4041-B22D-01C71A457C70}"/>
    <cellStyle name="Comma 4 2 3 2 9 2 4" xfId="15435" xr:uid="{24A29E19-08E8-48E9-AB0C-9CE5182EBEEF}"/>
    <cellStyle name="Comma 4 2 3 2 9 3" xfId="19658" xr:uid="{858205FD-BF05-48C4-AF35-EBC487C7A320}"/>
    <cellStyle name="Comma 4 2 3 2 9 4" xfId="28105" xr:uid="{7613E39C-E23F-48B8-8121-D0EA1730AABA}"/>
    <cellStyle name="Comma 4 2 3 2 9 5" xfId="11217" xr:uid="{CB4B2FD7-3DAF-4D8A-BD90-C9F7025C2A8B}"/>
    <cellStyle name="Comma 4 2 3 3" xfId="139" xr:uid="{00000000-0005-0000-0000-00008A080000}"/>
    <cellStyle name="Comma 4 2 3 3 10" xfId="17277" xr:uid="{2AC48ACA-A0FB-4F7A-AD44-6C47196C5231}"/>
    <cellStyle name="Comma 4 2 3 3 11" xfId="25720" xr:uid="{66AAFB2D-AD4D-4673-BBC3-B2C33B8EA7EC}"/>
    <cellStyle name="Comma 4 2 3 3 12" xfId="8836" xr:uid="{BB503E82-D32A-4962-972A-EE2630660DB6}"/>
    <cellStyle name="Comma 4 2 3 3 2" xfId="677" xr:uid="{00000000-0005-0000-0000-00008B080000}"/>
    <cellStyle name="Comma 4 2 3 3 2 2" xfId="2948" xr:uid="{00000000-0005-0000-0000-00008C080000}"/>
    <cellStyle name="Comma 4 2 3 3 2 2 2" xfId="7171" xr:uid="{00000000-0005-0000-0000-00008D080000}"/>
    <cellStyle name="Comma 4 2 3 3 2 2 2 2" xfId="24054" xr:uid="{CC63D841-F1C4-4F87-BC63-AE62DEAF5588}"/>
    <cellStyle name="Comma 4 2 3 3 2 2 2 3" xfId="32500" xr:uid="{987848A4-4D82-462E-BAD8-4C6D2BC5DC9F}"/>
    <cellStyle name="Comma 4 2 3 3 2 2 2 4" xfId="15613" xr:uid="{F9F91FCC-F92F-40BB-B195-AB80EC84F593}"/>
    <cellStyle name="Comma 4 2 3 3 2 2 3" xfId="19836" xr:uid="{CEB8BF7F-BB57-49D8-8454-9E76D027FD73}"/>
    <cellStyle name="Comma 4 2 3 3 2 2 4" xfId="28283" xr:uid="{BC62B27C-6CFE-46FE-9562-5B118EF04AA9}"/>
    <cellStyle name="Comma 4 2 3 3 2 2 5" xfId="11395" xr:uid="{FE8A18E9-A8CF-4DA3-892B-A14EA8DDA558}"/>
    <cellStyle name="Comma 4 2 3 3 2 3" xfId="5026" xr:uid="{00000000-0005-0000-0000-00008E080000}"/>
    <cellStyle name="Comma 4 2 3 3 2 3 2" xfId="21909" xr:uid="{BC43CFD2-B6C8-4FA7-B1C7-EB5A5EBC9874}"/>
    <cellStyle name="Comma 4 2 3 3 2 3 3" xfId="30355" xr:uid="{1613630B-E5D9-4669-9159-85306BD666F4}"/>
    <cellStyle name="Comma 4 2 3 3 2 3 4" xfId="13468" xr:uid="{0C799EBD-D117-4454-91A6-A1AB2C3FFEF6}"/>
    <cellStyle name="Comma 4 2 3 3 2 4" xfId="17691" xr:uid="{173547F5-D68B-413D-859E-4EA268AA0BF9}"/>
    <cellStyle name="Comma 4 2 3 3 2 5" xfId="26136" xr:uid="{5DD3F53F-E586-4376-95B6-5BBCFD860F3D}"/>
    <cellStyle name="Comma 4 2 3 3 2 6" xfId="9250" xr:uid="{BEA1DD5C-38FC-4F1A-9624-0363309B7682}"/>
    <cellStyle name="Comma 4 2 3 3 3" xfId="1130" xr:uid="{00000000-0005-0000-0000-00008F080000}"/>
    <cellStyle name="Comma 4 2 3 3 3 2" xfId="3361" xr:uid="{00000000-0005-0000-0000-000090080000}"/>
    <cellStyle name="Comma 4 2 3 3 3 2 2" xfId="7584" xr:uid="{00000000-0005-0000-0000-000091080000}"/>
    <cellStyle name="Comma 4 2 3 3 3 2 2 2" xfId="24467" xr:uid="{598DD881-561C-4258-A51E-75F6070C974E}"/>
    <cellStyle name="Comma 4 2 3 3 3 2 2 3" xfId="32913" xr:uid="{8F8B085D-0207-4E49-BE25-D38CD3A376D8}"/>
    <cellStyle name="Comma 4 2 3 3 3 2 2 4" xfId="16026" xr:uid="{04C77B61-951A-455D-8BA8-C4BBB8E74BB1}"/>
    <cellStyle name="Comma 4 2 3 3 3 2 3" xfId="20249" xr:uid="{CCCABC0D-ED52-47E8-9880-A21E5F09EB7D}"/>
    <cellStyle name="Comma 4 2 3 3 3 2 4" xfId="28696" xr:uid="{28FEEA0B-6F8D-47F1-A2C7-D9517C080C02}"/>
    <cellStyle name="Comma 4 2 3 3 3 2 5" xfId="11808" xr:uid="{2ED393A8-1E50-418F-96CA-626614EF2C12}"/>
    <cellStyle name="Comma 4 2 3 3 3 3" xfId="5439" xr:uid="{00000000-0005-0000-0000-000092080000}"/>
    <cellStyle name="Comma 4 2 3 3 3 3 2" xfId="22322" xr:uid="{21C3F513-835C-477C-AE0B-D30CF9A3BAE7}"/>
    <cellStyle name="Comma 4 2 3 3 3 3 3" xfId="30768" xr:uid="{84260965-5570-4C38-93BA-35BBF256E2B2}"/>
    <cellStyle name="Comma 4 2 3 3 3 3 4" xfId="13881" xr:uid="{AF71A56D-71F3-400A-94A7-A3AF417F4D66}"/>
    <cellStyle name="Comma 4 2 3 3 3 4" xfId="18104" xr:uid="{B7E47198-602F-4C2A-B27C-BF4E63E9C116}"/>
    <cellStyle name="Comma 4 2 3 3 3 5" xfId="26549" xr:uid="{4E90DB63-E4FE-464B-A019-879497D4F667}"/>
    <cellStyle name="Comma 4 2 3 3 3 6" xfId="9663" xr:uid="{701D91FF-E5FB-44E7-B618-0CD0CA37932F}"/>
    <cellStyle name="Comma 4 2 3 3 4" xfId="1544" xr:uid="{00000000-0005-0000-0000-000093080000}"/>
    <cellStyle name="Comma 4 2 3 3 4 2" xfId="3774" xr:uid="{00000000-0005-0000-0000-000094080000}"/>
    <cellStyle name="Comma 4 2 3 3 4 2 2" xfId="7997" xr:uid="{00000000-0005-0000-0000-000095080000}"/>
    <cellStyle name="Comma 4 2 3 3 4 2 2 2" xfId="24880" xr:uid="{BB99EB82-2490-4520-9C2D-51756896CDD2}"/>
    <cellStyle name="Comma 4 2 3 3 4 2 2 3" xfId="33326" xr:uid="{76572B2C-6DD4-4F36-9864-DC2FFE2B0BD1}"/>
    <cellStyle name="Comma 4 2 3 3 4 2 2 4" xfId="16439" xr:uid="{69D70CDA-C97A-4E21-BA50-9F858AED2BCC}"/>
    <cellStyle name="Comma 4 2 3 3 4 2 3" xfId="20662" xr:uid="{B42486FB-4CCE-4810-ABD0-A431DE03F1D6}"/>
    <cellStyle name="Comma 4 2 3 3 4 2 4" xfId="29109" xr:uid="{7F7240E6-AA04-40F8-9BBF-D4512E63265F}"/>
    <cellStyle name="Comma 4 2 3 3 4 2 5" xfId="12221" xr:uid="{D2DA5896-C29B-41BA-B018-5C6008BA857F}"/>
    <cellStyle name="Comma 4 2 3 3 4 3" xfId="5852" xr:uid="{00000000-0005-0000-0000-000096080000}"/>
    <cellStyle name="Comma 4 2 3 3 4 3 2" xfId="22735" xr:uid="{98A09E5C-4BAA-4005-B591-B41E47E9ED24}"/>
    <cellStyle name="Comma 4 2 3 3 4 3 3" xfId="31181" xr:uid="{4952EE54-1365-4CE7-BFCB-DB048C74237E}"/>
    <cellStyle name="Comma 4 2 3 3 4 3 4" xfId="14294" xr:uid="{B2EADD1E-63FD-46D6-8546-8469EAFEE25D}"/>
    <cellStyle name="Comma 4 2 3 3 4 4" xfId="18517" xr:uid="{69A4B58E-97C3-4D63-A75E-E2015FF62E1A}"/>
    <cellStyle name="Comma 4 2 3 3 4 5" xfId="26962" xr:uid="{D2632267-6234-4BAF-BE80-8FE63CE33F41}"/>
    <cellStyle name="Comma 4 2 3 3 4 6" xfId="10076" xr:uid="{6D00C831-D2C0-4D74-A83D-F78F4DC2352D}"/>
    <cellStyle name="Comma 4 2 3 3 5" xfId="1958" xr:uid="{00000000-0005-0000-0000-000097080000}"/>
    <cellStyle name="Comma 4 2 3 3 5 2" xfId="4187" xr:uid="{00000000-0005-0000-0000-000098080000}"/>
    <cellStyle name="Comma 4 2 3 3 5 2 2" xfId="8410" xr:uid="{00000000-0005-0000-0000-000099080000}"/>
    <cellStyle name="Comma 4 2 3 3 5 2 2 2" xfId="25293" xr:uid="{6976AC3B-9AD7-411C-BFCB-18F4708C57E8}"/>
    <cellStyle name="Comma 4 2 3 3 5 2 2 3" xfId="33739" xr:uid="{3FD1E11F-46C5-437F-9327-395EE72141C2}"/>
    <cellStyle name="Comma 4 2 3 3 5 2 2 4" xfId="16852" xr:uid="{8CD249A5-08D7-4914-9035-A32A471F92D5}"/>
    <cellStyle name="Comma 4 2 3 3 5 2 3" xfId="21075" xr:uid="{E361F2CC-6E63-4ADE-993B-3D2DDDE66E02}"/>
    <cellStyle name="Comma 4 2 3 3 5 2 4" xfId="29522" xr:uid="{E2714BBE-AC8D-49F7-8765-6D97C235C6F5}"/>
    <cellStyle name="Comma 4 2 3 3 5 2 5" xfId="12634" xr:uid="{5E004F25-162A-47FF-B38E-C42D948D9B5C}"/>
    <cellStyle name="Comma 4 2 3 3 5 3" xfId="6265" xr:uid="{00000000-0005-0000-0000-00009A080000}"/>
    <cellStyle name="Comma 4 2 3 3 5 3 2" xfId="23148" xr:uid="{E9BA6D6D-985B-4A80-AC6D-3ED47F5132E5}"/>
    <cellStyle name="Comma 4 2 3 3 5 3 3" xfId="31594" xr:uid="{5BA97651-9B8E-46B3-94D1-743B71C43E2F}"/>
    <cellStyle name="Comma 4 2 3 3 5 3 4" xfId="14707" xr:uid="{32810B0E-6BE9-4D1A-AC19-62CB6CA485E1}"/>
    <cellStyle name="Comma 4 2 3 3 5 4" xfId="18930" xr:uid="{B8ADC3D4-539B-4DDC-BF2D-8EAD6E20642E}"/>
    <cellStyle name="Comma 4 2 3 3 5 5" xfId="27375" xr:uid="{546E56E1-FA55-4C68-AE36-7F1DD5B1EA4F}"/>
    <cellStyle name="Comma 4 2 3 3 5 6" xfId="10489" xr:uid="{DCC6D6A3-64F5-4CDA-A438-CB3EDD22A339}"/>
    <cellStyle name="Comma 4 2 3 3 6" xfId="2393" xr:uid="{00000000-0005-0000-0000-00009B080000}"/>
    <cellStyle name="Comma 4 2 3 3 6 2" xfId="6678" xr:uid="{00000000-0005-0000-0000-00009C080000}"/>
    <cellStyle name="Comma 4 2 3 3 6 2 2" xfId="23561" xr:uid="{0F5DE5B9-56BA-4403-B622-B0D57D5E95B4}"/>
    <cellStyle name="Comma 4 2 3 3 6 2 3" xfId="32007" xr:uid="{4365BA24-116B-499C-BE9D-03C8DDDD6815}"/>
    <cellStyle name="Comma 4 2 3 3 6 2 4" xfId="15120" xr:uid="{73CE49F3-F48D-40D4-845B-181F05F62281}"/>
    <cellStyle name="Comma 4 2 3 3 6 3" xfId="19343" xr:uid="{20CF07B8-A72B-45C7-A086-04C2A3ED6BC3}"/>
    <cellStyle name="Comma 4 2 3 3 6 4" xfId="27788" xr:uid="{8AFD79AD-59FF-44D9-9A5F-12996750E6BD}"/>
    <cellStyle name="Comma 4 2 3 3 6 5" xfId="10902" xr:uid="{BA298B4D-5F07-43EC-81D3-74463BF69DFD}"/>
    <cellStyle name="Comma 4 2 3 3 7" xfId="2370" xr:uid="{00000000-0005-0000-0000-00009D080000}"/>
    <cellStyle name="Comma 4 2 3 3 8" xfId="2771" xr:uid="{00000000-0005-0000-0000-00009E080000}"/>
    <cellStyle name="Comma 4 2 3 3 8 2" xfId="6995" xr:uid="{00000000-0005-0000-0000-00009F080000}"/>
    <cellStyle name="Comma 4 2 3 3 8 2 2" xfId="23878" xr:uid="{BFD25B1F-2FA1-4E92-8BA2-2ABBB824BD34}"/>
    <cellStyle name="Comma 4 2 3 3 8 2 3" xfId="32324" xr:uid="{1501AB56-BFB6-44A3-A9FC-C2AB463BC398}"/>
    <cellStyle name="Comma 4 2 3 3 8 2 4" xfId="15437" xr:uid="{0369AB6F-D010-43C3-B5F4-3132EB7633D2}"/>
    <cellStyle name="Comma 4 2 3 3 8 3" xfId="19660" xr:uid="{6E8D0237-1AC6-41A5-ADF3-A7EBC4513865}"/>
    <cellStyle name="Comma 4 2 3 3 8 4" xfId="28107" xr:uid="{61AC2503-C271-428D-8328-265801AE8920}"/>
    <cellStyle name="Comma 4 2 3 3 8 5" xfId="11219" xr:uid="{544EAA7C-596D-4EC9-9203-DAAE3EEF57CB}"/>
    <cellStyle name="Comma 4 2 3 3 9" xfId="4612" xr:uid="{00000000-0005-0000-0000-0000A0080000}"/>
    <cellStyle name="Comma 4 2 3 3 9 2" xfId="21495" xr:uid="{2AFB1129-707A-430D-BD91-AA1EB65DB60A}"/>
    <cellStyle name="Comma 4 2 3 3 9 3" xfId="29941" xr:uid="{B221519B-7AF8-4FE3-830C-8003A22D5FA9}"/>
    <cellStyle name="Comma 4 2 3 3 9 4" xfId="13054" xr:uid="{9357D065-8EE9-4DD6-8507-9B89515CC019}"/>
    <cellStyle name="Comma 4 2 3 4" xfId="674" xr:uid="{00000000-0005-0000-0000-0000A1080000}"/>
    <cellStyle name="Comma 4 2 3 4 2" xfId="2945" xr:uid="{00000000-0005-0000-0000-0000A2080000}"/>
    <cellStyle name="Comma 4 2 3 4 2 2" xfId="7168" xr:uid="{00000000-0005-0000-0000-0000A3080000}"/>
    <cellStyle name="Comma 4 2 3 4 2 2 2" xfId="24051" xr:uid="{FEBCB38F-E73F-4AB8-97F6-6F4568D927A2}"/>
    <cellStyle name="Comma 4 2 3 4 2 2 3" xfId="32497" xr:uid="{5172159F-ED42-44F7-85D0-59F2C4A3A58C}"/>
    <cellStyle name="Comma 4 2 3 4 2 2 4" xfId="15610" xr:uid="{585D19D9-322D-4A1B-A4AB-A96456367FE2}"/>
    <cellStyle name="Comma 4 2 3 4 2 3" xfId="19833" xr:uid="{AB639D96-5CB9-464E-9EE4-1CBE62C9DDFB}"/>
    <cellStyle name="Comma 4 2 3 4 2 4" xfId="28280" xr:uid="{91C7C576-9E65-499B-ADBB-487286A2CAFD}"/>
    <cellStyle name="Comma 4 2 3 4 2 5" xfId="11392" xr:uid="{8DD14D0A-E7E7-4925-88B3-6BC49121C704}"/>
    <cellStyle name="Comma 4 2 3 4 3" xfId="5023" xr:uid="{00000000-0005-0000-0000-0000A4080000}"/>
    <cellStyle name="Comma 4 2 3 4 3 2" xfId="21906" xr:uid="{B0B4D661-3750-4EEE-871D-74A99CF1267A}"/>
    <cellStyle name="Comma 4 2 3 4 3 3" xfId="30352" xr:uid="{01451C1E-5C99-423E-B97C-656A5B11E690}"/>
    <cellStyle name="Comma 4 2 3 4 3 4" xfId="13465" xr:uid="{55D0BD1A-E3E6-45F7-BE3B-0FB280EFB062}"/>
    <cellStyle name="Comma 4 2 3 4 4" xfId="17688" xr:uid="{E328488C-0D2A-48AB-B34A-B946AFFFC2F9}"/>
    <cellStyle name="Comma 4 2 3 4 5" xfId="26133" xr:uid="{211370F9-546A-4B71-B74A-A8A6A6C0EE7C}"/>
    <cellStyle name="Comma 4 2 3 4 6" xfId="9247" xr:uid="{B29D833F-3D81-4D19-A7D7-45F134E37131}"/>
    <cellStyle name="Comma 4 2 3 5" xfId="1127" xr:uid="{00000000-0005-0000-0000-0000A5080000}"/>
    <cellStyle name="Comma 4 2 3 5 2" xfId="3358" xr:uid="{00000000-0005-0000-0000-0000A6080000}"/>
    <cellStyle name="Comma 4 2 3 5 2 2" xfId="7581" xr:uid="{00000000-0005-0000-0000-0000A7080000}"/>
    <cellStyle name="Comma 4 2 3 5 2 2 2" xfId="24464" xr:uid="{157795EC-1EB9-43BA-B3AE-FD75299D7FD8}"/>
    <cellStyle name="Comma 4 2 3 5 2 2 3" xfId="32910" xr:uid="{6BAB2855-072A-41B6-9740-DA4030AF1F2E}"/>
    <cellStyle name="Comma 4 2 3 5 2 2 4" xfId="16023" xr:uid="{4CF58ADE-558D-4702-8E3B-808C77D07043}"/>
    <cellStyle name="Comma 4 2 3 5 2 3" xfId="20246" xr:uid="{4F18AD84-F1B5-4A66-A5FF-B909F13FEF8C}"/>
    <cellStyle name="Comma 4 2 3 5 2 4" xfId="28693" xr:uid="{384D2335-4AF8-4F01-A7DC-B8D063E7461F}"/>
    <cellStyle name="Comma 4 2 3 5 2 5" xfId="11805" xr:uid="{7956FAE5-E9D0-481E-9BE6-EF39ECBC5D33}"/>
    <cellStyle name="Comma 4 2 3 5 3" xfId="5436" xr:uid="{00000000-0005-0000-0000-0000A8080000}"/>
    <cellStyle name="Comma 4 2 3 5 3 2" xfId="22319" xr:uid="{1A1216A1-C070-4538-B77B-DA9E8FE1166D}"/>
    <cellStyle name="Comma 4 2 3 5 3 3" xfId="30765" xr:uid="{6A8B734E-609A-4FC0-A7F3-66BC351375D7}"/>
    <cellStyle name="Comma 4 2 3 5 3 4" xfId="13878" xr:uid="{91559252-9299-476C-81A5-0898AA747505}"/>
    <cellStyle name="Comma 4 2 3 5 4" xfId="18101" xr:uid="{D2BE1594-C2BA-488D-B791-C2B44DDE5B1F}"/>
    <cellStyle name="Comma 4 2 3 5 5" xfId="26546" xr:uid="{A6C87E45-A9B0-4476-BED5-73CE2B14A610}"/>
    <cellStyle name="Comma 4 2 3 5 6" xfId="9660" xr:uid="{E2F1FDB0-A2D5-41F2-9775-989E563EEA32}"/>
    <cellStyle name="Comma 4 2 3 6" xfId="1541" xr:uid="{00000000-0005-0000-0000-0000A9080000}"/>
    <cellStyle name="Comma 4 2 3 6 2" xfId="3771" xr:uid="{00000000-0005-0000-0000-0000AA080000}"/>
    <cellStyle name="Comma 4 2 3 6 2 2" xfId="7994" xr:uid="{00000000-0005-0000-0000-0000AB080000}"/>
    <cellStyle name="Comma 4 2 3 6 2 2 2" xfId="24877" xr:uid="{205EFA81-583C-4922-9667-0828E8CF9EC5}"/>
    <cellStyle name="Comma 4 2 3 6 2 2 3" xfId="33323" xr:uid="{F69E9A07-B86D-469C-8150-6F526AFC50F0}"/>
    <cellStyle name="Comma 4 2 3 6 2 2 4" xfId="16436" xr:uid="{17ABF0F9-69B1-4D7A-A93F-C7F7AF437CF1}"/>
    <cellStyle name="Comma 4 2 3 6 2 3" xfId="20659" xr:uid="{A93B56F5-FB53-47F1-B336-81645C1A651D}"/>
    <cellStyle name="Comma 4 2 3 6 2 4" xfId="29106" xr:uid="{5E1B7A00-852E-4C20-925D-442FB258ABD7}"/>
    <cellStyle name="Comma 4 2 3 6 2 5" xfId="12218" xr:uid="{9FD5F6E5-D74C-4D0E-A90A-3D6DC602DC61}"/>
    <cellStyle name="Comma 4 2 3 6 3" xfId="5849" xr:uid="{00000000-0005-0000-0000-0000AC080000}"/>
    <cellStyle name="Comma 4 2 3 6 3 2" xfId="22732" xr:uid="{30876A06-7288-4391-81C5-894A256E0768}"/>
    <cellStyle name="Comma 4 2 3 6 3 3" xfId="31178" xr:uid="{4C148610-1E0F-4D40-853F-AA9480C5B75F}"/>
    <cellStyle name="Comma 4 2 3 6 3 4" xfId="14291" xr:uid="{8F0A8AD3-C562-4190-A3C8-2F3959F81787}"/>
    <cellStyle name="Comma 4 2 3 6 4" xfId="18514" xr:uid="{0AEAF3BA-6E04-4372-9935-9ED11344E600}"/>
    <cellStyle name="Comma 4 2 3 6 5" xfId="26959" xr:uid="{8C2E45F8-7E32-45CE-BC5C-19915AA35D58}"/>
    <cellStyle name="Comma 4 2 3 6 6" xfId="10073" xr:uid="{3769721E-27AC-4981-9EDD-6D339BF7F40A}"/>
    <cellStyle name="Comma 4 2 3 7" xfId="1955" xr:uid="{00000000-0005-0000-0000-0000AD080000}"/>
    <cellStyle name="Comma 4 2 3 7 2" xfId="4184" xr:uid="{00000000-0005-0000-0000-0000AE080000}"/>
    <cellStyle name="Comma 4 2 3 7 2 2" xfId="8407" xr:uid="{00000000-0005-0000-0000-0000AF080000}"/>
    <cellStyle name="Comma 4 2 3 7 2 2 2" xfId="25290" xr:uid="{D000627D-88BD-46E3-B1E5-E81CA7294309}"/>
    <cellStyle name="Comma 4 2 3 7 2 2 3" xfId="33736" xr:uid="{B0072BAA-A2C9-4647-B8D6-ED9803FD46EE}"/>
    <cellStyle name="Comma 4 2 3 7 2 2 4" xfId="16849" xr:uid="{4F0E4720-DB46-4F38-AE9F-D0DD12C3C412}"/>
    <cellStyle name="Comma 4 2 3 7 2 3" xfId="21072" xr:uid="{A9B20BDC-B883-4330-8BE8-5AF3AD728333}"/>
    <cellStyle name="Comma 4 2 3 7 2 4" xfId="29519" xr:uid="{E4F20D7F-678B-438E-BF90-C6BB9E45F6B6}"/>
    <cellStyle name="Comma 4 2 3 7 2 5" xfId="12631" xr:uid="{9CB1A3AE-1076-42F2-B637-C5C36133A114}"/>
    <cellStyle name="Comma 4 2 3 7 3" xfId="6262" xr:uid="{00000000-0005-0000-0000-0000B0080000}"/>
    <cellStyle name="Comma 4 2 3 7 3 2" xfId="23145" xr:uid="{4462D069-60BA-4E43-A23D-B0DB3D23C1DC}"/>
    <cellStyle name="Comma 4 2 3 7 3 3" xfId="31591" xr:uid="{43285B85-97A2-49D2-B533-8B4BCA686D3A}"/>
    <cellStyle name="Comma 4 2 3 7 3 4" xfId="14704" xr:uid="{191C0091-32D3-4126-A169-533F0386E104}"/>
    <cellStyle name="Comma 4 2 3 7 4" xfId="18927" xr:uid="{17C856EF-D285-426C-9384-74036EE2BB4A}"/>
    <cellStyle name="Comma 4 2 3 7 5" xfId="27372" xr:uid="{EE4584CE-B148-44FF-882B-46D12DABEEAC}"/>
    <cellStyle name="Comma 4 2 3 7 6" xfId="10486" xr:uid="{67F4997D-3DCD-4E95-A1B0-75FC0CBC764A}"/>
    <cellStyle name="Comma 4 2 3 8" xfId="2390" xr:uid="{00000000-0005-0000-0000-0000B1080000}"/>
    <cellStyle name="Comma 4 2 3 8 2" xfId="6675" xr:uid="{00000000-0005-0000-0000-0000B2080000}"/>
    <cellStyle name="Comma 4 2 3 8 2 2" xfId="23558" xr:uid="{4FEE06A4-D97A-4845-99CF-98B1BE15C875}"/>
    <cellStyle name="Comma 4 2 3 8 2 3" xfId="32004" xr:uid="{BF9FC99F-2922-4E4A-A79D-CA192AF8EC4E}"/>
    <cellStyle name="Comma 4 2 3 8 2 4" xfId="15117" xr:uid="{F0953829-0AC1-4A06-995F-736A303FCB02}"/>
    <cellStyle name="Comma 4 2 3 8 3" xfId="19340" xr:uid="{BBBCB5BF-2707-48D3-B291-1C6133C542F4}"/>
    <cellStyle name="Comma 4 2 3 8 4" xfId="27785" xr:uid="{95C9D819-78CB-474E-A02C-8BDAFA05FC63}"/>
    <cellStyle name="Comma 4 2 3 8 5" xfId="10899" xr:uid="{580CDF81-99F3-43C2-BFC0-BF3797B595F4}"/>
    <cellStyle name="Comma 4 2 3 9" xfId="2373" xr:uid="{00000000-0005-0000-0000-0000B3080000}"/>
    <cellStyle name="Comma 4 2 4" xfId="140" xr:uid="{00000000-0005-0000-0000-0000B4080000}"/>
    <cellStyle name="Comma 4 2 4 10" xfId="4613" xr:uid="{00000000-0005-0000-0000-0000B5080000}"/>
    <cellStyle name="Comma 4 2 4 10 2" xfId="21496" xr:uid="{4C59DEE8-2005-4B9C-A791-D76918B5544D}"/>
    <cellStyle name="Comma 4 2 4 10 3" xfId="29942" xr:uid="{171D3D3C-F6CD-4036-AAD1-433A16C056FB}"/>
    <cellStyle name="Comma 4 2 4 10 4" xfId="13055" xr:uid="{8E0F19E6-8CB1-4782-B7B7-72795C030AF6}"/>
    <cellStyle name="Comma 4 2 4 11" xfId="17278" xr:uid="{9E6DD772-45DA-4C78-9808-18F545A8068C}"/>
    <cellStyle name="Comma 4 2 4 12" xfId="25721" xr:uid="{4D0FCC67-38BA-43D5-ABED-81398A83CB9D}"/>
    <cellStyle name="Comma 4 2 4 13" xfId="8837" xr:uid="{17234008-5E95-471E-A7DC-C4A7FB1ED097}"/>
    <cellStyle name="Comma 4 2 4 2" xfId="141" xr:uid="{00000000-0005-0000-0000-0000B6080000}"/>
    <cellStyle name="Comma 4 2 4 2 10" xfId="17279" xr:uid="{E83F7874-B838-4101-925F-405820606495}"/>
    <cellStyle name="Comma 4 2 4 2 11" xfId="25722" xr:uid="{1A452201-4FA0-47B2-A113-78C92EBED5C4}"/>
    <cellStyle name="Comma 4 2 4 2 12" xfId="8838" xr:uid="{6D844B72-1274-4B3C-8127-DA9AFA54C713}"/>
    <cellStyle name="Comma 4 2 4 2 2" xfId="679" xr:uid="{00000000-0005-0000-0000-0000B7080000}"/>
    <cellStyle name="Comma 4 2 4 2 2 2" xfId="2950" xr:uid="{00000000-0005-0000-0000-0000B8080000}"/>
    <cellStyle name="Comma 4 2 4 2 2 2 2" xfId="7173" xr:uid="{00000000-0005-0000-0000-0000B9080000}"/>
    <cellStyle name="Comma 4 2 4 2 2 2 2 2" xfId="24056" xr:uid="{2B111301-489D-42C8-89E8-966F6D1E0B73}"/>
    <cellStyle name="Comma 4 2 4 2 2 2 2 3" xfId="32502" xr:uid="{6037A883-E386-4547-952C-4C378350A512}"/>
    <cellStyle name="Comma 4 2 4 2 2 2 2 4" xfId="15615" xr:uid="{E6CA3ED0-468D-4440-9962-2D5BD721C681}"/>
    <cellStyle name="Comma 4 2 4 2 2 2 3" xfId="19838" xr:uid="{B6F54CC1-F917-485F-A138-04233A08D76D}"/>
    <cellStyle name="Comma 4 2 4 2 2 2 4" xfId="28285" xr:uid="{31311E56-0B6B-4098-87AC-09516390EF02}"/>
    <cellStyle name="Comma 4 2 4 2 2 2 5" xfId="11397" xr:uid="{4E548401-2825-4C87-B456-A05A55AA3936}"/>
    <cellStyle name="Comma 4 2 4 2 2 3" xfId="5028" xr:uid="{00000000-0005-0000-0000-0000BA080000}"/>
    <cellStyle name="Comma 4 2 4 2 2 3 2" xfId="21911" xr:uid="{356D2566-0EF7-4458-8976-51CEBBC21FF0}"/>
    <cellStyle name="Comma 4 2 4 2 2 3 3" xfId="30357" xr:uid="{18C23E10-EF62-4D61-982A-A815497242C0}"/>
    <cellStyle name="Comma 4 2 4 2 2 3 4" xfId="13470" xr:uid="{F20FB0D1-48B0-45F3-B21A-F97A45AE5E62}"/>
    <cellStyle name="Comma 4 2 4 2 2 4" xfId="17693" xr:uid="{41CC2397-0E49-4214-8D9A-7EA1A6E7D32B}"/>
    <cellStyle name="Comma 4 2 4 2 2 5" xfId="26138" xr:uid="{C4EBA944-2F31-4F38-A814-7B3649AD2342}"/>
    <cellStyle name="Comma 4 2 4 2 2 6" xfId="9252" xr:uid="{FFF98CAE-6077-495F-A043-BDA20B32616F}"/>
    <cellStyle name="Comma 4 2 4 2 3" xfId="1132" xr:uid="{00000000-0005-0000-0000-0000BB080000}"/>
    <cellStyle name="Comma 4 2 4 2 3 2" xfId="3363" xr:uid="{00000000-0005-0000-0000-0000BC080000}"/>
    <cellStyle name="Comma 4 2 4 2 3 2 2" xfId="7586" xr:uid="{00000000-0005-0000-0000-0000BD080000}"/>
    <cellStyle name="Comma 4 2 4 2 3 2 2 2" xfId="24469" xr:uid="{119C0B58-B4EF-4F53-9C2C-CE906F2D3B5D}"/>
    <cellStyle name="Comma 4 2 4 2 3 2 2 3" xfId="32915" xr:uid="{AD6590E1-CDAA-4624-B716-70BD7CF04B68}"/>
    <cellStyle name="Comma 4 2 4 2 3 2 2 4" xfId="16028" xr:uid="{D0678267-B0DC-4B7C-A050-DF225920BEF7}"/>
    <cellStyle name="Comma 4 2 4 2 3 2 3" xfId="20251" xr:uid="{B20BEC7D-AAF7-4E24-AEE5-B6702C5BF865}"/>
    <cellStyle name="Comma 4 2 4 2 3 2 4" xfId="28698" xr:uid="{145B0DEF-4E5D-444B-9DD6-87F26AD49A98}"/>
    <cellStyle name="Comma 4 2 4 2 3 2 5" xfId="11810" xr:uid="{BD62E9CA-2D6E-4D13-88BA-6B3BADEAFB6F}"/>
    <cellStyle name="Comma 4 2 4 2 3 3" xfId="5441" xr:uid="{00000000-0005-0000-0000-0000BE080000}"/>
    <cellStyle name="Comma 4 2 4 2 3 3 2" xfId="22324" xr:uid="{71979FAB-47D4-4711-9486-C5EA660ACC69}"/>
    <cellStyle name="Comma 4 2 4 2 3 3 3" xfId="30770" xr:uid="{AB8AC98F-4F23-44D2-8609-DF6ED6B66AF3}"/>
    <cellStyle name="Comma 4 2 4 2 3 3 4" xfId="13883" xr:uid="{4CD7C590-E7ED-405D-BB8D-99B01493FC21}"/>
    <cellStyle name="Comma 4 2 4 2 3 4" xfId="18106" xr:uid="{68EE1CA2-E7FF-418B-B57E-7733B6973E97}"/>
    <cellStyle name="Comma 4 2 4 2 3 5" xfId="26551" xr:uid="{87D86BA0-3929-413A-A20F-FDE1DC0F4175}"/>
    <cellStyle name="Comma 4 2 4 2 3 6" xfId="9665" xr:uid="{B0942208-5DC9-4C8B-BAB3-AF5D11D96CAF}"/>
    <cellStyle name="Comma 4 2 4 2 4" xfId="1546" xr:uid="{00000000-0005-0000-0000-0000BF080000}"/>
    <cellStyle name="Comma 4 2 4 2 4 2" xfId="3776" xr:uid="{00000000-0005-0000-0000-0000C0080000}"/>
    <cellStyle name="Comma 4 2 4 2 4 2 2" xfId="7999" xr:uid="{00000000-0005-0000-0000-0000C1080000}"/>
    <cellStyle name="Comma 4 2 4 2 4 2 2 2" xfId="24882" xr:uid="{82646598-C219-417A-B2DD-4DBBEB4603D1}"/>
    <cellStyle name="Comma 4 2 4 2 4 2 2 3" xfId="33328" xr:uid="{248C799A-3C66-4923-9C3F-042DB333FBDB}"/>
    <cellStyle name="Comma 4 2 4 2 4 2 2 4" xfId="16441" xr:uid="{B580E749-99AD-4EF9-81F4-4E81D0E79573}"/>
    <cellStyle name="Comma 4 2 4 2 4 2 3" xfId="20664" xr:uid="{411ADAA7-5401-478E-A879-A0319DBDCE33}"/>
    <cellStyle name="Comma 4 2 4 2 4 2 4" xfId="29111" xr:uid="{4B610B2A-3AA0-4C47-86A3-D5D2FAC83842}"/>
    <cellStyle name="Comma 4 2 4 2 4 2 5" xfId="12223" xr:uid="{6855B858-B365-4CE8-88CD-7E970E6B0EFE}"/>
    <cellStyle name="Comma 4 2 4 2 4 3" xfId="5854" xr:uid="{00000000-0005-0000-0000-0000C2080000}"/>
    <cellStyle name="Comma 4 2 4 2 4 3 2" xfId="22737" xr:uid="{36CA3D6C-D909-4C47-A895-4BBDA330D5E8}"/>
    <cellStyle name="Comma 4 2 4 2 4 3 3" xfId="31183" xr:uid="{12E37605-6594-4F16-B345-12CD3DFBCD8F}"/>
    <cellStyle name="Comma 4 2 4 2 4 3 4" xfId="14296" xr:uid="{A03564BF-DBC5-4985-BA05-AD5850309D52}"/>
    <cellStyle name="Comma 4 2 4 2 4 4" xfId="18519" xr:uid="{84DEB301-158F-43F4-BACF-A329E953E3D3}"/>
    <cellStyle name="Comma 4 2 4 2 4 5" xfId="26964" xr:uid="{12234DC1-1E9A-4D33-AE68-C5A9B1A00B5F}"/>
    <cellStyle name="Comma 4 2 4 2 4 6" xfId="10078" xr:uid="{6BFDE5FE-16F1-4DD2-BFDF-DD45D57B028D}"/>
    <cellStyle name="Comma 4 2 4 2 5" xfId="1960" xr:uid="{00000000-0005-0000-0000-0000C3080000}"/>
    <cellStyle name="Comma 4 2 4 2 5 2" xfId="4189" xr:uid="{00000000-0005-0000-0000-0000C4080000}"/>
    <cellStyle name="Comma 4 2 4 2 5 2 2" xfId="8412" xr:uid="{00000000-0005-0000-0000-0000C5080000}"/>
    <cellStyle name="Comma 4 2 4 2 5 2 2 2" xfId="25295" xr:uid="{C89B3414-BE77-4DC3-91BB-F985A1532037}"/>
    <cellStyle name="Comma 4 2 4 2 5 2 2 3" xfId="33741" xr:uid="{7F46EB66-B01D-4973-8D0A-E9331AEB391D}"/>
    <cellStyle name="Comma 4 2 4 2 5 2 2 4" xfId="16854" xr:uid="{C7550F2D-8885-4A46-8161-DB1A9930A571}"/>
    <cellStyle name="Comma 4 2 4 2 5 2 3" xfId="21077" xr:uid="{D9AEC11B-EF29-480B-A33C-76CC26ACF0AD}"/>
    <cellStyle name="Comma 4 2 4 2 5 2 4" xfId="29524" xr:uid="{F406A003-7DD0-4889-A9C9-74CCBDCF7587}"/>
    <cellStyle name="Comma 4 2 4 2 5 2 5" xfId="12636" xr:uid="{803F8932-06E6-4D39-903C-1892172341DF}"/>
    <cellStyle name="Comma 4 2 4 2 5 3" xfId="6267" xr:uid="{00000000-0005-0000-0000-0000C6080000}"/>
    <cellStyle name="Comma 4 2 4 2 5 3 2" xfId="23150" xr:uid="{CBDDC471-153E-4A8A-8A88-D6A5594D085C}"/>
    <cellStyle name="Comma 4 2 4 2 5 3 3" xfId="31596" xr:uid="{EA84BBBF-B556-4829-9511-06C3CB01D286}"/>
    <cellStyle name="Comma 4 2 4 2 5 3 4" xfId="14709" xr:uid="{FF900829-800C-4B7E-AD91-E3E347617991}"/>
    <cellStyle name="Comma 4 2 4 2 5 4" xfId="18932" xr:uid="{12EC66F5-9E27-4724-BD6D-9E1DDB48C664}"/>
    <cellStyle name="Comma 4 2 4 2 5 5" xfId="27377" xr:uid="{59306CE4-A94F-464D-B870-228DEA574305}"/>
    <cellStyle name="Comma 4 2 4 2 5 6" xfId="10491" xr:uid="{70A48003-5EA2-4979-9334-418A50FA4794}"/>
    <cellStyle name="Comma 4 2 4 2 6" xfId="2395" xr:uid="{00000000-0005-0000-0000-0000C7080000}"/>
    <cellStyle name="Comma 4 2 4 2 6 2" xfId="6680" xr:uid="{00000000-0005-0000-0000-0000C8080000}"/>
    <cellStyle name="Comma 4 2 4 2 6 2 2" xfId="23563" xr:uid="{F43E9F68-EAA6-43BB-83EA-3918AA7B91C2}"/>
    <cellStyle name="Comma 4 2 4 2 6 2 3" xfId="32009" xr:uid="{0C31D2D5-925A-4F9B-9A06-769C176735FA}"/>
    <cellStyle name="Comma 4 2 4 2 6 2 4" xfId="15122" xr:uid="{154689D3-8BD6-4ED1-9D61-34B179956BED}"/>
    <cellStyle name="Comma 4 2 4 2 6 3" xfId="19345" xr:uid="{43D91E92-354C-496E-965E-D54034F1BC51}"/>
    <cellStyle name="Comma 4 2 4 2 6 4" xfId="27790" xr:uid="{ACB8468A-8D21-4154-97DD-234DFE92860D}"/>
    <cellStyle name="Comma 4 2 4 2 6 5" xfId="10904" xr:uid="{8CDEA97A-51AC-4F31-AB92-3FF412425F7A}"/>
    <cellStyle name="Comma 4 2 4 2 7" xfId="2368" xr:uid="{00000000-0005-0000-0000-0000C9080000}"/>
    <cellStyle name="Comma 4 2 4 2 8" xfId="2773" xr:uid="{00000000-0005-0000-0000-0000CA080000}"/>
    <cellStyle name="Comma 4 2 4 2 8 2" xfId="6997" xr:uid="{00000000-0005-0000-0000-0000CB080000}"/>
    <cellStyle name="Comma 4 2 4 2 8 2 2" xfId="23880" xr:uid="{1707F849-C012-435D-ABEC-FECEFF9DDC95}"/>
    <cellStyle name="Comma 4 2 4 2 8 2 3" xfId="32326" xr:uid="{70E911D4-CC25-4321-B1DA-C34683673085}"/>
    <cellStyle name="Comma 4 2 4 2 8 2 4" xfId="15439" xr:uid="{6D26F542-64F8-478D-A073-0AA59B2F0A8C}"/>
    <cellStyle name="Comma 4 2 4 2 8 3" xfId="19662" xr:uid="{5C17B0D5-639B-4AB7-B786-0B21A3C6B381}"/>
    <cellStyle name="Comma 4 2 4 2 8 4" xfId="28109" xr:uid="{7A1BEC80-F2D6-459B-B8E9-391B4B236EE3}"/>
    <cellStyle name="Comma 4 2 4 2 8 5" xfId="11221" xr:uid="{F9B34DFF-6051-4852-AE0B-7DFF2098C754}"/>
    <cellStyle name="Comma 4 2 4 2 9" xfId="4614" xr:uid="{00000000-0005-0000-0000-0000CC080000}"/>
    <cellStyle name="Comma 4 2 4 2 9 2" xfId="21497" xr:uid="{0E66ADFE-0E9A-4F85-B0F2-58D5C2A6EF91}"/>
    <cellStyle name="Comma 4 2 4 2 9 3" xfId="29943" xr:uid="{65524589-CDF1-4563-8F01-AF0C7F7F71A8}"/>
    <cellStyle name="Comma 4 2 4 2 9 4" xfId="13056" xr:uid="{9C3DBB02-AFFA-454A-9A93-7E133EFD6363}"/>
    <cellStyle name="Comma 4 2 4 3" xfId="678" xr:uid="{00000000-0005-0000-0000-0000CD080000}"/>
    <cellStyle name="Comma 4 2 4 3 2" xfId="2949" xr:uid="{00000000-0005-0000-0000-0000CE080000}"/>
    <cellStyle name="Comma 4 2 4 3 2 2" xfId="7172" xr:uid="{00000000-0005-0000-0000-0000CF080000}"/>
    <cellStyle name="Comma 4 2 4 3 2 2 2" xfId="24055" xr:uid="{C75DD361-DB6C-49E0-860D-74DFFCFBB57E}"/>
    <cellStyle name="Comma 4 2 4 3 2 2 3" xfId="32501" xr:uid="{4FC27587-FCD1-4826-853D-D9F26AB638D0}"/>
    <cellStyle name="Comma 4 2 4 3 2 2 4" xfId="15614" xr:uid="{2F60C12C-D4C7-46C5-A4BE-EC20879E7257}"/>
    <cellStyle name="Comma 4 2 4 3 2 3" xfId="19837" xr:uid="{4045E546-C79D-4144-91BC-6816F673DEEF}"/>
    <cellStyle name="Comma 4 2 4 3 2 4" xfId="28284" xr:uid="{DBF8D4CE-6212-450C-8567-FAD48A7B4BE9}"/>
    <cellStyle name="Comma 4 2 4 3 2 5" xfId="11396" xr:uid="{994CAD91-1AEC-42F1-85AB-B72078A5F41E}"/>
    <cellStyle name="Comma 4 2 4 3 3" xfId="5027" xr:uid="{00000000-0005-0000-0000-0000D0080000}"/>
    <cellStyle name="Comma 4 2 4 3 3 2" xfId="21910" xr:uid="{1904CBAA-01E6-484B-9023-2557F0E2942F}"/>
    <cellStyle name="Comma 4 2 4 3 3 3" xfId="30356" xr:uid="{193035DE-CC31-414A-880C-CA164BCDE35B}"/>
    <cellStyle name="Comma 4 2 4 3 3 4" xfId="13469" xr:uid="{F42DA6BD-6AC5-493F-B360-DFDD224BCDC5}"/>
    <cellStyle name="Comma 4 2 4 3 4" xfId="17692" xr:uid="{58FDB8CB-B89C-4DE7-BD21-B1BFE331ABFD}"/>
    <cellStyle name="Comma 4 2 4 3 5" xfId="26137" xr:uid="{D68D97BC-B8D4-41DC-B897-27E8E7AEE130}"/>
    <cellStyle name="Comma 4 2 4 3 6" xfId="9251" xr:uid="{65E39B9B-F18A-461E-B8E3-BD2BDD48C5BB}"/>
    <cellStyle name="Comma 4 2 4 4" xfId="1131" xr:uid="{00000000-0005-0000-0000-0000D1080000}"/>
    <cellStyle name="Comma 4 2 4 4 2" xfId="3362" xr:uid="{00000000-0005-0000-0000-0000D2080000}"/>
    <cellStyle name="Comma 4 2 4 4 2 2" xfId="7585" xr:uid="{00000000-0005-0000-0000-0000D3080000}"/>
    <cellStyle name="Comma 4 2 4 4 2 2 2" xfId="24468" xr:uid="{ABF69603-551F-4759-B978-FACD630E8700}"/>
    <cellStyle name="Comma 4 2 4 4 2 2 3" xfId="32914" xr:uid="{CC36A0CA-E8F5-4B58-8E14-A5F2A0EE1E0B}"/>
    <cellStyle name="Comma 4 2 4 4 2 2 4" xfId="16027" xr:uid="{51C7A52D-9EF1-4551-87CB-648B0746F0F4}"/>
    <cellStyle name="Comma 4 2 4 4 2 3" xfId="20250" xr:uid="{BFD59CEB-08B8-4222-B69E-9596A6C5189F}"/>
    <cellStyle name="Comma 4 2 4 4 2 4" xfId="28697" xr:uid="{5AB059BF-479A-4855-99BF-7F8D0951E0DF}"/>
    <cellStyle name="Comma 4 2 4 4 2 5" xfId="11809" xr:uid="{C758AAE9-4D5C-40C1-9FBF-EE6F901C4852}"/>
    <cellStyle name="Comma 4 2 4 4 3" xfId="5440" xr:uid="{00000000-0005-0000-0000-0000D4080000}"/>
    <cellStyle name="Comma 4 2 4 4 3 2" xfId="22323" xr:uid="{E5685EC7-4321-483D-8883-9C39FD1DF067}"/>
    <cellStyle name="Comma 4 2 4 4 3 3" xfId="30769" xr:uid="{06A0403E-0A02-435B-998B-2E5F9F76B225}"/>
    <cellStyle name="Comma 4 2 4 4 3 4" xfId="13882" xr:uid="{0E9DF75C-06C7-4FF4-B3F3-A9ABDF3F31D0}"/>
    <cellStyle name="Comma 4 2 4 4 4" xfId="18105" xr:uid="{E019043D-0978-44AA-8B89-C622170E1DB3}"/>
    <cellStyle name="Comma 4 2 4 4 5" xfId="26550" xr:uid="{FB3F1EE4-D08D-4D67-A3F4-E08FC4B801E3}"/>
    <cellStyle name="Comma 4 2 4 4 6" xfId="9664" xr:uid="{57B7DD0A-62D3-46C5-B394-EDE00D31D119}"/>
    <cellStyle name="Comma 4 2 4 5" xfId="1545" xr:uid="{00000000-0005-0000-0000-0000D5080000}"/>
    <cellStyle name="Comma 4 2 4 5 2" xfId="3775" xr:uid="{00000000-0005-0000-0000-0000D6080000}"/>
    <cellStyle name="Comma 4 2 4 5 2 2" xfId="7998" xr:uid="{00000000-0005-0000-0000-0000D7080000}"/>
    <cellStyle name="Comma 4 2 4 5 2 2 2" xfId="24881" xr:uid="{897E7591-6DDE-4ACE-A270-25A598602B73}"/>
    <cellStyle name="Comma 4 2 4 5 2 2 3" xfId="33327" xr:uid="{CB33CCC7-402F-4298-B12B-5A223D5F736C}"/>
    <cellStyle name="Comma 4 2 4 5 2 2 4" xfId="16440" xr:uid="{D919D99B-DC2B-4728-B9CC-89831F486DDF}"/>
    <cellStyle name="Comma 4 2 4 5 2 3" xfId="20663" xr:uid="{7D530174-E0D9-405A-AE34-ECFC7945135E}"/>
    <cellStyle name="Comma 4 2 4 5 2 4" xfId="29110" xr:uid="{9C757A5D-1F86-4676-989B-952EE2828092}"/>
    <cellStyle name="Comma 4 2 4 5 2 5" xfId="12222" xr:uid="{ECC18958-4552-47A0-8949-5526CD57A338}"/>
    <cellStyle name="Comma 4 2 4 5 3" xfId="5853" xr:uid="{00000000-0005-0000-0000-0000D8080000}"/>
    <cellStyle name="Comma 4 2 4 5 3 2" xfId="22736" xr:uid="{DE839D00-44AA-479B-A3AD-8F930CFA585A}"/>
    <cellStyle name="Comma 4 2 4 5 3 3" xfId="31182" xr:uid="{40CC2E3D-632A-4840-8029-C2B8FCC6360E}"/>
    <cellStyle name="Comma 4 2 4 5 3 4" xfId="14295" xr:uid="{18A94245-2875-4A92-9715-2698E38D70EB}"/>
    <cellStyle name="Comma 4 2 4 5 4" xfId="18518" xr:uid="{5C97B46D-0313-4184-9ECD-5447D449A059}"/>
    <cellStyle name="Comma 4 2 4 5 5" xfId="26963" xr:uid="{0F2F47A9-C1D2-4804-8656-9D4E5C64CB34}"/>
    <cellStyle name="Comma 4 2 4 5 6" xfId="10077" xr:uid="{9FBA6514-07F7-4812-832C-D34D5A815DFB}"/>
    <cellStyle name="Comma 4 2 4 6" xfId="1959" xr:uid="{00000000-0005-0000-0000-0000D9080000}"/>
    <cellStyle name="Comma 4 2 4 6 2" xfId="4188" xr:uid="{00000000-0005-0000-0000-0000DA080000}"/>
    <cellStyle name="Comma 4 2 4 6 2 2" xfId="8411" xr:uid="{00000000-0005-0000-0000-0000DB080000}"/>
    <cellStyle name="Comma 4 2 4 6 2 2 2" xfId="25294" xr:uid="{1757347D-7675-48D3-9643-72007A9C91D5}"/>
    <cellStyle name="Comma 4 2 4 6 2 2 3" xfId="33740" xr:uid="{D6416E45-220C-4DE4-9260-386DC16CA43C}"/>
    <cellStyle name="Comma 4 2 4 6 2 2 4" xfId="16853" xr:uid="{74B84458-6F87-4210-8930-F8430084E53C}"/>
    <cellStyle name="Comma 4 2 4 6 2 3" xfId="21076" xr:uid="{29D84A1D-D174-41C1-A578-AA885587952E}"/>
    <cellStyle name="Comma 4 2 4 6 2 4" xfId="29523" xr:uid="{F528D94B-3ACC-4499-90F8-250072DA1BCB}"/>
    <cellStyle name="Comma 4 2 4 6 2 5" xfId="12635" xr:uid="{8FC9E041-23E4-451E-A522-74F18799FD79}"/>
    <cellStyle name="Comma 4 2 4 6 3" xfId="6266" xr:uid="{00000000-0005-0000-0000-0000DC080000}"/>
    <cellStyle name="Comma 4 2 4 6 3 2" xfId="23149" xr:uid="{9ABBDA0C-BB35-4E18-B898-6040593654D0}"/>
    <cellStyle name="Comma 4 2 4 6 3 3" xfId="31595" xr:uid="{93A19A48-7D67-4D34-B6E8-2A958298D7BA}"/>
    <cellStyle name="Comma 4 2 4 6 3 4" xfId="14708" xr:uid="{AF22A5D1-6CDC-4E91-A38C-C4C92088F7AF}"/>
    <cellStyle name="Comma 4 2 4 6 4" xfId="18931" xr:uid="{B11AE6F6-3661-46BB-A93B-F29CFB254673}"/>
    <cellStyle name="Comma 4 2 4 6 5" xfId="27376" xr:uid="{91B6D2D7-B0B3-42F1-B151-6F2E2590E658}"/>
    <cellStyle name="Comma 4 2 4 6 6" xfId="10490" xr:uid="{12F160EB-831D-4F17-A8F8-CC68B07F3DA5}"/>
    <cellStyle name="Comma 4 2 4 7" xfId="2394" xr:uid="{00000000-0005-0000-0000-0000DD080000}"/>
    <cellStyle name="Comma 4 2 4 7 2" xfId="6679" xr:uid="{00000000-0005-0000-0000-0000DE080000}"/>
    <cellStyle name="Comma 4 2 4 7 2 2" xfId="23562" xr:uid="{BA452A11-7976-4CF1-9351-160DA35FE879}"/>
    <cellStyle name="Comma 4 2 4 7 2 3" xfId="32008" xr:uid="{12FF1ACA-41B3-4997-B7EF-6DB717937344}"/>
    <cellStyle name="Comma 4 2 4 7 2 4" xfId="15121" xr:uid="{58377BD4-F09A-444B-ACC7-9B01BBFE05A8}"/>
    <cellStyle name="Comma 4 2 4 7 3" xfId="19344" xr:uid="{0FEBDE21-BCD9-4A08-8541-4099B3BF2CAF}"/>
    <cellStyle name="Comma 4 2 4 7 4" xfId="27789" xr:uid="{B03DE28A-6648-4667-A04A-5D1657CD0BA5}"/>
    <cellStyle name="Comma 4 2 4 7 5" xfId="10903" xr:uid="{45277D44-975B-48A5-87D1-B759F864EADE}"/>
    <cellStyle name="Comma 4 2 4 8" xfId="2369" xr:uid="{00000000-0005-0000-0000-0000DF080000}"/>
    <cellStyle name="Comma 4 2 4 9" xfId="2772" xr:uid="{00000000-0005-0000-0000-0000E0080000}"/>
    <cellStyle name="Comma 4 2 4 9 2" xfId="6996" xr:uid="{00000000-0005-0000-0000-0000E1080000}"/>
    <cellStyle name="Comma 4 2 4 9 2 2" xfId="23879" xr:uid="{85835DBD-8D9E-4D99-84F8-74C51A1DB140}"/>
    <cellStyle name="Comma 4 2 4 9 2 3" xfId="32325" xr:uid="{E9B209B4-8EE8-4169-913D-B58392305343}"/>
    <cellStyle name="Comma 4 2 4 9 2 4" xfId="15438" xr:uid="{B357EEB1-8B90-4DB2-9576-B5B0A7D20127}"/>
    <cellStyle name="Comma 4 2 4 9 3" xfId="19661" xr:uid="{9C0C428A-E3EE-4FE0-8213-5044A1F02C14}"/>
    <cellStyle name="Comma 4 2 4 9 4" xfId="28108" xr:uid="{2031A6DB-B8B5-4DFE-B05C-1E1F518E9A15}"/>
    <cellStyle name="Comma 4 2 4 9 5" xfId="11220" xr:uid="{8A3DC0C4-3A87-41EA-A89E-BEB2FCC06CD6}"/>
    <cellStyle name="Comma 4 2 5" xfId="142" xr:uid="{00000000-0005-0000-0000-0000E2080000}"/>
    <cellStyle name="Comma 4 2 5 10" xfId="17280" xr:uid="{3B55B9C7-BB18-4F76-AECE-58460A360FE7}"/>
    <cellStyle name="Comma 4 2 5 11" xfId="25723" xr:uid="{92DB4B12-ABF1-4FD0-912F-CC3B8AFBCDA5}"/>
    <cellStyle name="Comma 4 2 5 12" xfId="8839" xr:uid="{6C8F408F-CD1E-45DA-940B-6CFDC4A9BA50}"/>
    <cellStyle name="Comma 4 2 5 2" xfId="680" xr:uid="{00000000-0005-0000-0000-0000E3080000}"/>
    <cellStyle name="Comma 4 2 5 2 2" xfId="2951" xr:uid="{00000000-0005-0000-0000-0000E4080000}"/>
    <cellStyle name="Comma 4 2 5 2 2 2" xfId="7174" xr:uid="{00000000-0005-0000-0000-0000E5080000}"/>
    <cellStyle name="Comma 4 2 5 2 2 2 2" xfId="24057" xr:uid="{5D79ED6D-C48B-4A07-B5A9-70D20D16C1C4}"/>
    <cellStyle name="Comma 4 2 5 2 2 2 3" xfId="32503" xr:uid="{369DD55B-88F6-4DAF-859E-59B5942E4E16}"/>
    <cellStyle name="Comma 4 2 5 2 2 2 4" xfId="15616" xr:uid="{3EBDD4CD-E049-45A7-94D9-FFE9AB775322}"/>
    <cellStyle name="Comma 4 2 5 2 2 3" xfId="19839" xr:uid="{355FB8F1-4C80-48C6-A704-EE6133438017}"/>
    <cellStyle name="Comma 4 2 5 2 2 4" xfId="28286" xr:uid="{E87CF793-623B-43B8-A08A-0C143B95FA9A}"/>
    <cellStyle name="Comma 4 2 5 2 2 5" xfId="11398" xr:uid="{3EAA62F0-3131-49BE-B352-0E15CC86ABD4}"/>
    <cellStyle name="Comma 4 2 5 2 3" xfId="5029" xr:uid="{00000000-0005-0000-0000-0000E6080000}"/>
    <cellStyle name="Comma 4 2 5 2 3 2" xfId="21912" xr:uid="{A07D7633-B823-49C2-AA51-A826E73C8A62}"/>
    <cellStyle name="Comma 4 2 5 2 3 3" xfId="30358" xr:uid="{51B47BF9-9B44-4B94-B10A-9AD633DE9980}"/>
    <cellStyle name="Comma 4 2 5 2 3 4" xfId="13471" xr:uid="{DDC62FA1-ADB4-422A-8FDA-03678D7CE1C2}"/>
    <cellStyle name="Comma 4 2 5 2 4" xfId="17694" xr:uid="{FBD81351-2B44-4444-9315-0950DB2214E5}"/>
    <cellStyle name="Comma 4 2 5 2 5" xfId="26139" xr:uid="{5836AFA0-E1C5-42F6-93CF-6EBA0CFF257D}"/>
    <cellStyle name="Comma 4 2 5 2 6" xfId="9253" xr:uid="{549BA662-A8A6-4E2F-AC13-400883785AC5}"/>
    <cellStyle name="Comma 4 2 5 3" xfId="1133" xr:uid="{00000000-0005-0000-0000-0000E7080000}"/>
    <cellStyle name="Comma 4 2 5 3 2" xfId="3364" xr:uid="{00000000-0005-0000-0000-0000E8080000}"/>
    <cellStyle name="Comma 4 2 5 3 2 2" xfId="7587" xr:uid="{00000000-0005-0000-0000-0000E9080000}"/>
    <cellStyle name="Comma 4 2 5 3 2 2 2" xfId="24470" xr:uid="{BC54ABEA-B318-4A62-BE96-577B696595FC}"/>
    <cellStyle name="Comma 4 2 5 3 2 2 3" xfId="32916" xr:uid="{1828EC7D-AAFA-4B52-BB5B-B7A8C31EABD9}"/>
    <cellStyle name="Comma 4 2 5 3 2 2 4" xfId="16029" xr:uid="{AE942D4E-AC05-4A8F-8D18-16405C6649C7}"/>
    <cellStyle name="Comma 4 2 5 3 2 3" xfId="20252" xr:uid="{4021241C-7040-49D6-8CFE-BB8F8855A387}"/>
    <cellStyle name="Comma 4 2 5 3 2 4" xfId="28699" xr:uid="{4515342E-FC1C-4084-BF16-2508F7D9807F}"/>
    <cellStyle name="Comma 4 2 5 3 2 5" xfId="11811" xr:uid="{C8EE1121-140B-41BE-9B35-5DEC110EB90D}"/>
    <cellStyle name="Comma 4 2 5 3 3" xfId="5442" xr:uid="{00000000-0005-0000-0000-0000EA080000}"/>
    <cellStyle name="Comma 4 2 5 3 3 2" xfId="22325" xr:uid="{ED8185A9-C8D7-4AD4-9CFE-44987431AFA4}"/>
    <cellStyle name="Comma 4 2 5 3 3 3" xfId="30771" xr:uid="{DBB5CAA1-718A-48E9-8A00-DE61A119793D}"/>
    <cellStyle name="Comma 4 2 5 3 3 4" xfId="13884" xr:uid="{ACD3D72A-DA5E-4E7B-BC8B-48EF01079DF5}"/>
    <cellStyle name="Comma 4 2 5 3 4" xfId="18107" xr:uid="{41801820-1C7B-43B3-A83D-375A661928A0}"/>
    <cellStyle name="Comma 4 2 5 3 5" xfId="26552" xr:uid="{1A339E64-0D23-4813-8ED2-4A04FFAFF38F}"/>
    <cellStyle name="Comma 4 2 5 3 6" xfId="9666" xr:uid="{1534FE84-941A-4B78-97F0-3D98B7BA126D}"/>
    <cellStyle name="Comma 4 2 5 4" xfId="1547" xr:uid="{00000000-0005-0000-0000-0000EB080000}"/>
    <cellStyle name="Comma 4 2 5 4 2" xfId="3777" xr:uid="{00000000-0005-0000-0000-0000EC080000}"/>
    <cellStyle name="Comma 4 2 5 4 2 2" xfId="8000" xr:uid="{00000000-0005-0000-0000-0000ED080000}"/>
    <cellStyle name="Comma 4 2 5 4 2 2 2" xfId="24883" xr:uid="{D8B02273-907F-455D-AE02-9A50E41D4F6D}"/>
    <cellStyle name="Comma 4 2 5 4 2 2 3" xfId="33329" xr:uid="{D0098BF8-40DE-4EC7-A58A-D8DB80C99D72}"/>
    <cellStyle name="Comma 4 2 5 4 2 2 4" xfId="16442" xr:uid="{AB2425AC-1128-4CAF-A46F-502D72F17BC4}"/>
    <cellStyle name="Comma 4 2 5 4 2 3" xfId="20665" xr:uid="{FF32653B-CE60-4693-B73B-EEF47AF461B4}"/>
    <cellStyle name="Comma 4 2 5 4 2 4" xfId="29112" xr:uid="{EBDCD8BF-F834-4864-AE44-AA8301F77273}"/>
    <cellStyle name="Comma 4 2 5 4 2 5" xfId="12224" xr:uid="{1C191480-5E26-4C2A-91DE-DB6056B6B34D}"/>
    <cellStyle name="Comma 4 2 5 4 3" xfId="5855" xr:uid="{00000000-0005-0000-0000-0000EE080000}"/>
    <cellStyle name="Comma 4 2 5 4 3 2" xfId="22738" xr:uid="{2E9E2CEF-B711-4F4A-A613-78DD27392D0B}"/>
    <cellStyle name="Comma 4 2 5 4 3 3" xfId="31184" xr:uid="{B3E07C54-FECE-4F71-AF39-856137206E93}"/>
    <cellStyle name="Comma 4 2 5 4 3 4" xfId="14297" xr:uid="{9525EECE-1D7E-4709-AB4D-62C26849A025}"/>
    <cellStyle name="Comma 4 2 5 4 4" xfId="18520" xr:uid="{D56CBFF4-E86A-4D9E-B8C6-3BE14C34B115}"/>
    <cellStyle name="Comma 4 2 5 4 5" xfId="26965" xr:uid="{F793E167-DA2B-441E-A02C-897F90030550}"/>
    <cellStyle name="Comma 4 2 5 4 6" xfId="10079" xr:uid="{CA19D531-420E-479F-9C0E-C5795B09E787}"/>
    <cellStyle name="Comma 4 2 5 5" xfId="1961" xr:uid="{00000000-0005-0000-0000-0000EF080000}"/>
    <cellStyle name="Comma 4 2 5 5 2" xfId="4190" xr:uid="{00000000-0005-0000-0000-0000F0080000}"/>
    <cellStyle name="Comma 4 2 5 5 2 2" xfId="8413" xr:uid="{00000000-0005-0000-0000-0000F1080000}"/>
    <cellStyle name="Comma 4 2 5 5 2 2 2" xfId="25296" xr:uid="{F0F78054-F24C-4ED3-BDCB-111BCFB6BA10}"/>
    <cellStyle name="Comma 4 2 5 5 2 2 3" xfId="33742" xr:uid="{ACC69010-DE82-4852-8878-46B7E99C9B7A}"/>
    <cellStyle name="Comma 4 2 5 5 2 2 4" xfId="16855" xr:uid="{3E25EA0F-200F-4FA8-8E6E-2F8E7DC9463E}"/>
    <cellStyle name="Comma 4 2 5 5 2 3" xfId="21078" xr:uid="{8797A696-3E01-4514-A2D4-F875688A44D7}"/>
    <cellStyle name="Comma 4 2 5 5 2 4" xfId="29525" xr:uid="{B063A79C-AB56-4A00-8A38-3FFCEA8447CD}"/>
    <cellStyle name="Comma 4 2 5 5 2 5" xfId="12637" xr:uid="{6B3900EA-AFA9-4286-B5A5-DF8D55EE5CC5}"/>
    <cellStyle name="Comma 4 2 5 5 3" xfId="6268" xr:uid="{00000000-0005-0000-0000-0000F2080000}"/>
    <cellStyle name="Comma 4 2 5 5 3 2" xfId="23151" xr:uid="{379DB56C-8073-4E3C-AA30-0FB192DB62E7}"/>
    <cellStyle name="Comma 4 2 5 5 3 3" xfId="31597" xr:uid="{AE62BC72-9FF8-4E3E-AD9E-CF8EFFEF4C7D}"/>
    <cellStyle name="Comma 4 2 5 5 3 4" xfId="14710" xr:uid="{46F8B9FA-CE90-4BD3-8CD4-B055DEBA768C}"/>
    <cellStyle name="Comma 4 2 5 5 4" xfId="18933" xr:uid="{2EBD2A46-3D17-4732-A4D2-3CBD106E4C8B}"/>
    <cellStyle name="Comma 4 2 5 5 5" xfId="27378" xr:uid="{5666BE12-9AFE-4783-97D1-E4CC7D0172A2}"/>
    <cellStyle name="Comma 4 2 5 5 6" xfId="10492" xr:uid="{4AD6F6E0-9BD0-4990-81DB-E813975BF06A}"/>
    <cellStyle name="Comma 4 2 5 6" xfId="2396" xr:uid="{00000000-0005-0000-0000-0000F3080000}"/>
    <cellStyle name="Comma 4 2 5 6 2" xfId="6681" xr:uid="{00000000-0005-0000-0000-0000F4080000}"/>
    <cellStyle name="Comma 4 2 5 6 2 2" xfId="23564" xr:uid="{E5D0152C-22CF-4C8B-A2C4-415E5054F496}"/>
    <cellStyle name="Comma 4 2 5 6 2 3" xfId="32010" xr:uid="{FDA99470-C3D1-46DC-8603-191924DE0616}"/>
    <cellStyle name="Comma 4 2 5 6 2 4" xfId="15123" xr:uid="{CA173CA9-429B-4106-960D-E4FABDB7199F}"/>
    <cellStyle name="Comma 4 2 5 6 3" xfId="19346" xr:uid="{13F1419D-84C4-4925-935B-848102468614}"/>
    <cellStyle name="Comma 4 2 5 6 4" xfId="27791" xr:uid="{F79658CC-B752-4EE6-A0C1-A70AEB88A7A9}"/>
    <cellStyle name="Comma 4 2 5 6 5" xfId="10905" xr:uid="{F09B8740-A4C2-4A1E-AA56-20889ED25F84}"/>
    <cellStyle name="Comma 4 2 5 7" xfId="2367" xr:uid="{00000000-0005-0000-0000-0000F5080000}"/>
    <cellStyle name="Comma 4 2 5 8" xfId="2774" xr:uid="{00000000-0005-0000-0000-0000F6080000}"/>
    <cellStyle name="Comma 4 2 5 8 2" xfId="6998" xr:uid="{00000000-0005-0000-0000-0000F7080000}"/>
    <cellStyle name="Comma 4 2 5 8 2 2" xfId="23881" xr:uid="{85ED3472-AA60-49B5-AF87-86D03342C0E9}"/>
    <cellStyle name="Comma 4 2 5 8 2 3" xfId="32327" xr:uid="{3037719C-8E14-488B-A03A-4AF26E67375F}"/>
    <cellStyle name="Comma 4 2 5 8 2 4" xfId="15440" xr:uid="{6E2C2DE7-521B-40DD-BCB4-42995FCF37D0}"/>
    <cellStyle name="Comma 4 2 5 8 3" xfId="19663" xr:uid="{25FA9DCC-74F1-43FB-B2EA-5A1E134C9B65}"/>
    <cellStyle name="Comma 4 2 5 8 4" xfId="28110" xr:uid="{4D77267A-B48D-40DF-8167-90CBD2F29A6F}"/>
    <cellStyle name="Comma 4 2 5 8 5" xfId="11222" xr:uid="{E35030E3-4C60-4E95-8281-ECC1DB2FFD2E}"/>
    <cellStyle name="Comma 4 2 5 9" xfId="4615" xr:uid="{00000000-0005-0000-0000-0000F8080000}"/>
    <cellStyle name="Comma 4 2 5 9 2" xfId="21498" xr:uid="{8C90A25B-B933-4556-8DA6-D995088CCCEC}"/>
    <cellStyle name="Comma 4 2 5 9 3" xfId="29944" xr:uid="{7BB2FA50-99B9-47D3-B771-1C0C8A9645F0}"/>
    <cellStyle name="Comma 4 2 5 9 4" xfId="13057" xr:uid="{64622C10-A256-4910-954E-03B81274AF9B}"/>
    <cellStyle name="Comma 4 2 6" xfId="143" xr:uid="{00000000-0005-0000-0000-0000F9080000}"/>
    <cellStyle name="Comma 4 2 6 10" xfId="17281" xr:uid="{F10D0B51-4EC7-4C1F-940C-8CA5A1366D69}"/>
    <cellStyle name="Comma 4 2 6 11" xfId="25724" xr:uid="{3C398DA0-0829-4BD6-A17F-66F72F578333}"/>
    <cellStyle name="Comma 4 2 6 12" xfId="8840" xr:uid="{9D4467C7-0092-4128-AC8D-DCA089E4ABA7}"/>
    <cellStyle name="Comma 4 2 6 2" xfId="681" xr:uid="{00000000-0005-0000-0000-0000FA080000}"/>
    <cellStyle name="Comma 4 2 6 2 2" xfId="2952" xr:uid="{00000000-0005-0000-0000-0000FB080000}"/>
    <cellStyle name="Comma 4 2 6 2 2 2" xfId="7175" xr:uid="{00000000-0005-0000-0000-0000FC080000}"/>
    <cellStyle name="Comma 4 2 6 2 2 2 2" xfId="24058" xr:uid="{446D2CF7-FE4D-4416-90F2-319F95088A4D}"/>
    <cellStyle name="Comma 4 2 6 2 2 2 3" xfId="32504" xr:uid="{D249B883-E563-431E-B576-16E16BFA8733}"/>
    <cellStyle name="Comma 4 2 6 2 2 2 4" xfId="15617" xr:uid="{C0BD81E3-A240-4CB9-9E43-287EFB912559}"/>
    <cellStyle name="Comma 4 2 6 2 2 3" xfId="19840" xr:uid="{ACA4DAEA-41C6-42CB-9443-A0D5E9ADCB08}"/>
    <cellStyle name="Comma 4 2 6 2 2 4" xfId="28287" xr:uid="{75D6F8BA-FC6D-450F-9F1A-0A748B1EB67D}"/>
    <cellStyle name="Comma 4 2 6 2 2 5" xfId="11399" xr:uid="{F465EF7D-05FF-425E-9EE7-E0CA9307F7C2}"/>
    <cellStyle name="Comma 4 2 6 2 3" xfId="5030" xr:uid="{00000000-0005-0000-0000-0000FD080000}"/>
    <cellStyle name="Comma 4 2 6 2 3 2" xfId="21913" xr:uid="{60987486-E946-4C76-BBB1-F0E689286E9E}"/>
    <cellStyle name="Comma 4 2 6 2 3 3" xfId="30359" xr:uid="{287EFE4C-E96C-4922-894A-0468F3D28FE2}"/>
    <cellStyle name="Comma 4 2 6 2 3 4" xfId="13472" xr:uid="{15E0651C-AA0B-43F7-A373-4501B97D5CD1}"/>
    <cellStyle name="Comma 4 2 6 2 4" xfId="17695" xr:uid="{3ACC7BFE-2FD3-46DC-8C39-5CD1899F4DB6}"/>
    <cellStyle name="Comma 4 2 6 2 5" xfId="26140" xr:uid="{910D4FDC-94C8-4122-B26D-22ADF64D7B09}"/>
    <cellStyle name="Comma 4 2 6 2 6" xfId="9254" xr:uid="{CA6707B7-1F92-4A33-9BC9-2DC65074351A}"/>
    <cellStyle name="Comma 4 2 6 3" xfId="1134" xr:uid="{00000000-0005-0000-0000-0000FE080000}"/>
    <cellStyle name="Comma 4 2 6 3 2" xfId="3365" xr:uid="{00000000-0005-0000-0000-0000FF080000}"/>
    <cellStyle name="Comma 4 2 6 3 2 2" xfId="7588" xr:uid="{00000000-0005-0000-0000-000000090000}"/>
    <cellStyle name="Comma 4 2 6 3 2 2 2" xfId="24471" xr:uid="{038FB899-CF2A-4B6C-A7CA-BDCCFD300DC1}"/>
    <cellStyle name="Comma 4 2 6 3 2 2 3" xfId="32917" xr:uid="{6106B6DA-E120-44F1-A7F1-469645254816}"/>
    <cellStyle name="Comma 4 2 6 3 2 2 4" xfId="16030" xr:uid="{AE7FEF5A-21B6-451E-8D2D-FFD8D85D4C83}"/>
    <cellStyle name="Comma 4 2 6 3 2 3" xfId="20253" xr:uid="{A138A48C-EF06-487C-B1A5-C5CF088F47F8}"/>
    <cellStyle name="Comma 4 2 6 3 2 4" xfId="28700" xr:uid="{B185A332-BE6D-41BB-8A88-82A4C476DB87}"/>
    <cellStyle name="Comma 4 2 6 3 2 5" xfId="11812" xr:uid="{5DB804AE-7AD4-4214-A8C7-F956BD5661C5}"/>
    <cellStyle name="Comma 4 2 6 3 3" xfId="5443" xr:uid="{00000000-0005-0000-0000-000001090000}"/>
    <cellStyle name="Comma 4 2 6 3 3 2" xfId="22326" xr:uid="{5960CF87-7E61-47DF-88F8-59DF87B355A2}"/>
    <cellStyle name="Comma 4 2 6 3 3 3" xfId="30772" xr:uid="{5E607AA1-229B-4E7A-8885-3862AD482F4D}"/>
    <cellStyle name="Comma 4 2 6 3 3 4" xfId="13885" xr:uid="{13BE81B2-A160-4E7A-BA96-38FFE49FD6AD}"/>
    <cellStyle name="Comma 4 2 6 3 4" xfId="18108" xr:uid="{A325D702-C58F-4096-BC8D-5D8853EBADB1}"/>
    <cellStyle name="Comma 4 2 6 3 5" xfId="26553" xr:uid="{FD59739A-D7FE-44E0-99E7-F62B0F1CFA34}"/>
    <cellStyle name="Comma 4 2 6 3 6" xfId="9667" xr:uid="{27198ED3-5706-4EB3-93D3-36AE584E7284}"/>
    <cellStyle name="Comma 4 2 6 4" xfId="1548" xr:uid="{00000000-0005-0000-0000-000002090000}"/>
    <cellStyle name="Comma 4 2 6 4 2" xfId="3778" xr:uid="{00000000-0005-0000-0000-000003090000}"/>
    <cellStyle name="Comma 4 2 6 4 2 2" xfId="8001" xr:uid="{00000000-0005-0000-0000-000004090000}"/>
    <cellStyle name="Comma 4 2 6 4 2 2 2" xfId="24884" xr:uid="{BF88E3A0-039B-4852-8019-84AE0A060B90}"/>
    <cellStyle name="Comma 4 2 6 4 2 2 3" xfId="33330" xr:uid="{F91925D2-036F-461A-BAD1-F50423F3C3D2}"/>
    <cellStyle name="Comma 4 2 6 4 2 2 4" xfId="16443" xr:uid="{4D822C99-70C6-44E6-AC1D-96021213E557}"/>
    <cellStyle name="Comma 4 2 6 4 2 3" xfId="20666" xr:uid="{F3308AF1-FC3C-4494-8CE9-B9D0E61D0EBF}"/>
    <cellStyle name="Comma 4 2 6 4 2 4" xfId="29113" xr:uid="{FC1E8310-F694-4E8B-B68A-C89AA6494FA1}"/>
    <cellStyle name="Comma 4 2 6 4 2 5" xfId="12225" xr:uid="{113B6972-6241-4F84-90A7-1FCF42A7D081}"/>
    <cellStyle name="Comma 4 2 6 4 3" xfId="5856" xr:uid="{00000000-0005-0000-0000-000005090000}"/>
    <cellStyle name="Comma 4 2 6 4 3 2" xfId="22739" xr:uid="{749186CC-1973-4742-AE90-A50B67E78EAC}"/>
    <cellStyle name="Comma 4 2 6 4 3 3" xfId="31185" xr:uid="{C74E94E2-942A-42EA-9C83-4E3EA6987C94}"/>
    <cellStyle name="Comma 4 2 6 4 3 4" xfId="14298" xr:uid="{E3F99C87-332A-445E-B3E1-783A3964B778}"/>
    <cellStyle name="Comma 4 2 6 4 4" xfId="18521" xr:uid="{8DDF545B-A3D4-49A1-B7F4-A19F6FB62C73}"/>
    <cellStyle name="Comma 4 2 6 4 5" xfId="26966" xr:uid="{31184B7F-596C-4D95-8DEC-3EF4F9738D7E}"/>
    <cellStyle name="Comma 4 2 6 4 6" xfId="10080" xr:uid="{9C68BE95-7C68-4F75-9FAD-2C2C8BAAF763}"/>
    <cellStyle name="Comma 4 2 6 5" xfId="1962" xr:uid="{00000000-0005-0000-0000-000006090000}"/>
    <cellStyle name="Comma 4 2 6 5 2" xfId="4191" xr:uid="{00000000-0005-0000-0000-000007090000}"/>
    <cellStyle name="Comma 4 2 6 5 2 2" xfId="8414" xr:uid="{00000000-0005-0000-0000-000008090000}"/>
    <cellStyle name="Comma 4 2 6 5 2 2 2" xfId="25297" xr:uid="{78EE3903-7C6C-4FCD-924A-08F0FD1C186E}"/>
    <cellStyle name="Comma 4 2 6 5 2 2 3" xfId="33743" xr:uid="{3268BE9B-A830-4A37-BE08-F6F3E8BA54EF}"/>
    <cellStyle name="Comma 4 2 6 5 2 2 4" xfId="16856" xr:uid="{77AF7386-3379-4505-BB0C-1AEF1A48EAAE}"/>
    <cellStyle name="Comma 4 2 6 5 2 3" xfId="21079" xr:uid="{45273A1B-11BD-4FA1-8A6E-4667C075BEF7}"/>
    <cellStyle name="Comma 4 2 6 5 2 4" xfId="29526" xr:uid="{FAA9E7CC-1B57-4286-B807-78BDA5ADA7E4}"/>
    <cellStyle name="Comma 4 2 6 5 2 5" xfId="12638" xr:uid="{D7CA3BCD-F24D-4D62-822F-D7FE138E8349}"/>
    <cellStyle name="Comma 4 2 6 5 3" xfId="6269" xr:uid="{00000000-0005-0000-0000-000009090000}"/>
    <cellStyle name="Comma 4 2 6 5 3 2" xfId="23152" xr:uid="{5A7E71BC-BCF6-446E-A9B3-1FA4001F4E1B}"/>
    <cellStyle name="Comma 4 2 6 5 3 3" xfId="31598" xr:uid="{48DD2F3B-8C50-453B-B2F1-85393518670B}"/>
    <cellStyle name="Comma 4 2 6 5 3 4" xfId="14711" xr:uid="{643BF6C7-A7C5-4849-89BD-B25AF8AC9E06}"/>
    <cellStyle name="Comma 4 2 6 5 4" xfId="18934" xr:uid="{11A34350-37D6-480B-9FF5-E564990C2EBB}"/>
    <cellStyle name="Comma 4 2 6 5 5" xfId="27379" xr:uid="{8200219C-1E04-4F6D-A622-55126548620E}"/>
    <cellStyle name="Comma 4 2 6 5 6" xfId="10493" xr:uid="{4F13F9F3-DF0D-45F5-B997-00DC2E49B825}"/>
    <cellStyle name="Comma 4 2 6 6" xfId="2397" xr:uid="{00000000-0005-0000-0000-00000A090000}"/>
    <cellStyle name="Comma 4 2 6 6 2" xfId="6682" xr:uid="{00000000-0005-0000-0000-00000B090000}"/>
    <cellStyle name="Comma 4 2 6 6 2 2" xfId="23565" xr:uid="{255616B1-8A8A-4465-A06C-44B7203951F9}"/>
    <cellStyle name="Comma 4 2 6 6 2 3" xfId="32011" xr:uid="{2AE9F613-8B89-4B78-9840-B3E5AAC0C987}"/>
    <cellStyle name="Comma 4 2 6 6 2 4" xfId="15124" xr:uid="{C3B78B19-3933-481B-BB08-5E06767807E2}"/>
    <cellStyle name="Comma 4 2 6 6 3" xfId="19347" xr:uid="{6630F345-6DD0-483E-BFC1-5166205343EF}"/>
    <cellStyle name="Comma 4 2 6 6 4" xfId="27792" xr:uid="{A406E95C-0E32-4DA0-AB4B-3312137A3065}"/>
    <cellStyle name="Comma 4 2 6 6 5" xfId="10906" xr:uid="{1CA425E6-900D-45A8-BBF4-65FF72FF3504}"/>
    <cellStyle name="Comma 4 2 6 7" xfId="2366" xr:uid="{00000000-0005-0000-0000-00000C090000}"/>
    <cellStyle name="Comma 4 2 6 8" xfId="2775" xr:uid="{00000000-0005-0000-0000-00000D090000}"/>
    <cellStyle name="Comma 4 2 6 8 2" xfId="6999" xr:uid="{00000000-0005-0000-0000-00000E090000}"/>
    <cellStyle name="Comma 4 2 6 8 2 2" xfId="23882" xr:uid="{D882D2DA-DF17-4DC7-A1FA-F5EF4E34FB5F}"/>
    <cellStyle name="Comma 4 2 6 8 2 3" xfId="32328" xr:uid="{1982361D-C832-494C-B068-375F25A0F363}"/>
    <cellStyle name="Comma 4 2 6 8 2 4" xfId="15441" xr:uid="{C6098364-CD47-4585-9EEF-CEA6C2DF35D2}"/>
    <cellStyle name="Comma 4 2 6 8 3" xfId="19664" xr:uid="{F5BBE305-9689-4F5C-B6D4-3748707CE68A}"/>
    <cellStyle name="Comma 4 2 6 8 4" xfId="28111" xr:uid="{4893821F-21B5-43DC-A827-AB1713EDA087}"/>
    <cellStyle name="Comma 4 2 6 8 5" xfId="11223" xr:uid="{3F45A5DE-EE5F-4C45-81BA-E790AE18D48C}"/>
    <cellStyle name="Comma 4 2 6 9" xfId="4616" xr:uid="{00000000-0005-0000-0000-00000F090000}"/>
    <cellStyle name="Comma 4 2 6 9 2" xfId="21499" xr:uid="{72EA0F95-D600-4E81-A4B0-136305E94F3F}"/>
    <cellStyle name="Comma 4 2 6 9 3" xfId="29945" xr:uid="{2E1EA142-A5AB-4ABB-BF3A-036773C48C01}"/>
    <cellStyle name="Comma 4 2 6 9 4" xfId="13058" xr:uid="{8978D1CE-EF59-4F31-ACA7-CCD17A8CB052}"/>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23883" xr:uid="{7FB71187-A526-4D37-B02F-34318B7EC558}"/>
    <cellStyle name="Comma 4 3 2 10 2 3" xfId="32329" xr:uid="{A4696976-7779-4194-AA9E-935DDC4CD9AA}"/>
    <cellStyle name="Comma 4 3 2 10 2 4" xfId="15442" xr:uid="{502AEF5B-ED00-4ED6-947B-6F9B4401E564}"/>
    <cellStyle name="Comma 4 3 2 10 3" xfId="19665" xr:uid="{40ED51C3-8AE9-4408-9A91-3FD57F1C8D76}"/>
    <cellStyle name="Comma 4 3 2 10 4" xfId="28112" xr:uid="{0368A335-49C6-4C37-9FC6-0E21C3B233D0}"/>
    <cellStyle name="Comma 4 3 2 10 5" xfId="11224" xr:uid="{F5192357-8155-4C2D-AB59-B0D38081D89F}"/>
    <cellStyle name="Comma 4 3 2 11" xfId="4617" xr:uid="{00000000-0005-0000-0000-000014090000}"/>
    <cellStyle name="Comma 4 3 2 11 2" xfId="21500" xr:uid="{37E64315-E5A1-4921-B233-D073F1B9DBC2}"/>
    <cellStyle name="Comma 4 3 2 11 3" xfId="29946" xr:uid="{64B7835F-D9E5-442E-A8F7-0798DE922CE7}"/>
    <cellStyle name="Comma 4 3 2 11 4" xfId="13059" xr:uid="{3089A4F6-4761-4B6A-B919-55580F1C40B7}"/>
    <cellStyle name="Comma 4 3 2 12" xfId="17282" xr:uid="{BA859E13-D19A-41BE-AC46-4C20BF568A3D}"/>
    <cellStyle name="Comma 4 3 2 13" xfId="25725" xr:uid="{D90C5EC5-8561-44A3-A444-0BE3638E1375}"/>
    <cellStyle name="Comma 4 3 2 14" xfId="8841" xr:uid="{9ED94C57-65BB-40A9-8FE1-43F48C5E0377}"/>
    <cellStyle name="Comma 4 3 2 2" xfId="146" xr:uid="{00000000-0005-0000-0000-000015090000}"/>
    <cellStyle name="Comma 4 3 2 2 10" xfId="4618" xr:uid="{00000000-0005-0000-0000-000016090000}"/>
    <cellStyle name="Comma 4 3 2 2 10 2" xfId="21501" xr:uid="{FE69996F-D166-48D5-809D-C6993B288EC0}"/>
    <cellStyle name="Comma 4 3 2 2 10 3" xfId="29947" xr:uid="{22CC7D76-8A44-430C-AA8B-AB6E0F48C772}"/>
    <cellStyle name="Comma 4 3 2 2 10 4" xfId="13060" xr:uid="{44A09423-9E56-47F4-BB6B-09D84F5F3247}"/>
    <cellStyle name="Comma 4 3 2 2 11" xfId="17283" xr:uid="{A50E4FA6-FE71-4694-A74D-04A1AE9F396E}"/>
    <cellStyle name="Comma 4 3 2 2 12" xfId="25726" xr:uid="{86E74DF1-1CA7-4FE2-8C3F-C266F0FC7315}"/>
    <cellStyle name="Comma 4 3 2 2 13" xfId="8842" xr:uid="{60864AC4-817D-4C90-80CA-D13A4ED3EA85}"/>
    <cellStyle name="Comma 4 3 2 2 2" xfId="147" xr:uid="{00000000-0005-0000-0000-000017090000}"/>
    <cellStyle name="Comma 4 3 2 2 2 10" xfId="17284" xr:uid="{BC60B381-FFA9-4468-8461-D742BC6AC5AF}"/>
    <cellStyle name="Comma 4 3 2 2 2 11" xfId="25727" xr:uid="{8AD64DB4-D37F-40F1-88B3-6BD9580BABB4}"/>
    <cellStyle name="Comma 4 3 2 2 2 12" xfId="8843" xr:uid="{D1735468-4814-46F8-8047-EFDCFB5CFDB9}"/>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24061" xr:uid="{672E6AB4-AB8C-4EA2-A9AF-93B870A5D75C}"/>
    <cellStyle name="Comma 4 3 2 2 2 2 2 2 3" xfId="32507" xr:uid="{35227F61-A366-45FD-A506-7ACC1D460065}"/>
    <cellStyle name="Comma 4 3 2 2 2 2 2 2 4" xfId="15620" xr:uid="{11DCE90B-5EA4-456B-A192-478CF0CEC16B}"/>
    <cellStyle name="Comma 4 3 2 2 2 2 2 3" xfId="19843" xr:uid="{624FDB13-B64C-46E3-97DB-D3E20EAB0849}"/>
    <cellStyle name="Comma 4 3 2 2 2 2 2 4" xfId="28290" xr:uid="{D65BB2BA-DB4F-489C-919D-0CF1F308DF3F}"/>
    <cellStyle name="Comma 4 3 2 2 2 2 2 5" xfId="11402" xr:uid="{FEBD87A8-850E-4779-88C3-036F3DF35681}"/>
    <cellStyle name="Comma 4 3 2 2 2 2 3" xfId="5033" xr:uid="{00000000-0005-0000-0000-00001B090000}"/>
    <cellStyle name="Comma 4 3 2 2 2 2 3 2" xfId="21916" xr:uid="{AFB14913-D80F-4451-883A-231E18BF81D3}"/>
    <cellStyle name="Comma 4 3 2 2 2 2 3 3" xfId="30362" xr:uid="{972F586F-B8BF-441D-83B7-EABC1F5D03CC}"/>
    <cellStyle name="Comma 4 3 2 2 2 2 3 4" xfId="13475" xr:uid="{C0462030-87A5-437D-A79B-05329C2B31E1}"/>
    <cellStyle name="Comma 4 3 2 2 2 2 4" xfId="17698" xr:uid="{CD1248A2-3034-4B1A-BD80-C0591B260FB9}"/>
    <cellStyle name="Comma 4 3 2 2 2 2 5" xfId="26143" xr:uid="{6CD12677-0F50-429F-974D-705AAB942AA9}"/>
    <cellStyle name="Comma 4 3 2 2 2 2 6" xfId="9257" xr:uid="{2CBFDAE3-4676-4586-B212-0CD4FC22FF5A}"/>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24474" xr:uid="{16660145-3591-4A1D-93C8-C6DE44A91E2B}"/>
    <cellStyle name="Comma 4 3 2 2 2 3 2 2 3" xfId="32920" xr:uid="{530B58B2-8C06-4A63-AA98-E2651113BC89}"/>
    <cellStyle name="Comma 4 3 2 2 2 3 2 2 4" xfId="16033" xr:uid="{741D0A92-FD81-43FC-9AE8-574848663D7C}"/>
    <cellStyle name="Comma 4 3 2 2 2 3 2 3" xfId="20256" xr:uid="{97405F55-C6BB-4E0E-B4CC-19B0C7DF1107}"/>
    <cellStyle name="Comma 4 3 2 2 2 3 2 4" xfId="28703" xr:uid="{6C93D8F4-2172-465F-B57A-BE6834714BD1}"/>
    <cellStyle name="Comma 4 3 2 2 2 3 2 5" xfId="11815" xr:uid="{941F2C26-42EF-40F3-B565-9AA366FC8F41}"/>
    <cellStyle name="Comma 4 3 2 2 2 3 3" xfId="5446" xr:uid="{00000000-0005-0000-0000-00001F090000}"/>
    <cellStyle name="Comma 4 3 2 2 2 3 3 2" xfId="22329" xr:uid="{6F9658A6-0DBF-4FD4-8D1E-073F7F0CDA3B}"/>
    <cellStyle name="Comma 4 3 2 2 2 3 3 3" xfId="30775" xr:uid="{C9A6EA5C-479D-46E1-993C-4E5A33A8145D}"/>
    <cellStyle name="Comma 4 3 2 2 2 3 3 4" xfId="13888" xr:uid="{B7819A8F-1D68-4945-9A5D-D0075B8BDB58}"/>
    <cellStyle name="Comma 4 3 2 2 2 3 4" xfId="18111" xr:uid="{071CB4B8-0E24-4FDF-B453-BB91E05FB1AB}"/>
    <cellStyle name="Comma 4 3 2 2 2 3 5" xfId="26556" xr:uid="{ECCA481A-89DC-4536-BA57-A9BE230F3BF7}"/>
    <cellStyle name="Comma 4 3 2 2 2 3 6" xfId="9670" xr:uid="{E15BB6DB-42B4-457D-A94B-829793400B47}"/>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24887" xr:uid="{740DA631-E6C0-4502-AAF2-BCC7D86A7363}"/>
    <cellStyle name="Comma 4 3 2 2 2 4 2 2 3" xfId="33333" xr:uid="{C0FCF2B7-CC6F-48BF-9982-4B97A2160718}"/>
    <cellStyle name="Comma 4 3 2 2 2 4 2 2 4" xfId="16446" xr:uid="{CF920412-BD64-4581-BCC5-E7A101D4CDA7}"/>
    <cellStyle name="Comma 4 3 2 2 2 4 2 3" xfId="20669" xr:uid="{C80E9FDC-5CC8-405F-84D2-63EBFFE37414}"/>
    <cellStyle name="Comma 4 3 2 2 2 4 2 4" xfId="29116" xr:uid="{561A47C9-A23C-46AC-9B0E-DB6B2CD7547F}"/>
    <cellStyle name="Comma 4 3 2 2 2 4 2 5" xfId="12228" xr:uid="{F4FF20D3-CC3B-4644-99F1-7026A554AC4B}"/>
    <cellStyle name="Comma 4 3 2 2 2 4 3" xfId="5859" xr:uid="{00000000-0005-0000-0000-000023090000}"/>
    <cellStyle name="Comma 4 3 2 2 2 4 3 2" xfId="22742" xr:uid="{C1CBEA6D-4C04-42B6-B6E3-87413916896C}"/>
    <cellStyle name="Comma 4 3 2 2 2 4 3 3" xfId="31188" xr:uid="{A14CE234-1BB4-463C-96B3-70086DF310D8}"/>
    <cellStyle name="Comma 4 3 2 2 2 4 3 4" xfId="14301" xr:uid="{41785D6D-7214-4F7C-9256-C23BF55A58AC}"/>
    <cellStyle name="Comma 4 3 2 2 2 4 4" xfId="18524" xr:uid="{0262E369-22BB-438D-91EA-0AC0CEF378FD}"/>
    <cellStyle name="Comma 4 3 2 2 2 4 5" xfId="26969" xr:uid="{EC76552A-F2FA-4DF5-B440-7F814A6CE071}"/>
    <cellStyle name="Comma 4 3 2 2 2 4 6" xfId="10083" xr:uid="{6A5456CA-6D78-44EC-BFB0-6C5975E3183A}"/>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25300" xr:uid="{4D509712-11EF-446F-8966-AFFC00FA722F}"/>
    <cellStyle name="Comma 4 3 2 2 2 5 2 2 3" xfId="33746" xr:uid="{9E2E563D-CDBF-43D1-BF3A-8A593BE551E4}"/>
    <cellStyle name="Comma 4 3 2 2 2 5 2 2 4" xfId="16859" xr:uid="{53F83926-4B95-414D-A063-79B0370CF8DE}"/>
    <cellStyle name="Comma 4 3 2 2 2 5 2 3" xfId="21082" xr:uid="{1850EEA6-DA2C-445D-99FB-838BF1D532A3}"/>
    <cellStyle name="Comma 4 3 2 2 2 5 2 4" xfId="29529" xr:uid="{2F867B00-15D9-4394-A3C3-233FABCB8D7C}"/>
    <cellStyle name="Comma 4 3 2 2 2 5 2 5" xfId="12641" xr:uid="{CA4B5BA9-1E0C-4FAC-B7D1-47C55415E41A}"/>
    <cellStyle name="Comma 4 3 2 2 2 5 3" xfId="6272" xr:uid="{00000000-0005-0000-0000-000027090000}"/>
    <cellStyle name="Comma 4 3 2 2 2 5 3 2" xfId="23155" xr:uid="{5EB83E74-BFD1-4BF6-9492-F0B6B5B9435F}"/>
    <cellStyle name="Comma 4 3 2 2 2 5 3 3" xfId="31601" xr:uid="{F5380F3F-7DA9-4B45-B5C5-B7DDA9DFC1FC}"/>
    <cellStyle name="Comma 4 3 2 2 2 5 3 4" xfId="14714" xr:uid="{1755E0D7-676E-41DD-80B7-1AC1ECA391F4}"/>
    <cellStyle name="Comma 4 3 2 2 2 5 4" xfId="18937" xr:uid="{E02EA216-246F-46A4-8F7A-FFB0B547603B}"/>
    <cellStyle name="Comma 4 3 2 2 2 5 5" xfId="27382" xr:uid="{609E5F46-2759-4E4A-80D0-C2B804CB21F5}"/>
    <cellStyle name="Comma 4 3 2 2 2 5 6" xfId="10496" xr:uid="{61F6400B-9351-4B59-83A3-1730AA33978B}"/>
    <cellStyle name="Comma 4 3 2 2 2 6" xfId="2400" xr:uid="{00000000-0005-0000-0000-000028090000}"/>
    <cellStyle name="Comma 4 3 2 2 2 6 2" xfId="6685" xr:uid="{00000000-0005-0000-0000-000029090000}"/>
    <cellStyle name="Comma 4 3 2 2 2 6 2 2" xfId="23568" xr:uid="{82C67FB7-F033-4B34-B155-DDB75935CACA}"/>
    <cellStyle name="Comma 4 3 2 2 2 6 2 3" xfId="32014" xr:uid="{E7B5736A-CA8B-4F80-83B5-1AD3298C4436}"/>
    <cellStyle name="Comma 4 3 2 2 2 6 2 4" xfId="15127" xr:uid="{C893C5EA-4800-4FE5-A224-FE9E659EDB42}"/>
    <cellStyle name="Comma 4 3 2 2 2 6 3" xfId="19350" xr:uid="{48717585-2E0E-49C1-908D-E329090D7890}"/>
    <cellStyle name="Comma 4 3 2 2 2 6 4" xfId="27795" xr:uid="{47D1D6D1-E4F4-49C3-9577-EE6CFBE0CCB3}"/>
    <cellStyle name="Comma 4 3 2 2 2 6 5" xfId="10909" xr:uid="{C56EC661-83A8-4D25-962A-9EC59EB4C163}"/>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23885" xr:uid="{89058CE9-D762-4AD1-BC74-E3A71A0258C5}"/>
    <cellStyle name="Comma 4 3 2 2 2 8 2 3" xfId="32331" xr:uid="{63697DA9-0D4A-409F-A3AC-46E99A0CA49A}"/>
    <cellStyle name="Comma 4 3 2 2 2 8 2 4" xfId="15444" xr:uid="{946C9273-07EF-49A5-8627-FB2B19F0C94B}"/>
    <cellStyle name="Comma 4 3 2 2 2 8 3" xfId="19667" xr:uid="{6F8F47AB-065B-4AC2-B09D-2E239661FF66}"/>
    <cellStyle name="Comma 4 3 2 2 2 8 4" xfId="28114" xr:uid="{4964D7D7-B50A-493D-90EF-C7FE285CABD2}"/>
    <cellStyle name="Comma 4 3 2 2 2 8 5" xfId="11226" xr:uid="{E50A72C0-7A89-4491-97D9-7E386F2B5737}"/>
    <cellStyle name="Comma 4 3 2 2 2 9" xfId="4619" xr:uid="{00000000-0005-0000-0000-00002D090000}"/>
    <cellStyle name="Comma 4 3 2 2 2 9 2" xfId="21502" xr:uid="{30E4A104-E37F-4B5A-BD2C-A588A2A6D920}"/>
    <cellStyle name="Comma 4 3 2 2 2 9 3" xfId="29948" xr:uid="{DF37F0FD-D467-4D9F-8164-3D50DD7FF659}"/>
    <cellStyle name="Comma 4 3 2 2 2 9 4" xfId="13061" xr:uid="{74839EBB-2882-4660-B6A0-5519F087AFCC}"/>
    <cellStyle name="Comma 4 3 2 2 3" xfId="683" xr:uid="{00000000-0005-0000-0000-00002E090000}"/>
    <cellStyle name="Comma 4 3 2 2 3 2" xfId="2954" xr:uid="{00000000-0005-0000-0000-00002F090000}"/>
    <cellStyle name="Comma 4 3 2 2 3 2 2" xfId="7177" xr:uid="{00000000-0005-0000-0000-000030090000}"/>
    <cellStyle name="Comma 4 3 2 2 3 2 2 2" xfId="24060" xr:uid="{66636A1B-8CB2-4161-86F0-F5A59AB5DC52}"/>
    <cellStyle name="Comma 4 3 2 2 3 2 2 3" xfId="32506" xr:uid="{49CD5B02-D36A-4EE3-A198-EB02FECC94B8}"/>
    <cellStyle name="Comma 4 3 2 2 3 2 2 4" xfId="15619" xr:uid="{175155B3-1490-4EF2-99E2-DFC8CAF4C7A6}"/>
    <cellStyle name="Comma 4 3 2 2 3 2 3" xfId="19842" xr:uid="{4DA1F2FF-63B2-436D-96D2-511816507B3E}"/>
    <cellStyle name="Comma 4 3 2 2 3 2 4" xfId="28289" xr:uid="{196776B8-8DEC-42E6-AB0B-81450F495B55}"/>
    <cellStyle name="Comma 4 3 2 2 3 2 5" xfId="11401" xr:uid="{5006E91B-A55B-40A3-BAEC-95B39D43A49F}"/>
    <cellStyle name="Comma 4 3 2 2 3 3" xfId="5032" xr:uid="{00000000-0005-0000-0000-000031090000}"/>
    <cellStyle name="Comma 4 3 2 2 3 3 2" xfId="21915" xr:uid="{C186528B-CC97-4EBF-80F6-6EA791983D84}"/>
    <cellStyle name="Comma 4 3 2 2 3 3 3" xfId="30361" xr:uid="{25F2A7BB-C083-4F90-AAE3-5B8DE4157EB1}"/>
    <cellStyle name="Comma 4 3 2 2 3 3 4" xfId="13474" xr:uid="{0EC3299E-7537-4FB4-B8C3-E2D36AC71E5E}"/>
    <cellStyle name="Comma 4 3 2 2 3 4" xfId="17697" xr:uid="{73DA2EB7-7C16-45AF-8C30-A9549B02AB5F}"/>
    <cellStyle name="Comma 4 3 2 2 3 5" xfId="26142" xr:uid="{3C726CE1-65E4-492C-83FE-EDB01B118213}"/>
    <cellStyle name="Comma 4 3 2 2 3 6" xfId="9256" xr:uid="{812467D8-50FC-4AF2-AB5A-C1386D444ED4}"/>
    <cellStyle name="Comma 4 3 2 2 4" xfId="1136" xr:uid="{00000000-0005-0000-0000-000032090000}"/>
    <cellStyle name="Comma 4 3 2 2 4 2" xfId="3367" xr:uid="{00000000-0005-0000-0000-000033090000}"/>
    <cellStyle name="Comma 4 3 2 2 4 2 2" xfId="7590" xr:uid="{00000000-0005-0000-0000-000034090000}"/>
    <cellStyle name="Comma 4 3 2 2 4 2 2 2" xfId="24473" xr:uid="{DA78DF27-98D9-4D29-90D3-77CAE50D8433}"/>
    <cellStyle name="Comma 4 3 2 2 4 2 2 3" xfId="32919" xr:uid="{268F40BC-33D4-4725-86AB-A7FBB0D76244}"/>
    <cellStyle name="Comma 4 3 2 2 4 2 2 4" xfId="16032" xr:uid="{F46EF212-F02F-4E04-BD39-3369E856AA60}"/>
    <cellStyle name="Comma 4 3 2 2 4 2 3" xfId="20255" xr:uid="{67F723E3-3D5F-49EC-8941-6F354939B77E}"/>
    <cellStyle name="Comma 4 3 2 2 4 2 4" xfId="28702" xr:uid="{CB2E2688-4C19-4F6E-B210-8CB6C751015F}"/>
    <cellStyle name="Comma 4 3 2 2 4 2 5" xfId="11814" xr:uid="{9BA0D3D8-725C-4C50-9BE9-960EB7E7B37C}"/>
    <cellStyle name="Comma 4 3 2 2 4 3" xfId="5445" xr:uid="{00000000-0005-0000-0000-000035090000}"/>
    <cellStyle name="Comma 4 3 2 2 4 3 2" xfId="22328" xr:uid="{DBC9AC27-328F-40E9-8ECF-70BFD4D38307}"/>
    <cellStyle name="Comma 4 3 2 2 4 3 3" xfId="30774" xr:uid="{51807C5F-DA23-45A4-8698-E27A4FABE967}"/>
    <cellStyle name="Comma 4 3 2 2 4 3 4" xfId="13887" xr:uid="{7C812BDE-2D52-4A8A-9C64-4EE1D4DF3D80}"/>
    <cellStyle name="Comma 4 3 2 2 4 4" xfId="18110" xr:uid="{9549169E-1EB8-4F4A-BBF6-2FB28534D04F}"/>
    <cellStyle name="Comma 4 3 2 2 4 5" xfId="26555" xr:uid="{C5197D4F-8732-428C-8E96-D9A7739EA449}"/>
    <cellStyle name="Comma 4 3 2 2 4 6" xfId="9669" xr:uid="{33E90B5C-97FD-4EFE-833E-9626F4F30BD1}"/>
    <cellStyle name="Comma 4 3 2 2 5" xfId="1550" xr:uid="{00000000-0005-0000-0000-000036090000}"/>
    <cellStyle name="Comma 4 3 2 2 5 2" xfId="3780" xr:uid="{00000000-0005-0000-0000-000037090000}"/>
    <cellStyle name="Comma 4 3 2 2 5 2 2" xfId="8003" xr:uid="{00000000-0005-0000-0000-000038090000}"/>
    <cellStyle name="Comma 4 3 2 2 5 2 2 2" xfId="24886" xr:uid="{2F83C62F-EFA2-4611-88B7-10239067E1FA}"/>
    <cellStyle name="Comma 4 3 2 2 5 2 2 3" xfId="33332" xr:uid="{26847B4D-8E7B-4E8E-A6F3-114E656BAC51}"/>
    <cellStyle name="Comma 4 3 2 2 5 2 2 4" xfId="16445" xr:uid="{08D1BD33-2D35-4AA8-89DA-BF263A4204ED}"/>
    <cellStyle name="Comma 4 3 2 2 5 2 3" xfId="20668" xr:uid="{19811657-A686-4683-96E7-F4905125110C}"/>
    <cellStyle name="Comma 4 3 2 2 5 2 4" xfId="29115" xr:uid="{EBB6AD20-B47C-489A-B61C-B241F9B13E8A}"/>
    <cellStyle name="Comma 4 3 2 2 5 2 5" xfId="12227" xr:uid="{015B5816-4E2C-4F79-8634-CF5C302B8769}"/>
    <cellStyle name="Comma 4 3 2 2 5 3" xfId="5858" xr:uid="{00000000-0005-0000-0000-000039090000}"/>
    <cellStyle name="Comma 4 3 2 2 5 3 2" xfId="22741" xr:uid="{F9D80712-08A8-450F-A21B-5573011859FB}"/>
    <cellStyle name="Comma 4 3 2 2 5 3 3" xfId="31187" xr:uid="{61ECEC7D-6570-46FD-B283-73C3B0A1161F}"/>
    <cellStyle name="Comma 4 3 2 2 5 3 4" xfId="14300" xr:uid="{C0EAE339-E03A-4F73-8C10-6F68BCB00110}"/>
    <cellStyle name="Comma 4 3 2 2 5 4" xfId="18523" xr:uid="{838AA9AF-BD6E-4C1A-BF55-4D1CC009E477}"/>
    <cellStyle name="Comma 4 3 2 2 5 5" xfId="26968" xr:uid="{37F628AD-361C-41DD-8649-824FBE8C5ACB}"/>
    <cellStyle name="Comma 4 3 2 2 5 6" xfId="10082" xr:uid="{58C10311-EDAF-475B-AD51-624AD82C3977}"/>
    <cellStyle name="Comma 4 3 2 2 6" xfId="1964" xr:uid="{00000000-0005-0000-0000-00003A090000}"/>
    <cellStyle name="Comma 4 3 2 2 6 2" xfId="4193" xr:uid="{00000000-0005-0000-0000-00003B090000}"/>
    <cellStyle name="Comma 4 3 2 2 6 2 2" xfId="8416" xr:uid="{00000000-0005-0000-0000-00003C090000}"/>
    <cellStyle name="Comma 4 3 2 2 6 2 2 2" xfId="25299" xr:uid="{968B42C1-D0D6-4A69-9A86-7A837A886891}"/>
    <cellStyle name="Comma 4 3 2 2 6 2 2 3" xfId="33745" xr:uid="{D2745E62-AFAF-44CC-9EA5-7E32DB8270B0}"/>
    <cellStyle name="Comma 4 3 2 2 6 2 2 4" xfId="16858" xr:uid="{2F40492A-756F-4C43-8DB9-B1FC7B817CED}"/>
    <cellStyle name="Comma 4 3 2 2 6 2 3" xfId="21081" xr:uid="{DA116FB1-B0E1-401D-9C02-9DCA2F3083F6}"/>
    <cellStyle name="Comma 4 3 2 2 6 2 4" xfId="29528" xr:uid="{2BB018E2-4B6E-478C-B718-2411F12DB59C}"/>
    <cellStyle name="Comma 4 3 2 2 6 2 5" xfId="12640" xr:uid="{E581EDFD-EBAE-447E-91D2-2E82EA70243B}"/>
    <cellStyle name="Comma 4 3 2 2 6 3" xfId="6271" xr:uid="{00000000-0005-0000-0000-00003D090000}"/>
    <cellStyle name="Comma 4 3 2 2 6 3 2" xfId="23154" xr:uid="{789D2E98-FF2B-4971-BBC6-237E4102211F}"/>
    <cellStyle name="Comma 4 3 2 2 6 3 3" xfId="31600" xr:uid="{95A2BE90-8560-4C40-B300-28B04CA2EE3B}"/>
    <cellStyle name="Comma 4 3 2 2 6 3 4" xfId="14713" xr:uid="{3E81D4EF-94C0-47DD-9905-FB43A5103FF4}"/>
    <cellStyle name="Comma 4 3 2 2 6 4" xfId="18936" xr:uid="{428C8D42-248E-4653-95A4-D41F295C4A4B}"/>
    <cellStyle name="Comma 4 3 2 2 6 5" xfId="27381" xr:uid="{D4F67B4B-DD52-4F8E-A4A4-4756328207D8}"/>
    <cellStyle name="Comma 4 3 2 2 6 6" xfId="10495" xr:uid="{354D8007-7DBE-4900-8387-11884E51585F}"/>
    <cellStyle name="Comma 4 3 2 2 7" xfId="2399" xr:uid="{00000000-0005-0000-0000-00003E090000}"/>
    <cellStyle name="Comma 4 3 2 2 7 2" xfId="6684" xr:uid="{00000000-0005-0000-0000-00003F090000}"/>
    <cellStyle name="Comma 4 3 2 2 7 2 2" xfId="23567" xr:uid="{F86F2B6B-7A28-4CF8-BE1A-E0880F25893B}"/>
    <cellStyle name="Comma 4 3 2 2 7 2 3" xfId="32013" xr:uid="{0E0FC3E7-2676-496F-8054-9D22341AE7D2}"/>
    <cellStyle name="Comma 4 3 2 2 7 2 4" xfId="15126" xr:uid="{521DC9C0-8AF9-487C-A070-121DB539E503}"/>
    <cellStyle name="Comma 4 3 2 2 7 3" xfId="19349" xr:uid="{B0FA427A-6236-431B-9E77-2B3DFF69797C}"/>
    <cellStyle name="Comma 4 3 2 2 7 4" xfId="27794" xr:uid="{525037D2-DD49-4277-80C6-5334F5DB1318}"/>
    <cellStyle name="Comma 4 3 2 2 7 5" xfId="10908" xr:uid="{F9597E84-1DF9-4350-82EC-8478A2A46130}"/>
    <cellStyle name="Comma 4 3 2 2 8" xfId="2364" xr:uid="{00000000-0005-0000-0000-000040090000}"/>
    <cellStyle name="Comma 4 3 2 2 9" xfId="2777" xr:uid="{00000000-0005-0000-0000-000041090000}"/>
    <cellStyle name="Comma 4 3 2 2 9 2" xfId="7001" xr:uid="{00000000-0005-0000-0000-000042090000}"/>
    <cellStyle name="Comma 4 3 2 2 9 2 2" xfId="23884" xr:uid="{19901070-55CD-4112-A7E5-A6E2ECA293C3}"/>
    <cellStyle name="Comma 4 3 2 2 9 2 3" xfId="32330" xr:uid="{253BF1BE-8FC0-4FBF-8B01-E27CA2ADDA75}"/>
    <cellStyle name="Comma 4 3 2 2 9 2 4" xfId="15443" xr:uid="{9C09B245-11A0-48C7-B8ED-2C7F95D2D58F}"/>
    <cellStyle name="Comma 4 3 2 2 9 3" xfId="19666" xr:uid="{BDFC17CC-DC71-4A5D-BC31-50E4D5011063}"/>
    <cellStyle name="Comma 4 3 2 2 9 4" xfId="28113" xr:uid="{7B22508F-8EF7-45A3-BB46-17944F78764C}"/>
    <cellStyle name="Comma 4 3 2 2 9 5" xfId="11225" xr:uid="{B3EB4240-519F-4BE1-8C37-694239FEE266}"/>
    <cellStyle name="Comma 4 3 2 3" xfId="148" xr:uid="{00000000-0005-0000-0000-000043090000}"/>
    <cellStyle name="Comma 4 3 2 3 10" xfId="17285" xr:uid="{7DCB76B6-9584-48DA-A7B9-5934F3B67D33}"/>
    <cellStyle name="Comma 4 3 2 3 11" xfId="25728" xr:uid="{5D0EF877-7390-4E6A-A8AA-69AA4F5F1BC4}"/>
    <cellStyle name="Comma 4 3 2 3 12" xfId="8844" xr:uid="{4A3ECB67-AD1C-4E5F-833C-D5244C5E9168}"/>
    <cellStyle name="Comma 4 3 2 3 2" xfId="685" xr:uid="{00000000-0005-0000-0000-000044090000}"/>
    <cellStyle name="Comma 4 3 2 3 2 2" xfId="2956" xr:uid="{00000000-0005-0000-0000-000045090000}"/>
    <cellStyle name="Comma 4 3 2 3 2 2 2" xfId="7179" xr:uid="{00000000-0005-0000-0000-000046090000}"/>
    <cellStyle name="Comma 4 3 2 3 2 2 2 2" xfId="24062" xr:uid="{69CE9F50-9408-48A0-A71D-88285335FF9A}"/>
    <cellStyle name="Comma 4 3 2 3 2 2 2 3" xfId="32508" xr:uid="{29244802-0D41-4900-9667-86290D0E9212}"/>
    <cellStyle name="Comma 4 3 2 3 2 2 2 4" xfId="15621" xr:uid="{E477EEEA-147E-43C3-B752-2A6FF88B0F71}"/>
    <cellStyle name="Comma 4 3 2 3 2 2 3" xfId="19844" xr:uid="{B30D830C-AFFB-460D-AE79-52414FE4101D}"/>
    <cellStyle name="Comma 4 3 2 3 2 2 4" xfId="28291" xr:uid="{A36F3769-A8CD-42C6-BDA6-FFCC37749674}"/>
    <cellStyle name="Comma 4 3 2 3 2 2 5" xfId="11403" xr:uid="{D3499081-F946-411F-A91B-E740A9B7BA5C}"/>
    <cellStyle name="Comma 4 3 2 3 2 3" xfId="5034" xr:uid="{00000000-0005-0000-0000-000047090000}"/>
    <cellStyle name="Comma 4 3 2 3 2 3 2" xfId="21917" xr:uid="{74A41BA7-38EB-42A0-9D7B-9556468FFDA0}"/>
    <cellStyle name="Comma 4 3 2 3 2 3 3" xfId="30363" xr:uid="{F44E0F13-EF54-4A3E-9C6D-1BFC59DAD968}"/>
    <cellStyle name="Comma 4 3 2 3 2 3 4" xfId="13476" xr:uid="{DA4176E7-256C-4D40-A244-C51CA4262659}"/>
    <cellStyle name="Comma 4 3 2 3 2 4" xfId="17699" xr:uid="{8F4744F2-43D3-471A-ABDE-6C61608C69B7}"/>
    <cellStyle name="Comma 4 3 2 3 2 5" xfId="26144" xr:uid="{16B599AB-40B6-44C2-8CD1-CCBA49613A2F}"/>
    <cellStyle name="Comma 4 3 2 3 2 6" xfId="9258" xr:uid="{0AF09045-A58D-466F-9366-8AF21CF0DE0C}"/>
    <cellStyle name="Comma 4 3 2 3 3" xfId="1138" xr:uid="{00000000-0005-0000-0000-000048090000}"/>
    <cellStyle name="Comma 4 3 2 3 3 2" xfId="3369" xr:uid="{00000000-0005-0000-0000-000049090000}"/>
    <cellStyle name="Comma 4 3 2 3 3 2 2" xfId="7592" xr:uid="{00000000-0005-0000-0000-00004A090000}"/>
    <cellStyle name="Comma 4 3 2 3 3 2 2 2" xfId="24475" xr:uid="{580C4606-F2EC-4F9A-AD84-2C614FCB4D95}"/>
    <cellStyle name="Comma 4 3 2 3 3 2 2 3" xfId="32921" xr:uid="{33D39444-BB9C-45E9-B01A-2088BF9A075F}"/>
    <cellStyle name="Comma 4 3 2 3 3 2 2 4" xfId="16034" xr:uid="{0F12E32C-A348-4B71-8517-3280A9F1B8CE}"/>
    <cellStyle name="Comma 4 3 2 3 3 2 3" xfId="20257" xr:uid="{AB4238B7-B210-4571-999D-DCFF6EEFBF26}"/>
    <cellStyle name="Comma 4 3 2 3 3 2 4" xfId="28704" xr:uid="{49630ACC-C07A-45B0-96C9-C95737379081}"/>
    <cellStyle name="Comma 4 3 2 3 3 2 5" xfId="11816" xr:uid="{47A804A9-185F-457E-9324-570F5EA4F14C}"/>
    <cellStyle name="Comma 4 3 2 3 3 3" xfId="5447" xr:uid="{00000000-0005-0000-0000-00004B090000}"/>
    <cellStyle name="Comma 4 3 2 3 3 3 2" xfId="22330" xr:uid="{B7DABB64-545A-4716-9450-BB9F3A16D135}"/>
    <cellStyle name="Comma 4 3 2 3 3 3 3" xfId="30776" xr:uid="{DDA02FC1-452D-46E3-898C-CB4454D4F162}"/>
    <cellStyle name="Comma 4 3 2 3 3 3 4" xfId="13889" xr:uid="{1E1C8051-A3DB-479A-97FC-AB58A640F07F}"/>
    <cellStyle name="Comma 4 3 2 3 3 4" xfId="18112" xr:uid="{88D5CE71-3A67-44F0-9684-1FA6BCF2FBCF}"/>
    <cellStyle name="Comma 4 3 2 3 3 5" xfId="26557" xr:uid="{D74490FB-D142-4531-85F4-9B179911C042}"/>
    <cellStyle name="Comma 4 3 2 3 3 6" xfId="9671" xr:uid="{0E8525BD-269F-417D-B893-AB488C68ABCF}"/>
    <cellStyle name="Comma 4 3 2 3 4" xfId="1552" xr:uid="{00000000-0005-0000-0000-00004C090000}"/>
    <cellStyle name="Comma 4 3 2 3 4 2" xfId="3782" xr:uid="{00000000-0005-0000-0000-00004D090000}"/>
    <cellStyle name="Comma 4 3 2 3 4 2 2" xfId="8005" xr:uid="{00000000-0005-0000-0000-00004E090000}"/>
    <cellStyle name="Comma 4 3 2 3 4 2 2 2" xfId="24888" xr:uid="{1C81297C-362C-4425-80B7-83ED3E5325D5}"/>
    <cellStyle name="Comma 4 3 2 3 4 2 2 3" xfId="33334" xr:uid="{61ED3F9A-CE71-4FF2-B03E-EDB36E67D9D8}"/>
    <cellStyle name="Comma 4 3 2 3 4 2 2 4" xfId="16447" xr:uid="{9F35C967-549E-425A-9328-432281270F56}"/>
    <cellStyle name="Comma 4 3 2 3 4 2 3" xfId="20670" xr:uid="{D48AEBCD-39CD-4EE6-9588-F39F865E296D}"/>
    <cellStyle name="Comma 4 3 2 3 4 2 4" xfId="29117" xr:uid="{B5E91D18-135A-4197-AFFC-21E87D51EB91}"/>
    <cellStyle name="Comma 4 3 2 3 4 2 5" xfId="12229" xr:uid="{FE391ACE-4781-42EF-A500-8E7852280240}"/>
    <cellStyle name="Comma 4 3 2 3 4 3" xfId="5860" xr:uid="{00000000-0005-0000-0000-00004F090000}"/>
    <cellStyle name="Comma 4 3 2 3 4 3 2" xfId="22743" xr:uid="{4A4E5883-E4C4-4BEA-924D-5F39CE66AEC2}"/>
    <cellStyle name="Comma 4 3 2 3 4 3 3" xfId="31189" xr:uid="{891D6452-9123-4068-A20E-D8D7D9451605}"/>
    <cellStyle name="Comma 4 3 2 3 4 3 4" xfId="14302" xr:uid="{3574E6AD-9CB5-4376-BD09-BE6842F93B11}"/>
    <cellStyle name="Comma 4 3 2 3 4 4" xfId="18525" xr:uid="{66BF47D3-6CEF-42D8-92C4-5815F3059E88}"/>
    <cellStyle name="Comma 4 3 2 3 4 5" xfId="26970" xr:uid="{417A5EB4-44B3-419F-AE55-66CB013F7C56}"/>
    <cellStyle name="Comma 4 3 2 3 4 6" xfId="10084" xr:uid="{E4C7DD95-DEB3-45C9-BDB2-40502A0AEFBD}"/>
    <cellStyle name="Comma 4 3 2 3 5" xfId="1966" xr:uid="{00000000-0005-0000-0000-000050090000}"/>
    <cellStyle name="Comma 4 3 2 3 5 2" xfId="4195" xr:uid="{00000000-0005-0000-0000-000051090000}"/>
    <cellStyle name="Comma 4 3 2 3 5 2 2" xfId="8418" xr:uid="{00000000-0005-0000-0000-000052090000}"/>
    <cellStyle name="Comma 4 3 2 3 5 2 2 2" xfId="25301" xr:uid="{574B6417-595E-47A8-8201-87986DCFBB8E}"/>
    <cellStyle name="Comma 4 3 2 3 5 2 2 3" xfId="33747" xr:uid="{A7C5CAB2-F125-43B5-B37B-7589BA8BBDBC}"/>
    <cellStyle name="Comma 4 3 2 3 5 2 2 4" xfId="16860" xr:uid="{BDFCBCDD-A0D6-421A-8C6D-758E909384BB}"/>
    <cellStyle name="Comma 4 3 2 3 5 2 3" xfId="21083" xr:uid="{61787311-CE94-40FF-967D-0E3C34E8CD22}"/>
    <cellStyle name="Comma 4 3 2 3 5 2 4" xfId="29530" xr:uid="{C85B6AB8-6D71-477A-B1F3-A988B42F14F8}"/>
    <cellStyle name="Comma 4 3 2 3 5 2 5" xfId="12642" xr:uid="{1EE59B3B-10ED-4F43-9BB8-E07C4B38E060}"/>
    <cellStyle name="Comma 4 3 2 3 5 3" xfId="6273" xr:uid="{00000000-0005-0000-0000-000053090000}"/>
    <cellStyle name="Comma 4 3 2 3 5 3 2" xfId="23156" xr:uid="{EFA14AD9-CBE9-4E56-832F-455EC338AC87}"/>
    <cellStyle name="Comma 4 3 2 3 5 3 3" xfId="31602" xr:uid="{81A2B161-8D1C-4C5C-8B35-477495CDCFF3}"/>
    <cellStyle name="Comma 4 3 2 3 5 3 4" xfId="14715" xr:uid="{9447B3DE-A98A-476E-820C-E3B160AE4116}"/>
    <cellStyle name="Comma 4 3 2 3 5 4" xfId="18938" xr:uid="{1A1EE6EA-298F-4DDB-8169-AC74810C47BD}"/>
    <cellStyle name="Comma 4 3 2 3 5 5" xfId="27383" xr:uid="{536D3F3A-1702-4C7A-B781-0305E9D41911}"/>
    <cellStyle name="Comma 4 3 2 3 5 6" xfId="10497" xr:uid="{7133400B-2F77-429B-8CDB-8520D02C1CAD}"/>
    <cellStyle name="Comma 4 3 2 3 6" xfId="2401" xr:uid="{00000000-0005-0000-0000-000054090000}"/>
    <cellStyle name="Comma 4 3 2 3 6 2" xfId="6686" xr:uid="{00000000-0005-0000-0000-000055090000}"/>
    <cellStyle name="Comma 4 3 2 3 6 2 2" xfId="23569" xr:uid="{0BC5438A-D8ED-429A-A751-DD739718A26C}"/>
    <cellStyle name="Comma 4 3 2 3 6 2 3" xfId="32015" xr:uid="{D33B51AD-27D2-49AC-A9A3-94B47EB23BD2}"/>
    <cellStyle name="Comma 4 3 2 3 6 2 4" xfId="15128" xr:uid="{5395A508-CA79-4A41-BBA5-EF3284FB0EA5}"/>
    <cellStyle name="Comma 4 3 2 3 6 3" xfId="19351" xr:uid="{AD334AF6-4CC0-49E0-80DA-360982DE9087}"/>
    <cellStyle name="Comma 4 3 2 3 6 4" xfId="27796" xr:uid="{5D0E1E34-E769-4B42-90FC-0657548D55C2}"/>
    <cellStyle name="Comma 4 3 2 3 6 5" xfId="10910" xr:uid="{2A145DEC-4BB9-43D7-86A0-223294A8A31F}"/>
    <cellStyle name="Comma 4 3 2 3 7" xfId="2362" xr:uid="{00000000-0005-0000-0000-000056090000}"/>
    <cellStyle name="Comma 4 3 2 3 8" xfId="2779" xr:uid="{00000000-0005-0000-0000-000057090000}"/>
    <cellStyle name="Comma 4 3 2 3 8 2" xfId="7003" xr:uid="{00000000-0005-0000-0000-000058090000}"/>
    <cellStyle name="Comma 4 3 2 3 8 2 2" xfId="23886" xr:uid="{0D08F78D-6185-4301-AE0A-A929F7FEE9AF}"/>
    <cellStyle name="Comma 4 3 2 3 8 2 3" xfId="32332" xr:uid="{0C599BE2-3E95-4651-9D45-2EAF6DDF2754}"/>
    <cellStyle name="Comma 4 3 2 3 8 2 4" xfId="15445" xr:uid="{EF0E7743-C0F9-47C0-87E0-20EBD18AC325}"/>
    <cellStyle name="Comma 4 3 2 3 8 3" xfId="19668" xr:uid="{270154AE-0300-4213-9BA8-7AAD358F1F24}"/>
    <cellStyle name="Comma 4 3 2 3 8 4" xfId="28115" xr:uid="{3B49B726-74AF-45C2-BF0F-731CBDFBA951}"/>
    <cellStyle name="Comma 4 3 2 3 8 5" xfId="11227" xr:uid="{31B12E77-2427-4C74-AF08-77C878C2A6FD}"/>
    <cellStyle name="Comma 4 3 2 3 9" xfId="4620" xr:uid="{00000000-0005-0000-0000-000059090000}"/>
    <cellStyle name="Comma 4 3 2 3 9 2" xfId="21503" xr:uid="{8EE5E6D9-477B-41AC-9799-3CBCE24A079E}"/>
    <cellStyle name="Comma 4 3 2 3 9 3" xfId="29949" xr:uid="{413ECE29-19C1-40D4-99DC-BE89BCD95D18}"/>
    <cellStyle name="Comma 4 3 2 3 9 4" xfId="13062" xr:uid="{DDC48345-487E-4922-8E82-C7E51EF764D5}"/>
    <cellStyle name="Comma 4 3 2 4" xfId="682" xr:uid="{00000000-0005-0000-0000-00005A090000}"/>
    <cellStyle name="Comma 4 3 2 4 2" xfId="2953" xr:uid="{00000000-0005-0000-0000-00005B090000}"/>
    <cellStyle name="Comma 4 3 2 4 2 2" xfId="7176" xr:uid="{00000000-0005-0000-0000-00005C090000}"/>
    <cellStyle name="Comma 4 3 2 4 2 2 2" xfId="24059" xr:uid="{045182DE-D41F-4E50-B820-A19D69AC6611}"/>
    <cellStyle name="Comma 4 3 2 4 2 2 3" xfId="32505" xr:uid="{A40E11C3-38E1-4D10-B61B-47EE679BD207}"/>
    <cellStyle name="Comma 4 3 2 4 2 2 4" xfId="15618" xr:uid="{87D2F793-0DB8-4583-A6EC-62E0456FADED}"/>
    <cellStyle name="Comma 4 3 2 4 2 3" xfId="19841" xr:uid="{25493852-A6C1-4688-A3C7-BDA7299412CC}"/>
    <cellStyle name="Comma 4 3 2 4 2 4" xfId="28288" xr:uid="{CF9327CA-E133-4623-B12A-617E371E91A8}"/>
    <cellStyle name="Comma 4 3 2 4 2 5" xfId="11400" xr:uid="{6426CE9A-20C1-47C8-9F0B-3D733732A082}"/>
    <cellStyle name="Comma 4 3 2 4 3" xfId="5031" xr:uid="{00000000-0005-0000-0000-00005D090000}"/>
    <cellStyle name="Comma 4 3 2 4 3 2" xfId="21914" xr:uid="{DE1C2E82-C175-4D89-924E-F700C6109272}"/>
    <cellStyle name="Comma 4 3 2 4 3 3" xfId="30360" xr:uid="{0EDFABDF-84F9-4F5B-86CC-ABDF9EC2F047}"/>
    <cellStyle name="Comma 4 3 2 4 3 4" xfId="13473" xr:uid="{DF88BD9E-5230-46E1-9B9C-46C1C38C0961}"/>
    <cellStyle name="Comma 4 3 2 4 4" xfId="17696" xr:uid="{BA204848-1DA4-426D-ABFE-2D9EA7E31D79}"/>
    <cellStyle name="Comma 4 3 2 4 5" xfId="26141" xr:uid="{6F63CBDE-A712-41F2-B14A-2D5AA2F04662}"/>
    <cellStyle name="Comma 4 3 2 4 6" xfId="9255" xr:uid="{6A024962-DD53-4BAD-AB01-98229BAF7A8A}"/>
    <cellStyle name="Comma 4 3 2 5" xfId="1135" xr:uid="{00000000-0005-0000-0000-00005E090000}"/>
    <cellStyle name="Comma 4 3 2 5 2" xfId="3366" xr:uid="{00000000-0005-0000-0000-00005F090000}"/>
    <cellStyle name="Comma 4 3 2 5 2 2" xfId="7589" xr:uid="{00000000-0005-0000-0000-000060090000}"/>
    <cellStyle name="Comma 4 3 2 5 2 2 2" xfId="24472" xr:uid="{842D85D8-FF19-4E3F-BB8E-9FCA7F661E9C}"/>
    <cellStyle name="Comma 4 3 2 5 2 2 3" xfId="32918" xr:uid="{87581A75-96C3-41FD-B3CD-9BA8468C3A02}"/>
    <cellStyle name="Comma 4 3 2 5 2 2 4" xfId="16031" xr:uid="{DEB2456F-8990-4A09-9A8E-41591BFB4576}"/>
    <cellStyle name="Comma 4 3 2 5 2 3" xfId="20254" xr:uid="{9CA9C77B-14C6-422F-BE13-8F5481160FC1}"/>
    <cellStyle name="Comma 4 3 2 5 2 4" xfId="28701" xr:uid="{AEA98EAF-C081-4739-944E-641B42128B3D}"/>
    <cellStyle name="Comma 4 3 2 5 2 5" xfId="11813" xr:uid="{94B4D98D-216C-4323-9A5F-92AF3FAC47FE}"/>
    <cellStyle name="Comma 4 3 2 5 3" xfId="5444" xr:uid="{00000000-0005-0000-0000-000061090000}"/>
    <cellStyle name="Comma 4 3 2 5 3 2" xfId="22327" xr:uid="{79E5C1B7-8B50-4F5A-A88D-4A1A72AB17F8}"/>
    <cellStyle name="Comma 4 3 2 5 3 3" xfId="30773" xr:uid="{B7924A91-25BE-4D68-8772-34005DA9C500}"/>
    <cellStyle name="Comma 4 3 2 5 3 4" xfId="13886" xr:uid="{C186F494-B370-40EC-A316-FBACA51EE0A8}"/>
    <cellStyle name="Comma 4 3 2 5 4" xfId="18109" xr:uid="{139D7816-7988-4345-A225-FA5ED081BEDD}"/>
    <cellStyle name="Comma 4 3 2 5 5" xfId="26554" xr:uid="{763B01E2-74D0-4D6E-96C1-A5B3EBA21086}"/>
    <cellStyle name="Comma 4 3 2 5 6" xfId="9668" xr:uid="{3B33DAD7-7270-4F38-BFDC-0D3FD88BE1CC}"/>
    <cellStyle name="Comma 4 3 2 6" xfId="1549" xr:uid="{00000000-0005-0000-0000-000062090000}"/>
    <cellStyle name="Comma 4 3 2 6 2" xfId="3779" xr:uid="{00000000-0005-0000-0000-000063090000}"/>
    <cellStyle name="Comma 4 3 2 6 2 2" xfId="8002" xr:uid="{00000000-0005-0000-0000-000064090000}"/>
    <cellStyle name="Comma 4 3 2 6 2 2 2" xfId="24885" xr:uid="{4FD6E149-B2F6-4B78-8791-8D381058A79E}"/>
    <cellStyle name="Comma 4 3 2 6 2 2 3" xfId="33331" xr:uid="{5A84DFBA-61CD-4515-876E-8BFBFC65701F}"/>
    <cellStyle name="Comma 4 3 2 6 2 2 4" xfId="16444" xr:uid="{28A136C6-0690-4BBC-B67F-D65B0CBA8856}"/>
    <cellStyle name="Comma 4 3 2 6 2 3" xfId="20667" xr:uid="{62955FA1-F2C9-46D5-8A78-B29841E2304D}"/>
    <cellStyle name="Comma 4 3 2 6 2 4" xfId="29114" xr:uid="{4FF8EB32-D59B-4E61-BE2E-64AED0586A0B}"/>
    <cellStyle name="Comma 4 3 2 6 2 5" xfId="12226" xr:uid="{875AB039-6391-4653-B3F8-37D96084B851}"/>
    <cellStyle name="Comma 4 3 2 6 3" xfId="5857" xr:uid="{00000000-0005-0000-0000-000065090000}"/>
    <cellStyle name="Comma 4 3 2 6 3 2" xfId="22740" xr:uid="{719CAEE0-0801-4B3D-898D-0ED02EC75F2F}"/>
    <cellStyle name="Comma 4 3 2 6 3 3" xfId="31186" xr:uid="{B39ECEE8-A582-47EF-91FA-FBD5D743B4AB}"/>
    <cellStyle name="Comma 4 3 2 6 3 4" xfId="14299" xr:uid="{5BF41BD2-F39B-4573-98FB-8E65F37B3863}"/>
    <cellStyle name="Comma 4 3 2 6 4" xfId="18522" xr:uid="{D1AC4033-FB9A-4AA2-ABA8-AE1F49D975C8}"/>
    <cellStyle name="Comma 4 3 2 6 5" xfId="26967" xr:uid="{B46688D3-1E05-4206-A213-3F86DDD817A0}"/>
    <cellStyle name="Comma 4 3 2 6 6" xfId="10081" xr:uid="{48FDD661-1000-480E-A9B3-C3E195ACAF75}"/>
    <cellStyle name="Comma 4 3 2 7" xfId="1963" xr:uid="{00000000-0005-0000-0000-000066090000}"/>
    <cellStyle name="Comma 4 3 2 7 2" xfId="4192" xr:uid="{00000000-0005-0000-0000-000067090000}"/>
    <cellStyle name="Comma 4 3 2 7 2 2" xfId="8415" xr:uid="{00000000-0005-0000-0000-000068090000}"/>
    <cellStyle name="Comma 4 3 2 7 2 2 2" xfId="25298" xr:uid="{777AFDDE-DBCF-4704-8D79-02A09EDBB48F}"/>
    <cellStyle name="Comma 4 3 2 7 2 2 3" xfId="33744" xr:uid="{208B3DFD-A74B-4ED1-A6A3-C49679EDCA96}"/>
    <cellStyle name="Comma 4 3 2 7 2 2 4" xfId="16857" xr:uid="{BDC3F57D-9C3C-40E4-B56C-A1A7EDB0389C}"/>
    <cellStyle name="Comma 4 3 2 7 2 3" xfId="21080" xr:uid="{66289916-BF77-4A9A-A740-D893F5B2E218}"/>
    <cellStyle name="Comma 4 3 2 7 2 4" xfId="29527" xr:uid="{D4840C96-CD76-4A35-B687-B4A6146CB5E1}"/>
    <cellStyle name="Comma 4 3 2 7 2 5" xfId="12639" xr:uid="{6B10BC0D-7EE4-4532-899E-641636E26013}"/>
    <cellStyle name="Comma 4 3 2 7 3" xfId="6270" xr:uid="{00000000-0005-0000-0000-000069090000}"/>
    <cellStyle name="Comma 4 3 2 7 3 2" xfId="23153" xr:uid="{CDC8B3A8-FDD2-47D2-8DF0-E326EA366B2F}"/>
    <cellStyle name="Comma 4 3 2 7 3 3" xfId="31599" xr:uid="{33081FF7-C60E-4C5E-A994-C1FDD288574E}"/>
    <cellStyle name="Comma 4 3 2 7 3 4" xfId="14712" xr:uid="{CF14B9FA-D274-4DBC-B1CC-D670253D1883}"/>
    <cellStyle name="Comma 4 3 2 7 4" xfId="18935" xr:uid="{493CCAAE-A77D-4750-BD16-1E756897995E}"/>
    <cellStyle name="Comma 4 3 2 7 5" xfId="27380" xr:uid="{8B9C8039-3D6D-4119-9F6A-F342A4183829}"/>
    <cellStyle name="Comma 4 3 2 7 6" xfId="10494" xr:uid="{95D95D7E-8ACC-42B6-90B6-27BF6557A978}"/>
    <cellStyle name="Comma 4 3 2 8" xfId="2398" xr:uid="{00000000-0005-0000-0000-00006A090000}"/>
    <cellStyle name="Comma 4 3 2 8 2" xfId="6683" xr:uid="{00000000-0005-0000-0000-00006B090000}"/>
    <cellStyle name="Comma 4 3 2 8 2 2" xfId="23566" xr:uid="{5F6E4350-243B-4E4D-ABD0-3EC4D93FD591}"/>
    <cellStyle name="Comma 4 3 2 8 2 3" xfId="32012" xr:uid="{464E11E6-5C95-4E5A-BAC1-5FBF07A29040}"/>
    <cellStyle name="Comma 4 3 2 8 2 4" xfId="15125" xr:uid="{FCD9F299-CDE9-450D-BD6E-23F7EEC01683}"/>
    <cellStyle name="Comma 4 3 2 8 3" xfId="19348" xr:uid="{7A577065-110F-4891-8998-399E128D80A0}"/>
    <cellStyle name="Comma 4 3 2 8 4" xfId="27793" xr:uid="{973E2B98-F1C0-4322-A02D-E4C16BB1C6CF}"/>
    <cellStyle name="Comma 4 3 2 8 5" xfId="10907" xr:uid="{834EBBD8-8AF7-47AE-93C6-041FA9AA91CC}"/>
    <cellStyle name="Comma 4 3 2 9" xfId="2365" xr:uid="{00000000-0005-0000-0000-00006C090000}"/>
    <cellStyle name="Comma 4 3 3" xfId="149" xr:uid="{00000000-0005-0000-0000-00006D090000}"/>
    <cellStyle name="Comma 4 3 3 10" xfId="4621" xr:uid="{00000000-0005-0000-0000-00006E090000}"/>
    <cellStyle name="Comma 4 3 3 10 2" xfId="21504" xr:uid="{A6A10538-47FC-4ABA-A6E4-996C28DE7EF7}"/>
    <cellStyle name="Comma 4 3 3 10 3" xfId="29950" xr:uid="{25E70860-7476-418F-A4B6-C443BBA5189A}"/>
    <cellStyle name="Comma 4 3 3 10 4" xfId="13063" xr:uid="{435DF6A8-63E7-468B-B714-683AE86FC705}"/>
    <cellStyle name="Comma 4 3 3 11" xfId="17286" xr:uid="{11268155-0ADA-4F53-B967-1A7FF66E0BA9}"/>
    <cellStyle name="Comma 4 3 3 12" xfId="25729" xr:uid="{0D05B5D6-2368-4C3B-9F7A-0406F712A576}"/>
    <cellStyle name="Comma 4 3 3 13" xfId="8845" xr:uid="{2B338F77-9EBB-4898-990F-95E669C781CD}"/>
    <cellStyle name="Comma 4 3 3 2" xfId="150" xr:uid="{00000000-0005-0000-0000-00006F090000}"/>
    <cellStyle name="Comma 4 3 3 2 10" xfId="17287" xr:uid="{44B33ED5-935B-4B04-8483-E080FAA43DDF}"/>
    <cellStyle name="Comma 4 3 3 2 11" xfId="25730" xr:uid="{EFEABC97-02C3-4D42-9C91-FC4A501C835B}"/>
    <cellStyle name="Comma 4 3 3 2 12" xfId="8846" xr:uid="{977D646F-6951-4A7A-BA97-FADAB29E7566}"/>
    <cellStyle name="Comma 4 3 3 2 2" xfId="687" xr:uid="{00000000-0005-0000-0000-000070090000}"/>
    <cellStyle name="Comma 4 3 3 2 2 2" xfId="2958" xr:uid="{00000000-0005-0000-0000-000071090000}"/>
    <cellStyle name="Comma 4 3 3 2 2 2 2" xfId="7181" xr:uid="{00000000-0005-0000-0000-000072090000}"/>
    <cellStyle name="Comma 4 3 3 2 2 2 2 2" xfId="24064" xr:uid="{B4D2C4DF-D3DF-4D4F-8E60-6A956EC5C199}"/>
    <cellStyle name="Comma 4 3 3 2 2 2 2 3" xfId="32510" xr:uid="{A773F80C-064D-41FC-8C0F-E084C7E23D9B}"/>
    <cellStyle name="Comma 4 3 3 2 2 2 2 4" xfId="15623" xr:uid="{DDDE3090-2A88-433E-B1D1-AA24FD038942}"/>
    <cellStyle name="Comma 4 3 3 2 2 2 3" xfId="19846" xr:uid="{7FC52139-7376-43FA-ACD1-2FEB792425C5}"/>
    <cellStyle name="Comma 4 3 3 2 2 2 4" xfId="28293" xr:uid="{DC24F2C7-638A-4DE6-BDC9-D6B9FC94007E}"/>
    <cellStyle name="Comma 4 3 3 2 2 2 5" xfId="11405" xr:uid="{5372604D-F7CA-4CDA-9201-307234867513}"/>
    <cellStyle name="Comma 4 3 3 2 2 3" xfId="5036" xr:uid="{00000000-0005-0000-0000-000073090000}"/>
    <cellStyle name="Comma 4 3 3 2 2 3 2" xfId="21919" xr:uid="{D11F93DF-DE12-4A81-B1A1-550C2071F6CF}"/>
    <cellStyle name="Comma 4 3 3 2 2 3 3" xfId="30365" xr:uid="{D9C90150-5D0F-4D44-9799-1ACBD3127FF5}"/>
    <cellStyle name="Comma 4 3 3 2 2 3 4" xfId="13478" xr:uid="{4AA27B02-239C-46A2-9905-D48F9F792567}"/>
    <cellStyle name="Comma 4 3 3 2 2 4" xfId="17701" xr:uid="{6B895A7C-CBFE-4FF4-8A14-74DEEFD2A4EC}"/>
    <cellStyle name="Comma 4 3 3 2 2 5" xfId="26146" xr:uid="{410B3781-8BC7-4412-8A5A-ED86B338B43A}"/>
    <cellStyle name="Comma 4 3 3 2 2 6" xfId="9260" xr:uid="{FF7D73F3-E4C7-4D7A-9EEF-BEEB52ED8FB4}"/>
    <cellStyle name="Comma 4 3 3 2 3" xfId="1140" xr:uid="{00000000-0005-0000-0000-000074090000}"/>
    <cellStyle name="Comma 4 3 3 2 3 2" xfId="3371" xr:uid="{00000000-0005-0000-0000-000075090000}"/>
    <cellStyle name="Comma 4 3 3 2 3 2 2" xfId="7594" xr:uid="{00000000-0005-0000-0000-000076090000}"/>
    <cellStyle name="Comma 4 3 3 2 3 2 2 2" xfId="24477" xr:uid="{F11E0D91-F0DA-41C3-96B2-CE0DA4CE7727}"/>
    <cellStyle name="Comma 4 3 3 2 3 2 2 3" xfId="32923" xr:uid="{E4CA7FE5-0ECB-478C-B00A-42DE2B10DFB7}"/>
    <cellStyle name="Comma 4 3 3 2 3 2 2 4" xfId="16036" xr:uid="{4B0B144B-34B1-4624-AEBE-F535C27A16B8}"/>
    <cellStyle name="Comma 4 3 3 2 3 2 3" xfId="20259" xr:uid="{8EBF3591-B8F0-44EA-9BEF-D5044596A1FB}"/>
    <cellStyle name="Comma 4 3 3 2 3 2 4" xfId="28706" xr:uid="{FB4F815D-FFEE-45BB-9996-42135AE4FDE2}"/>
    <cellStyle name="Comma 4 3 3 2 3 2 5" xfId="11818" xr:uid="{DFBF26CA-61BF-4936-BEBE-C7E2DB8A8646}"/>
    <cellStyle name="Comma 4 3 3 2 3 3" xfId="5449" xr:uid="{00000000-0005-0000-0000-000077090000}"/>
    <cellStyle name="Comma 4 3 3 2 3 3 2" xfId="22332" xr:uid="{7A2B7102-6D4D-4DE8-96BD-91F693B600EE}"/>
    <cellStyle name="Comma 4 3 3 2 3 3 3" xfId="30778" xr:uid="{A4160D40-FD56-4870-9F7B-FDBEA55D966A}"/>
    <cellStyle name="Comma 4 3 3 2 3 3 4" xfId="13891" xr:uid="{41C541AC-F816-4C7B-BE8E-E47C77D41EEA}"/>
    <cellStyle name="Comma 4 3 3 2 3 4" xfId="18114" xr:uid="{021DE5F2-761A-4910-933C-B4C6B4D26894}"/>
    <cellStyle name="Comma 4 3 3 2 3 5" xfId="26559" xr:uid="{A3C0F647-0082-41DC-A0CD-BCDE5CD52844}"/>
    <cellStyle name="Comma 4 3 3 2 3 6" xfId="9673" xr:uid="{AFB3454B-07CC-4244-9FF2-8398153B38E3}"/>
    <cellStyle name="Comma 4 3 3 2 4" xfId="1554" xr:uid="{00000000-0005-0000-0000-000078090000}"/>
    <cellStyle name="Comma 4 3 3 2 4 2" xfId="3784" xr:uid="{00000000-0005-0000-0000-000079090000}"/>
    <cellStyle name="Comma 4 3 3 2 4 2 2" xfId="8007" xr:uid="{00000000-0005-0000-0000-00007A090000}"/>
    <cellStyle name="Comma 4 3 3 2 4 2 2 2" xfId="24890" xr:uid="{EA67143B-2AD9-4372-B9A0-8128002803A8}"/>
    <cellStyle name="Comma 4 3 3 2 4 2 2 3" xfId="33336" xr:uid="{92BF3506-7B10-4171-8EFF-35EA2AF476E7}"/>
    <cellStyle name="Comma 4 3 3 2 4 2 2 4" xfId="16449" xr:uid="{B42615E2-1965-4551-BE50-A13A168F9FF4}"/>
    <cellStyle name="Comma 4 3 3 2 4 2 3" xfId="20672" xr:uid="{C3630187-291F-473C-899B-0EF1B323F4B2}"/>
    <cellStyle name="Comma 4 3 3 2 4 2 4" xfId="29119" xr:uid="{3202024C-2DB6-4CD1-BD0C-6589E64B42F5}"/>
    <cellStyle name="Comma 4 3 3 2 4 2 5" xfId="12231" xr:uid="{9BADA255-EF95-4979-B5CF-DAF48FC0D2A7}"/>
    <cellStyle name="Comma 4 3 3 2 4 3" xfId="5862" xr:uid="{00000000-0005-0000-0000-00007B090000}"/>
    <cellStyle name="Comma 4 3 3 2 4 3 2" xfId="22745" xr:uid="{7D0911C4-D21B-4108-BF70-C5D8C6AE8F6D}"/>
    <cellStyle name="Comma 4 3 3 2 4 3 3" xfId="31191" xr:uid="{D98E892F-8E77-4A8E-91BC-CC896C3277FD}"/>
    <cellStyle name="Comma 4 3 3 2 4 3 4" xfId="14304" xr:uid="{9BF00C4C-55C4-4B1B-AA2A-56ECEDB7F5B5}"/>
    <cellStyle name="Comma 4 3 3 2 4 4" xfId="18527" xr:uid="{CB300FC8-52C8-46C7-9906-55CE06EFEBD2}"/>
    <cellStyle name="Comma 4 3 3 2 4 5" xfId="26972" xr:uid="{08B249C5-0193-4148-ABA4-11094CD2176A}"/>
    <cellStyle name="Comma 4 3 3 2 4 6" xfId="10086" xr:uid="{AC1A9812-77D3-4B19-98D0-6488FC4BD477}"/>
    <cellStyle name="Comma 4 3 3 2 5" xfId="1968" xr:uid="{00000000-0005-0000-0000-00007C090000}"/>
    <cellStyle name="Comma 4 3 3 2 5 2" xfId="4197" xr:uid="{00000000-0005-0000-0000-00007D090000}"/>
    <cellStyle name="Comma 4 3 3 2 5 2 2" xfId="8420" xr:uid="{00000000-0005-0000-0000-00007E090000}"/>
    <cellStyle name="Comma 4 3 3 2 5 2 2 2" xfId="25303" xr:uid="{30AEB864-1C2A-4F70-ABE7-4A98EC4C3ADC}"/>
    <cellStyle name="Comma 4 3 3 2 5 2 2 3" xfId="33749" xr:uid="{352B1BB4-66BE-48C3-B521-52647594EFE6}"/>
    <cellStyle name="Comma 4 3 3 2 5 2 2 4" xfId="16862" xr:uid="{96188542-4F69-4C50-9FF5-D6C7E3D5F1F3}"/>
    <cellStyle name="Comma 4 3 3 2 5 2 3" xfId="21085" xr:uid="{8B560168-0646-42EC-9B6F-CA6659FD8E0A}"/>
    <cellStyle name="Comma 4 3 3 2 5 2 4" xfId="29532" xr:uid="{7E8C0644-C46E-4042-AEC7-C71FE41CC72F}"/>
    <cellStyle name="Comma 4 3 3 2 5 2 5" xfId="12644" xr:uid="{6F1ECD5F-E9EA-4920-89AA-4BA4ECEB427F}"/>
    <cellStyle name="Comma 4 3 3 2 5 3" xfId="6275" xr:uid="{00000000-0005-0000-0000-00007F090000}"/>
    <cellStyle name="Comma 4 3 3 2 5 3 2" xfId="23158" xr:uid="{57F12A70-02B3-4BCE-8C4C-4E0A76A540DF}"/>
    <cellStyle name="Comma 4 3 3 2 5 3 3" xfId="31604" xr:uid="{833201BB-240E-4F56-A4F6-F32610B78889}"/>
    <cellStyle name="Comma 4 3 3 2 5 3 4" xfId="14717" xr:uid="{FEF7B8A8-E80A-4271-94E1-92B60F10A9AD}"/>
    <cellStyle name="Comma 4 3 3 2 5 4" xfId="18940" xr:uid="{BE105AA7-60E4-4C8E-8BBF-3B36DAD77127}"/>
    <cellStyle name="Comma 4 3 3 2 5 5" xfId="27385" xr:uid="{85FCD7A3-6584-45B8-A8E9-29035A8FBD68}"/>
    <cellStyle name="Comma 4 3 3 2 5 6" xfId="10499" xr:uid="{477A65AC-FBF6-4EED-BDA9-D7B77615EC99}"/>
    <cellStyle name="Comma 4 3 3 2 6" xfId="2403" xr:uid="{00000000-0005-0000-0000-000080090000}"/>
    <cellStyle name="Comma 4 3 3 2 6 2" xfId="6688" xr:uid="{00000000-0005-0000-0000-000081090000}"/>
    <cellStyle name="Comma 4 3 3 2 6 2 2" xfId="23571" xr:uid="{EC25A9A7-82C4-4922-AB98-ED2C9EEB59EE}"/>
    <cellStyle name="Comma 4 3 3 2 6 2 3" xfId="32017" xr:uid="{88FD36AF-3EBB-4DB3-9222-CE7709C4D8C5}"/>
    <cellStyle name="Comma 4 3 3 2 6 2 4" xfId="15130" xr:uid="{AD9EDC13-75D7-4072-AB56-0FC4E02BE4AD}"/>
    <cellStyle name="Comma 4 3 3 2 6 3" xfId="19353" xr:uid="{2B7C80A6-93A4-4173-814B-EB9F057CC8DF}"/>
    <cellStyle name="Comma 4 3 3 2 6 4" xfId="27798" xr:uid="{DA50D0F1-1D4D-4E24-805A-871F9C143083}"/>
    <cellStyle name="Comma 4 3 3 2 6 5" xfId="10912" xr:uid="{224CC9A4-CC52-4B06-8766-B4685F7A1425}"/>
    <cellStyle name="Comma 4 3 3 2 7" xfId="2360" xr:uid="{00000000-0005-0000-0000-000082090000}"/>
    <cellStyle name="Comma 4 3 3 2 8" xfId="2781" xr:uid="{00000000-0005-0000-0000-000083090000}"/>
    <cellStyle name="Comma 4 3 3 2 8 2" xfId="7005" xr:uid="{00000000-0005-0000-0000-000084090000}"/>
    <cellStyle name="Comma 4 3 3 2 8 2 2" xfId="23888" xr:uid="{B53D9EAB-DEA1-459A-A603-098DFE8A5513}"/>
    <cellStyle name="Comma 4 3 3 2 8 2 3" xfId="32334" xr:uid="{CBCE5C93-D8B1-4D9D-BE32-B5735915BC7D}"/>
    <cellStyle name="Comma 4 3 3 2 8 2 4" xfId="15447" xr:uid="{8BC46B29-1179-4469-93D5-F75AE0BF0469}"/>
    <cellStyle name="Comma 4 3 3 2 8 3" xfId="19670" xr:uid="{21229BEA-4F17-49CD-A120-EFB2CFE4FE56}"/>
    <cellStyle name="Comma 4 3 3 2 8 4" xfId="28117" xr:uid="{7A353111-C10B-426F-B880-FD78A3592911}"/>
    <cellStyle name="Comma 4 3 3 2 8 5" xfId="11229" xr:uid="{E0F0FB56-BA02-4BA9-AE82-B4DBF33897A6}"/>
    <cellStyle name="Comma 4 3 3 2 9" xfId="4622" xr:uid="{00000000-0005-0000-0000-000085090000}"/>
    <cellStyle name="Comma 4 3 3 2 9 2" xfId="21505" xr:uid="{6E71AF32-BC2F-4B37-8EF4-70FA9144333E}"/>
    <cellStyle name="Comma 4 3 3 2 9 3" xfId="29951" xr:uid="{EA114AD0-2DED-45C7-B053-F21376409A41}"/>
    <cellStyle name="Comma 4 3 3 2 9 4" xfId="13064" xr:uid="{7C5B3013-EAF2-4E92-B9F1-07EED4395441}"/>
    <cellStyle name="Comma 4 3 3 3" xfId="686" xr:uid="{00000000-0005-0000-0000-000086090000}"/>
    <cellStyle name="Comma 4 3 3 3 2" xfId="2957" xr:uid="{00000000-0005-0000-0000-000087090000}"/>
    <cellStyle name="Comma 4 3 3 3 2 2" xfId="7180" xr:uid="{00000000-0005-0000-0000-000088090000}"/>
    <cellStyle name="Comma 4 3 3 3 2 2 2" xfId="24063" xr:uid="{6C88FC6B-6906-4FF4-823E-761B7B4E3615}"/>
    <cellStyle name="Comma 4 3 3 3 2 2 3" xfId="32509" xr:uid="{543A9E77-D750-42C5-AE0C-5FC743620D9D}"/>
    <cellStyle name="Comma 4 3 3 3 2 2 4" xfId="15622" xr:uid="{A38613C0-3F57-4B74-BA03-A8D3F22E3FBE}"/>
    <cellStyle name="Comma 4 3 3 3 2 3" xfId="19845" xr:uid="{76E14A93-95FE-42E8-AF60-F4F1605C0A77}"/>
    <cellStyle name="Comma 4 3 3 3 2 4" xfId="28292" xr:uid="{1B703E19-D77B-497A-899B-BFD7D43C79D2}"/>
    <cellStyle name="Comma 4 3 3 3 2 5" xfId="11404" xr:uid="{4BAC4550-7CBA-407E-A00F-2F5B788D3584}"/>
    <cellStyle name="Comma 4 3 3 3 3" xfId="5035" xr:uid="{00000000-0005-0000-0000-000089090000}"/>
    <cellStyle name="Comma 4 3 3 3 3 2" xfId="21918" xr:uid="{DB9DE64A-B221-45BD-9305-3F8FD7C1F08B}"/>
    <cellStyle name="Comma 4 3 3 3 3 3" xfId="30364" xr:uid="{F02312F6-E199-4120-AD85-267CE1DDB512}"/>
    <cellStyle name="Comma 4 3 3 3 3 4" xfId="13477" xr:uid="{408FA257-E5F8-483D-B52E-3C0D921265A2}"/>
    <cellStyle name="Comma 4 3 3 3 4" xfId="17700" xr:uid="{984668A4-7FAA-4265-A838-8A892131819B}"/>
    <cellStyle name="Comma 4 3 3 3 5" xfId="26145" xr:uid="{B879A9D3-E8BB-4A31-B499-D06F0B0F3E6E}"/>
    <cellStyle name="Comma 4 3 3 3 6" xfId="9259" xr:uid="{D801610E-DC9A-4A02-90BB-BF2430611E73}"/>
    <cellStyle name="Comma 4 3 3 4" xfId="1139" xr:uid="{00000000-0005-0000-0000-00008A090000}"/>
    <cellStyle name="Comma 4 3 3 4 2" xfId="3370" xr:uid="{00000000-0005-0000-0000-00008B090000}"/>
    <cellStyle name="Comma 4 3 3 4 2 2" xfId="7593" xr:uid="{00000000-0005-0000-0000-00008C090000}"/>
    <cellStyle name="Comma 4 3 3 4 2 2 2" xfId="24476" xr:uid="{ED99C7DA-CCEE-4F99-A4B8-AE98C5F8415E}"/>
    <cellStyle name="Comma 4 3 3 4 2 2 3" xfId="32922" xr:uid="{43BC5ABE-230E-4B60-864C-E84252ABC5C0}"/>
    <cellStyle name="Comma 4 3 3 4 2 2 4" xfId="16035" xr:uid="{5187C5DF-2084-432A-8E80-CDA023625AAB}"/>
    <cellStyle name="Comma 4 3 3 4 2 3" xfId="20258" xr:uid="{8D459247-D5E4-4AE1-A8F7-2D898B892D62}"/>
    <cellStyle name="Comma 4 3 3 4 2 4" xfId="28705" xr:uid="{05C80F8D-CE0C-4A62-B2FB-BBB15C0FFE74}"/>
    <cellStyle name="Comma 4 3 3 4 2 5" xfId="11817" xr:uid="{33107270-2CA4-4319-8DE2-D7BF1675A14C}"/>
    <cellStyle name="Comma 4 3 3 4 3" xfId="5448" xr:uid="{00000000-0005-0000-0000-00008D090000}"/>
    <cellStyle name="Comma 4 3 3 4 3 2" xfId="22331" xr:uid="{5B5DA414-CEBD-4563-BD00-FF98590E677E}"/>
    <cellStyle name="Comma 4 3 3 4 3 3" xfId="30777" xr:uid="{7771DD23-9AAC-4380-BD2B-DA726AEC2F99}"/>
    <cellStyle name="Comma 4 3 3 4 3 4" xfId="13890" xr:uid="{1795BFD1-AF8B-44FE-BB5D-A2BD4DDE200F}"/>
    <cellStyle name="Comma 4 3 3 4 4" xfId="18113" xr:uid="{1A216C5A-F0B1-4C64-8AE6-6719D8868819}"/>
    <cellStyle name="Comma 4 3 3 4 5" xfId="26558" xr:uid="{39F4062D-E84B-4451-8693-DA65EDC1A094}"/>
    <cellStyle name="Comma 4 3 3 4 6" xfId="9672" xr:uid="{E79BFF78-6835-4BCF-BDAE-E7E526C20C56}"/>
    <cellStyle name="Comma 4 3 3 5" xfId="1553" xr:uid="{00000000-0005-0000-0000-00008E090000}"/>
    <cellStyle name="Comma 4 3 3 5 2" xfId="3783" xr:uid="{00000000-0005-0000-0000-00008F090000}"/>
    <cellStyle name="Comma 4 3 3 5 2 2" xfId="8006" xr:uid="{00000000-0005-0000-0000-000090090000}"/>
    <cellStyle name="Comma 4 3 3 5 2 2 2" xfId="24889" xr:uid="{B4869C70-886C-4A35-A21E-1F92CCE3C1CE}"/>
    <cellStyle name="Comma 4 3 3 5 2 2 3" xfId="33335" xr:uid="{CC905F65-5028-419D-B5AC-D08DA7AA8120}"/>
    <cellStyle name="Comma 4 3 3 5 2 2 4" xfId="16448" xr:uid="{C8957AC0-5D5C-4E91-85B5-8F7A6D8BA91D}"/>
    <cellStyle name="Comma 4 3 3 5 2 3" xfId="20671" xr:uid="{31E4BAB5-EBCC-4267-82D0-7C8B5EEEBF85}"/>
    <cellStyle name="Comma 4 3 3 5 2 4" xfId="29118" xr:uid="{55DF1949-39C7-4028-A120-9911AA3A5DCA}"/>
    <cellStyle name="Comma 4 3 3 5 2 5" xfId="12230" xr:uid="{2B91CAFF-BB33-4AC5-A797-C8AE0DE7354E}"/>
    <cellStyle name="Comma 4 3 3 5 3" xfId="5861" xr:uid="{00000000-0005-0000-0000-000091090000}"/>
    <cellStyle name="Comma 4 3 3 5 3 2" xfId="22744" xr:uid="{1BF61433-1E28-4301-83C3-353084877C85}"/>
    <cellStyle name="Comma 4 3 3 5 3 3" xfId="31190" xr:uid="{4AD7327B-1A4C-46B6-9CDB-E211F956E064}"/>
    <cellStyle name="Comma 4 3 3 5 3 4" xfId="14303" xr:uid="{5E6F521D-162A-4960-A51D-2F2DCC1621CA}"/>
    <cellStyle name="Comma 4 3 3 5 4" xfId="18526" xr:uid="{DE6C7BB7-F129-4FD2-951C-C7E1C7DF8985}"/>
    <cellStyle name="Comma 4 3 3 5 5" xfId="26971" xr:uid="{49CDCFC9-3F5D-42D1-BC13-0A1106CA05B2}"/>
    <cellStyle name="Comma 4 3 3 5 6" xfId="10085" xr:uid="{0541A396-9832-40CC-A7C5-6631D300D4B7}"/>
    <cellStyle name="Comma 4 3 3 6" xfId="1967" xr:uid="{00000000-0005-0000-0000-000092090000}"/>
    <cellStyle name="Comma 4 3 3 6 2" xfId="4196" xr:uid="{00000000-0005-0000-0000-000093090000}"/>
    <cellStyle name="Comma 4 3 3 6 2 2" xfId="8419" xr:uid="{00000000-0005-0000-0000-000094090000}"/>
    <cellStyle name="Comma 4 3 3 6 2 2 2" xfId="25302" xr:uid="{2A6E3D80-5200-42BC-863A-C321F43EE295}"/>
    <cellStyle name="Comma 4 3 3 6 2 2 3" xfId="33748" xr:uid="{1968682A-9B2A-4D20-AB54-313AB3C5415C}"/>
    <cellStyle name="Comma 4 3 3 6 2 2 4" xfId="16861" xr:uid="{E2D0E070-2018-407F-B9E9-8FABB27262BB}"/>
    <cellStyle name="Comma 4 3 3 6 2 3" xfId="21084" xr:uid="{873B32C4-138A-4BBD-B96C-F046C59A851B}"/>
    <cellStyle name="Comma 4 3 3 6 2 4" xfId="29531" xr:uid="{9D1D4CE5-D6E5-4A90-AA9D-139230E0585E}"/>
    <cellStyle name="Comma 4 3 3 6 2 5" xfId="12643" xr:uid="{3E807341-D2D6-4CA1-A6CD-3DD0977C04B9}"/>
    <cellStyle name="Comma 4 3 3 6 3" xfId="6274" xr:uid="{00000000-0005-0000-0000-000095090000}"/>
    <cellStyle name="Comma 4 3 3 6 3 2" xfId="23157" xr:uid="{119AFB2D-D49B-4556-BB74-B08907A50038}"/>
    <cellStyle name="Comma 4 3 3 6 3 3" xfId="31603" xr:uid="{60356535-17C5-4BEE-ABB2-76725BE95A26}"/>
    <cellStyle name="Comma 4 3 3 6 3 4" xfId="14716" xr:uid="{0BD2D2E8-C5B5-4115-9E67-42DF3E752455}"/>
    <cellStyle name="Comma 4 3 3 6 4" xfId="18939" xr:uid="{505CF448-0F62-4083-B96E-32A0ABB5A0E1}"/>
    <cellStyle name="Comma 4 3 3 6 5" xfId="27384" xr:uid="{249E0425-208C-4F15-B74A-031A4024EE83}"/>
    <cellStyle name="Comma 4 3 3 6 6" xfId="10498" xr:uid="{F84B2110-544A-4F0E-B6CA-482DE2A205D1}"/>
    <cellStyle name="Comma 4 3 3 7" xfId="2402" xr:uid="{00000000-0005-0000-0000-000096090000}"/>
    <cellStyle name="Comma 4 3 3 7 2" xfId="6687" xr:uid="{00000000-0005-0000-0000-000097090000}"/>
    <cellStyle name="Comma 4 3 3 7 2 2" xfId="23570" xr:uid="{90196AF6-C02B-4761-AEAD-9C39D1DF52F9}"/>
    <cellStyle name="Comma 4 3 3 7 2 3" xfId="32016" xr:uid="{FD6C1DEF-C708-4D62-B7DC-E92F17E8565B}"/>
    <cellStyle name="Comma 4 3 3 7 2 4" xfId="15129" xr:uid="{81E267B7-9CBD-4F9E-8F42-F964E76863FA}"/>
    <cellStyle name="Comma 4 3 3 7 3" xfId="19352" xr:uid="{67DDF691-5852-4B4D-BD07-DA7EC5F37E49}"/>
    <cellStyle name="Comma 4 3 3 7 4" xfId="27797" xr:uid="{56E124ED-BC95-4380-80CD-1BE85C89696E}"/>
    <cellStyle name="Comma 4 3 3 7 5" xfId="10911" xr:uid="{53D8D695-DFCB-4643-885A-7866A1B2DFDC}"/>
    <cellStyle name="Comma 4 3 3 8" xfId="2361" xr:uid="{00000000-0005-0000-0000-000098090000}"/>
    <cellStyle name="Comma 4 3 3 9" xfId="2780" xr:uid="{00000000-0005-0000-0000-000099090000}"/>
    <cellStyle name="Comma 4 3 3 9 2" xfId="7004" xr:uid="{00000000-0005-0000-0000-00009A090000}"/>
    <cellStyle name="Comma 4 3 3 9 2 2" xfId="23887" xr:uid="{4AC5E6A8-6FF0-4461-A1A2-97EFF4BC950A}"/>
    <cellStyle name="Comma 4 3 3 9 2 3" xfId="32333" xr:uid="{AFAF1C67-4B14-4135-B8D6-DACC707D79A0}"/>
    <cellStyle name="Comma 4 3 3 9 2 4" xfId="15446" xr:uid="{F96AB8FA-5788-48D7-A4DC-779987B0E7AB}"/>
    <cellStyle name="Comma 4 3 3 9 3" xfId="19669" xr:uid="{4FC551E5-DAFA-4301-A43A-8AB575521E1C}"/>
    <cellStyle name="Comma 4 3 3 9 4" xfId="28116" xr:uid="{80EE796B-EAAE-46DA-A209-313A01F89C45}"/>
    <cellStyle name="Comma 4 3 3 9 5" xfId="11228" xr:uid="{E9651DB1-EB00-40E4-B2CB-11E88850429D}"/>
    <cellStyle name="Comma 4 3 4" xfId="151" xr:uid="{00000000-0005-0000-0000-00009B090000}"/>
    <cellStyle name="Comma 4 3 4 10" xfId="17288" xr:uid="{6911BB4D-8E21-461D-8A3D-479BD01F5F29}"/>
    <cellStyle name="Comma 4 3 4 11" xfId="25731" xr:uid="{CE371B09-B4B7-4C67-A18D-A4AFEBE52297}"/>
    <cellStyle name="Comma 4 3 4 12" xfId="8847" xr:uid="{43E0D5C6-9659-4C0F-93CF-284EB4BD997F}"/>
    <cellStyle name="Comma 4 3 4 2" xfId="688" xr:uid="{00000000-0005-0000-0000-00009C090000}"/>
    <cellStyle name="Comma 4 3 4 2 2" xfId="2959" xr:uid="{00000000-0005-0000-0000-00009D090000}"/>
    <cellStyle name="Comma 4 3 4 2 2 2" xfId="7182" xr:uid="{00000000-0005-0000-0000-00009E090000}"/>
    <cellStyle name="Comma 4 3 4 2 2 2 2" xfId="24065" xr:uid="{510E35F0-DF7F-4514-80B9-AB4B2DCA3AC2}"/>
    <cellStyle name="Comma 4 3 4 2 2 2 3" xfId="32511" xr:uid="{D36C1EFB-1808-44BE-8DC8-EB009F445D20}"/>
    <cellStyle name="Comma 4 3 4 2 2 2 4" xfId="15624" xr:uid="{E0609C05-2179-443A-BD27-00C3C2074091}"/>
    <cellStyle name="Comma 4 3 4 2 2 3" xfId="19847" xr:uid="{870B6107-232A-46EC-A58F-6073F2FE5025}"/>
    <cellStyle name="Comma 4 3 4 2 2 4" xfId="28294" xr:uid="{01B7ACB4-A7C4-4D9F-9841-AC1703CC8334}"/>
    <cellStyle name="Comma 4 3 4 2 2 5" xfId="11406" xr:uid="{FF34F382-E846-4795-8C3B-F9520564FDC5}"/>
    <cellStyle name="Comma 4 3 4 2 3" xfId="5037" xr:uid="{00000000-0005-0000-0000-00009F090000}"/>
    <cellStyle name="Comma 4 3 4 2 3 2" xfId="21920" xr:uid="{A1C87A3F-173D-4090-AF95-E253B6B9B1BF}"/>
    <cellStyle name="Comma 4 3 4 2 3 3" xfId="30366" xr:uid="{18D08731-E485-4548-AF9B-1080124CBD5B}"/>
    <cellStyle name="Comma 4 3 4 2 3 4" xfId="13479" xr:uid="{072C3FBE-838D-4234-A38E-B9C5A6425ADF}"/>
    <cellStyle name="Comma 4 3 4 2 4" xfId="17702" xr:uid="{871B58B5-3FF2-417A-BE77-888321A318AD}"/>
    <cellStyle name="Comma 4 3 4 2 5" xfId="26147" xr:uid="{CD2C6AE6-70DA-4B48-B425-6E341F919961}"/>
    <cellStyle name="Comma 4 3 4 2 6" xfId="9261" xr:uid="{13F8627B-DD04-459F-BFDD-3311A5EB11C3}"/>
    <cellStyle name="Comma 4 3 4 3" xfId="1141" xr:uid="{00000000-0005-0000-0000-0000A0090000}"/>
    <cellStyle name="Comma 4 3 4 3 2" xfId="3372" xr:uid="{00000000-0005-0000-0000-0000A1090000}"/>
    <cellStyle name="Comma 4 3 4 3 2 2" xfId="7595" xr:uid="{00000000-0005-0000-0000-0000A2090000}"/>
    <cellStyle name="Comma 4 3 4 3 2 2 2" xfId="24478" xr:uid="{9514314C-ED4F-431A-92E6-DF591E9F3DB2}"/>
    <cellStyle name="Comma 4 3 4 3 2 2 3" xfId="32924" xr:uid="{027BDD77-9FED-4A3E-B059-09F65891F51C}"/>
    <cellStyle name="Comma 4 3 4 3 2 2 4" xfId="16037" xr:uid="{E367F3B8-1599-4ABF-8323-574162F9BB48}"/>
    <cellStyle name="Comma 4 3 4 3 2 3" xfId="20260" xr:uid="{8B3C445B-6E2D-4A42-8113-3A3BFD0BF97B}"/>
    <cellStyle name="Comma 4 3 4 3 2 4" xfId="28707" xr:uid="{3A3752B2-29F4-4E53-9A61-A0DE0E577614}"/>
    <cellStyle name="Comma 4 3 4 3 2 5" xfId="11819" xr:uid="{77891B03-4B3E-4AB4-8905-612270F0E401}"/>
    <cellStyle name="Comma 4 3 4 3 3" xfId="5450" xr:uid="{00000000-0005-0000-0000-0000A3090000}"/>
    <cellStyle name="Comma 4 3 4 3 3 2" xfId="22333" xr:uid="{99793727-12BD-42BA-98EB-6D36708966F6}"/>
    <cellStyle name="Comma 4 3 4 3 3 3" xfId="30779" xr:uid="{B08867DB-2E22-4E09-8EF2-A2C2935CEA7E}"/>
    <cellStyle name="Comma 4 3 4 3 3 4" xfId="13892" xr:uid="{419699ED-A1CF-44AC-BF01-12439C078ABC}"/>
    <cellStyle name="Comma 4 3 4 3 4" xfId="18115" xr:uid="{BE9B2296-D84E-4370-9896-754A295DBA3E}"/>
    <cellStyle name="Comma 4 3 4 3 5" xfId="26560" xr:uid="{2918D8FE-7488-4DE7-868E-9DCA8B442304}"/>
    <cellStyle name="Comma 4 3 4 3 6" xfId="9674" xr:uid="{913E5DBE-0A6A-4090-828F-1AC545EFCA15}"/>
    <cellStyle name="Comma 4 3 4 4" xfId="1555" xr:uid="{00000000-0005-0000-0000-0000A4090000}"/>
    <cellStyle name="Comma 4 3 4 4 2" xfId="3785" xr:uid="{00000000-0005-0000-0000-0000A5090000}"/>
    <cellStyle name="Comma 4 3 4 4 2 2" xfId="8008" xr:uid="{00000000-0005-0000-0000-0000A6090000}"/>
    <cellStyle name="Comma 4 3 4 4 2 2 2" xfId="24891" xr:uid="{4999D9BF-81E3-41BE-B550-079ACDB63180}"/>
    <cellStyle name="Comma 4 3 4 4 2 2 3" xfId="33337" xr:uid="{BB68E33F-55FB-4C16-B5E0-410AF2D6279B}"/>
    <cellStyle name="Comma 4 3 4 4 2 2 4" xfId="16450" xr:uid="{C6FF79D5-4C97-422E-BFDC-58D15306B367}"/>
    <cellStyle name="Comma 4 3 4 4 2 3" xfId="20673" xr:uid="{0224D324-3769-43D0-8EEC-D3A76DFB9020}"/>
    <cellStyle name="Comma 4 3 4 4 2 4" xfId="29120" xr:uid="{E4EC828C-DC21-4108-A822-0AF543D3F6B9}"/>
    <cellStyle name="Comma 4 3 4 4 2 5" xfId="12232" xr:uid="{8EC2F517-7E48-4E48-BF2E-ACFC1C096145}"/>
    <cellStyle name="Comma 4 3 4 4 3" xfId="5863" xr:uid="{00000000-0005-0000-0000-0000A7090000}"/>
    <cellStyle name="Comma 4 3 4 4 3 2" xfId="22746" xr:uid="{5AAEBE15-4CB6-4F93-B54A-3CA276E1B4E2}"/>
    <cellStyle name="Comma 4 3 4 4 3 3" xfId="31192" xr:uid="{A4E974A9-C5BB-455E-825C-D6CC994F987D}"/>
    <cellStyle name="Comma 4 3 4 4 3 4" xfId="14305" xr:uid="{EA9CEDF1-43FA-403D-8B3F-6C162636CDB8}"/>
    <cellStyle name="Comma 4 3 4 4 4" xfId="18528" xr:uid="{43AEC2D6-FC06-4598-9FAD-6C8F481F3D0C}"/>
    <cellStyle name="Comma 4 3 4 4 5" xfId="26973" xr:uid="{78EF0BD3-8E48-4C34-BEDA-7554B85F3ABE}"/>
    <cellStyle name="Comma 4 3 4 4 6" xfId="10087" xr:uid="{D2AFB940-DC4A-4FDF-98E8-6DAEE1E4821F}"/>
    <cellStyle name="Comma 4 3 4 5" xfId="1969" xr:uid="{00000000-0005-0000-0000-0000A8090000}"/>
    <cellStyle name="Comma 4 3 4 5 2" xfId="4198" xr:uid="{00000000-0005-0000-0000-0000A9090000}"/>
    <cellStyle name="Comma 4 3 4 5 2 2" xfId="8421" xr:uid="{00000000-0005-0000-0000-0000AA090000}"/>
    <cellStyle name="Comma 4 3 4 5 2 2 2" xfId="25304" xr:uid="{DD81675A-7443-4281-B64A-AF1F4B56EB81}"/>
    <cellStyle name="Comma 4 3 4 5 2 2 3" xfId="33750" xr:uid="{C78BB963-DFA0-4CE0-8807-DD9133288C83}"/>
    <cellStyle name="Comma 4 3 4 5 2 2 4" xfId="16863" xr:uid="{7965853E-FFF5-408E-80DC-1C4D85DC0F52}"/>
    <cellStyle name="Comma 4 3 4 5 2 3" xfId="21086" xr:uid="{B962232D-34E9-44FF-B527-2386DF6025A9}"/>
    <cellStyle name="Comma 4 3 4 5 2 4" xfId="29533" xr:uid="{04489F09-691B-4512-B3ED-D77FE408902E}"/>
    <cellStyle name="Comma 4 3 4 5 2 5" xfId="12645" xr:uid="{A2739823-EF35-48F5-AB91-149F4639198E}"/>
    <cellStyle name="Comma 4 3 4 5 3" xfId="6276" xr:uid="{00000000-0005-0000-0000-0000AB090000}"/>
    <cellStyle name="Comma 4 3 4 5 3 2" xfId="23159" xr:uid="{328BAC0B-250F-4C71-8CD4-5F9A58D3A195}"/>
    <cellStyle name="Comma 4 3 4 5 3 3" xfId="31605" xr:uid="{7EDC89B2-66CF-4AF9-B764-C2BD97ED889D}"/>
    <cellStyle name="Comma 4 3 4 5 3 4" xfId="14718" xr:uid="{7D92FD1C-DB9F-4D7B-AF21-68B034241FB0}"/>
    <cellStyle name="Comma 4 3 4 5 4" xfId="18941" xr:uid="{307E1680-8A94-478A-A168-CB29B2B7FEBA}"/>
    <cellStyle name="Comma 4 3 4 5 5" xfId="27386" xr:uid="{F3D033E1-1E13-4B5C-88CE-D96A370F0939}"/>
    <cellStyle name="Comma 4 3 4 5 6" xfId="10500" xr:uid="{0B66488D-D4DE-4809-9AB0-B486FAB41285}"/>
    <cellStyle name="Comma 4 3 4 6" xfId="2404" xr:uid="{00000000-0005-0000-0000-0000AC090000}"/>
    <cellStyle name="Comma 4 3 4 6 2" xfId="6689" xr:uid="{00000000-0005-0000-0000-0000AD090000}"/>
    <cellStyle name="Comma 4 3 4 6 2 2" xfId="23572" xr:uid="{FA7BD075-C0AF-4FAD-8042-4008A09F62DE}"/>
    <cellStyle name="Comma 4 3 4 6 2 3" xfId="32018" xr:uid="{16BE026F-549E-4B53-AF92-142ADAE7F6D5}"/>
    <cellStyle name="Comma 4 3 4 6 2 4" xfId="15131" xr:uid="{25B63703-94C6-422B-9FD1-DE04A771C506}"/>
    <cellStyle name="Comma 4 3 4 6 3" xfId="19354" xr:uid="{C90DFFD3-980D-412B-A4A0-B09F269E83E9}"/>
    <cellStyle name="Comma 4 3 4 6 4" xfId="27799" xr:uid="{9427C161-4397-4FE0-87DE-BB198C4539F3}"/>
    <cellStyle name="Comma 4 3 4 6 5" xfId="10913" xr:uid="{4CDCCC0D-21FC-4DC3-83F6-E639410D77C2}"/>
    <cellStyle name="Comma 4 3 4 7" xfId="2700" xr:uid="{00000000-0005-0000-0000-0000AE090000}"/>
    <cellStyle name="Comma 4 3 4 8" xfId="2782" xr:uid="{00000000-0005-0000-0000-0000AF090000}"/>
    <cellStyle name="Comma 4 3 4 8 2" xfId="7006" xr:uid="{00000000-0005-0000-0000-0000B0090000}"/>
    <cellStyle name="Comma 4 3 4 8 2 2" xfId="23889" xr:uid="{DC596D87-6484-4C6A-AF49-906B3B11933E}"/>
    <cellStyle name="Comma 4 3 4 8 2 3" xfId="32335" xr:uid="{E9E0EBBD-3B37-41F4-B8CA-BDA837EAA04F}"/>
    <cellStyle name="Comma 4 3 4 8 2 4" xfId="15448" xr:uid="{75CBD130-451B-4EB5-B79A-0F2E6BE7353A}"/>
    <cellStyle name="Comma 4 3 4 8 3" xfId="19671" xr:uid="{4EE3B329-C05B-48E5-8345-31F0AF67001E}"/>
    <cellStyle name="Comma 4 3 4 8 4" xfId="28118" xr:uid="{D4985BF4-1325-4E7A-B88C-9509D0C3CC93}"/>
    <cellStyle name="Comma 4 3 4 8 5" xfId="11230" xr:uid="{0E0EA8D5-703A-4E20-9AB6-8A4B0FCA687D}"/>
    <cellStyle name="Comma 4 3 4 9" xfId="4623" xr:uid="{00000000-0005-0000-0000-0000B1090000}"/>
    <cellStyle name="Comma 4 3 4 9 2" xfId="21506" xr:uid="{BBC358CF-C10E-4948-B767-3B3CDC2D799C}"/>
    <cellStyle name="Comma 4 3 4 9 3" xfId="29952" xr:uid="{BFC14CB6-1F5F-48EC-951D-9E8D3D29D077}"/>
    <cellStyle name="Comma 4 3 4 9 4" xfId="13065" xr:uid="{8D89723F-757B-403A-AFB6-C1304C120508}"/>
    <cellStyle name="Comma 4 3 5" xfId="152" xr:uid="{00000000-0005-0000-0000-0000B2090000}"/>
    <cellStyle name="Comma 4 3 5 10" xfId="17289" xr:uid="{029262C8-2BA0-4FA9-A998-9BB668CDBB2F}"/>
    <cellStyle name="Comma 4 3 5 11" xfId="25732" xr:uid="{D8C52FAA-EA5D-4274-A874-8D29EB665D09}"/>
    <cellStyle name="Comma 4 3 5 12" xfId="8848" xr:uid="{D79B5F8C-45C3-4267-9F76-41ACBD7D7920}"/>
    <cellStyle name="Comma 4 3 5 2" xfId="689" xr:uid="{00000000-0005-0000-0000-0000B3090000}"/>
    <cellStyle name="Comma 4 3 5 2 2" xfId="2960" xr:uid="{00000000-0005-0000-0000-0000B4090000}"/>
    <cellStyle name="Comma 4 3 5 2 2 2" xfId="7183" xr:uid="{00000000-0005-0000-0000-0000B5090000}"/>
    <cellStyle name="Comma 4 3 5 2 2 2 2" xfId="24066" xr:uid="{0B4343C8-FA64-458E-8A73-F49FDB22424D}"/>
    <cellStyle name="Comma 4 3 5 2 2 2 3" xfId="32512" xr:uid="{B9DBAB8B-7FC9-40B9-8C44-98225281BE3B}"/>
    <cellStyle name="Comma 4 3 5 2 2 2 4" xfId="15625" xr:uid="{C052B31C-525C-4166-BA9F-6867632C0FBC}"/>
    <cellStyle name="Comma 4 3 5 2 2 3" xfId="19848" xr:uid="{D968AB05-936E-4430-B194-24F87F0656BA}"/>
    <cellStyle name="Comma 4 3 5 2 2 4" xfId="28295" xr:uid="{F46BDC67-B263-4DDD-8244-3BC73DA26ADC}"/>
    <cellStyle name="Comma 4 3 5 2 2 5" xfId="11407" xr:uid="{91B154BE-7F24-45F9-BFE2-1502A5B1AA72}"/>
    <cellStyle name="Comma 4 3 5 2 3" xfId="5038" xr:uid="{00000000-0005-0000-0000-0000B6090000}"/>
    <cellStyle name="Comma 4 3 5 2 3 2" xfId="21921" xr:uid="{EE3982E3-B995-497E-B67C-87052DF633F2}"/>
    <cellStyle name="Comma 4 3 5 2 3 3" xfId="30367" xr:uid="{A35B9645-B56D-4EC8-9654-9F31203EDA55}"/>
    <cellStyle name="Comma 4 3 5 2 3 4" xfId="13480" xr:uid="{0A59492A-CAEC-4CAE-A038-9BED2EF438D8}"/>
    <cellStyle name="Comma 4 3 5 2 4" xfId="17703" xr:uid="{812523B9-C61F-46AC-9960-BF1137BA65BD}"/>
    <cellStyle name="Comma 4 3 5 2 5" xfId="26148" xr:uid="{33563FA5-B58E-43F2-A29F-97630185D337}"/>
    <cellStyle name="Comma 4 3 5 2 6" xfId="9262" xr:uid="{ECB9D520-5569-42D3-90B1-76C473BFE9D1}"/>
    <cellStyle name="Comma 4 3 5 3" xfId="1142" xr:uid="{00000000-0005-0000-0000-0000B7090000}"/>
    <cellStyle name="Comma 4 3 5 3 2" xfId="3373" xr:uid="{00000000-0005-0000-0000-0000B8090000}"/>
    <cellStyle name="Comma 4 3 5 3 2 2" xfId="7596" xr:uid="{00000000-0005-0000-0000-0000B9090000}"/>
    <cellStyle name="Comma 4 3 5 3 2 2 2" xfId="24479" xr:uid="{CF7B1597-37B5-4506-9851-407A61E3B43E}"/>
    <cellStyle name="Comma 4 3 5 3 2 2 3" xfId="32925" xr:uid="{B9E5E94B-D4AC-4386-8385-FA427A36F825}"/>
    <cellStyle name="Comma 4 3 5 3 2 2 4" xfId="16038" xr:uid="{629B3859-B5A0-422D-AE4A-400CD6D8A36E}"/>
    <cellStyle name="Comma 4 3 5 3 2 3" xfId="20261" xr:uid="{D585352E-7289-4EA2-A9BF-C215A32CF96F}"/>
    <cellStyle name="Comma 4 3 5 3 2 4" xfId="28708" xr:uid="{AEBE3391-5351-4136-BCA6-6C949F24DD16}"/>
    <cellStyle name="Comma 4 3 5 3 2 5" xfId="11820" xr:uid="{2DAA93DB-2F2E-4273-BA1A-2A82A4FF2FB8}"/>
    <cellStyle name="Comma 4 3 5 3 3" xfId="5451" xr:uid="{00000000-0005-0000-0000-0000BA090000}"/>
    <cellStyle name="Comma 4 3 5 3 3 2" xfId="22334" xr:uid="{B279CC72-6D9C-4639-B3B8-57E3EC534455}"/>
    <cellStyle name="Comma 4 3 5 3 3 3" xfId="30780" xr:uid="{07AAA3E9-E1D4-443E-ADDB-D21CD70AAFF7}"/>
    <cellStyle name="Comma 4 3 5 3 3 4" xfId="13893" xr:uid="{F6F5C166-CD88-4FAC-936C-94DD375EA888}"/>
    <cellStyle name="Comma 4 3 5 3 4" xfId="18116" xr:uid="{049649EB-F62F-432C-B65B-0190A5CC1BAF}"/>
    <cellStyle name="Comma 4 3 5 3 5" xfId="26561" xr:uid="{42781FF2-4358-47DF-8710-9FF94B2319B5}"/>
    <cellStyle name="Comma 4 3 5 3 6" xfId="9675" xr:uid="{3CD4B537-7AD7-48A2-BF7C-C0C2DE27C9A3}"/>
    <cellStyle name="Comma 4 3 5 4" xfId="1556" xr:uid="{00000000-0005-0000-0000-0000BB090000}"/>
    <cellStyle name="Comma 4 3 5 4 2" xfId="3786" xr:uid="{00000000-0005-0000-0000-0000BC090000}"/>
    <cellStyle name="Comma 4 3 5 4 2 2" xfId="8009" xr:uid="{00000000-0005-0000-0000-0000BD090000}"/>
    <cellStyle name="Comma 4 3 5 4 2 2 2" xfId="24892" xr:uid="{CB47511E-7A1F-4361-A6EB-833E48971999}"/>
    <cellStyle name="Comma 4 3 5 4 2 2 3" xfId="33338" xr:uid="{B696028D-0EE2-4B23-89CA-264EC62AB7EB}"/>
    <cellStyle name="Comma 4 3 5 4 2 2 4" xfId="16451" xr:uid="{E16BFE5D-6BA1-4A33-A7F1-02CDCB4A8667}"/>
    <cellStyle name="Comma 4 3 5 4 2 3" xfId="20674" xr:uid="{41E9E22C-4B32-4CEE-996B-208AD521723F}"/>
    <cellStyle name="Comma 4 3 5 4 2 4" xfId="29121" xr:uid="{E35F822D-BF22-4D2F-A2A2-517DE0FA0708}"/>
    <cellStyle name="Comma 4 3 5 4 2 5" xfId="12233" xr:uid="{D27492FC-1B3B-4A9C-AFF2-2C8677EDAD89}"/>
    <cellStyle name="Comma 4 3 5 4 3" xfId="5864" xr:uid="{00000000-0005-0000-0000-0000BE090000}"/>
    <cellStyle name="Comma 4 3 5 4 3 2" xfId="22747" xr:uid="{004C39F0-6D8C-46EF-9497-7E4AA7306BB2}"/>
    <cellStyle name="Comma 4 3 5 4 3 3" xfId="31193" xr:uid="{894DF5CB-FD53-4D84-869D-18DC00B1FBCC}"/>
    <cellStyle name="Comma 4 3 5 4 3 4" xfId="14306" xr:uid="{25B8BC1C-F0D3-4007-B119-9D14A1A69B88}"/>
    <cellStyle name="Comma 4 3 5 4 4" xfId="18529" xr:uid="{05717364-07E1-4649-9D02-844A96878B64}"/>
    <cellStyle name="Comma 4 3 5 4 5" xfId="26974" xr:uid="{C3D6E41E-94B7-4EB6-8055-0F71CD391F59}"/>
    <cellStyle name="Comma 4 3 5 4 6" xfId="10088" xr:uid="{E49240FA-2548-430D-AE52-F99161A07F83}"/>
    <cellStyle name="Comma 4 3 5 5" xfId="1970" xr:uid="{00000000-0005-0000-0000-0000BF090000}"/>
    <cellStyle name="Comma 4 3 5 5 2" xfId="4199" xr:uid="{00000000-0005-0000-0000-0000C0090000}"/>
    <cellStyle name="Comma 4 3 5 5 2 2" xfId="8422" xr:uid="{00000000-0005-0000-0000-0000C1090000}"/>
    <cellStyle name="Comma 4 3 5 5 2 2 2" xfId="25305" xr:uid="{B451318E-0B2B-4D6A-AF8E-71604F1ED7D3}"/>
    <cellStyle name="Comma 4 3 5 5 2 2 3" xfId="33751" xr:uid="{1463FCBF-9465-4992-BC56-480120BB9310}"/>
    <cellStyle name="Comma 4 3 5 5 2 2 4" xfId="16864" xr:uid="{C6C8BD33-847F-4A41-8292-2AB0199392AE}"/>
    <cellStyle name="Comma 4 3 5 5 2 3" xfId="21087" xr:uid="{2C3D7126-F33F-41B7-A7B9-7A9DF0F5AC19}"/>
    <cellStyle name="Comma 4 3 5 5 2 4" xfId="29534" xr:uid="{DB8546C0-6DE2-4A78-9CB2-B237564B56E9}"/>
    <cellStyle name="Comma 4 3 5 5 2 5" xfId="12646" xr:uid="{736AE780-AF45-4EB5-B36E-543F86ABD684}"/>
    <cellStyle name="Comma 4 3 5 5 3" xfId="6277" xr:uid="{00000000-0005-0000-0000-0000C2090000}"/>
    <cellStyle name="Comma 4 3 5 5 3 2" xfId="23160" xr:uid="{EAFA54C7-5B64-4622-826D-34455DB75EA0}"/>
    <cellStyle name="Comma 4 3 5 5 3 3" xfId="31606" xr:uid="{2C4C52C0-499B-4F10-952C-A888D97C9261}"/>
    <cellStyle name="Comma 4 3 5 5 3 4" xfId="14719" xr:uid="{693CF92B-99CD-4581-8167-26E950199592}"/>
    <cellStyle name="Comma 4 3 5 5 4" xfId="18942" xr:uid="{5FC614BF-9BD0-4BBD-B949-57C934399ED1}"/>
    <cellStyle name="Comma 4 3 5 5 5" xfId="27387" xr:uid="{20D26C27-27BE-4340-860F-A311B0F4DA12}"/>
    <cellStyle name="Comma 4 3 5 5 6" xfId="10501" xr:uid="{618AA7DD-27C4-4541-A781-16C52DC2FD7F}"/>
    <cellStyle name="Comma 4 3 5 6" xfId="2405" xr:uid="{00000000-0005-0000-0000-0000C3090000}"/>
    <cellStyle name="Comma 4 3 5 6 2" xfId="6690" xr:uid="{00000000-0005-0000-0000-0000C4090000}"/>
    <cellStyle name="Comma 4 3 5 6 2 2" xfId="23573" xr:uid="{E2169BC0-1688-45BB-92CA-56BAEA0584DE}"/>
    <cellStyle name="Comma 4 3 5 6 2 3" xfId="32019" xr:uid="{3B97DC53-8136-4FA8-BFF3-6A64509D72CB}"/>
    <cellStyle name="Comma 4 3 5 6 2 4" xfId="15132" xr:uid="{71997F8F-4F4E-4BE9-85AD-12DFA49BADCD}"/>
    <cellStyle name="Comma 4 3 5 6 3" xfId="19355" xr:uid="{C87247D1-7690-452A-856A-9D1988186820}"/>
    <cellStyle name="Comma 4 3 5 6 4" xfId="27800" xr:uid="{FAB1855D-364A-4A87-893C-87FC4118048E}"/>
    <cellStyle name="Comma 4 3 5 6 5" xfId="10914" xr:uid="{EB8DFD84-8DF9-4DF8-B344-F56FB38B18E6}"/>
    <cellStyle name="Comma 4 3 5 7" xfId="2701" xr:uid="{00000000-0005-0000-0000-0000C5090000}"/>
    <cellStyle name="Comma 4 3 5 8" xfId="2783" xr:uid="{00000000-0005-0000-0000-0000C6090000}"/>
    <cellStyle name="Comma 4 3 5 8 2" xfId="7007" xr:uid="{00000000-0005-0000-0000-0000C7090000}"/>
    <cellStyle name="Comma 4 3 5 8 2 2" xfId="23890" xr:uid="{CADBD447-34CF-40F3-BB6B-0CF6BFF2063D}"/>
    <cellStyle name="Comma 4 3 5 8 2 3" xfId="32336" xr:uid="{EFB02A69-ABE5-40B4-B2E6-276C9806FF9A}"/>
    <cellStyle name="Comma 4 3 5 8 2 4" xfId="15449" xr:uid="{76213619-01D7-4BF2-9383-F64B3E88998A}"/>
    <cellStyle name="Comma 4 3 5 8 3" xfId="19672" xr:uid="{DF65CC78-E6DD-4C0D-A89D-E657873E9C3C}"/>
    <cellStyle name="Comma 4 3 5 8 4" xfId="28119" xr:uid="{F7FC1491-F6E8-4F7A-8E0F-CFB427E49885}"/>
    <cellStyle name="Comma 4 3 5 8 5" xfId="11231" xr:uid="{2F41170C-04E7-4251-A766-562535520D1D}"/>
    <cellStyle name="Comma 4 3 5 9" xfId="4624" xr:uid="{00000000-0005-0000-0000-0000C8090000}"/>
    <cellStyle name="Comma 4 3 5 9 2" xfId="21507" xr:uid="{6DE03ADD-C3B3-49E2-938A-B7FEC0EE60EF}"/>
    <cellStyle name="Comma 4 3 5 9 3" xfId="29953" xr:uid="{B5C5C77F-59F1-487A-A691-4CB299C979CE}"/>
    <cellStyle name="Comma 4 3 5 9 4" xfId="13066" xr:uid="{B4AC4418-7F6A-4A0E-A213-A566D0D25822}"/>
    <cellStyle name="Comma 4 4" xfId="153" xr:uid="{00000000-0005-0000-0000-0000C9090000}"/>
    <cellStyle name="Comma 4 4 10" xfId="2784" xr:uid="{00000000-0005-0000-0000-0000CA090000}"/>
    <cellStyle name="Comma 4 4 10 2" xfId="7008" xr:uid="{00000000-0005-0000-0000-0000CB090000}"/>
    <cellStyle name="Comma 4 4 10 2 2" xfId="23891" xr:uid="{16B446E5-F690-49E5-B705-A5C8F997993C}"/>
    <cellStyle name="Comma 4 4 10 2 3" xfId="32337" xr:uid="{3B5482D9-1AFB-44D5-A11D-0FAF6D9A07B4}"/>
    <cellStyle name="Comma 4 4 10 2 4" xfId="15450" xr:uid="{2EF4EBE8-9A26-44C1-9B05-A52516BC3A68}"/>
    <cellStyle name="Comma 4 4 10 3" xfId="19673" xr:uid="{8965E3EC-DB94-4C6E-A356-B0DCA4E57395}"/>
    <cellStyle name="Comma 4 4 10 4" xfId="28120" xr:uid="{79200FA9-488D-4144-A7DD-636AF0B0C5DA}"/>
    <cellStyle name="Comma 4 4 10 5" xfId="11232" xr:uid="{B0288EC7-1274-4C8B-9240-684555E7962B}"/>
    <cellStyle name="Comma 4 4 11" xfId="4625" xr:uid="{00000000-0005-0000-0000-0000CC090000}"/>
    <cellStyle name="Comma 4 4 11 2" xfId="21508" xr:uid="{EE943221-0A6F-422F-9E50-08FB5524CB5A}"/>
    <cellStyle name="Comma 4 4 11 3" xfId="29954" xr:uid="{CFF4EFF9-5BE6-4C71-82C5-86268C13307A}"/>
    <cellStyle name="Comma 4 4 11 4" xfId="13067" xr:uid="{B26711E7-D34E-4051-978C-938A124B88B7}"/>
    <cellStyle name="Comma 4 4 12" xfId="17290" xr:uid="{75CB513A-04F2-4485-8F6F-6412E69F150F}"/>
    <cellStyle name="Comma 4 4 13" xfId="25733" xr:uid="{B4B102BE-70A6-4C4D-9BF5-4FFFBF2E1F5E}"/>
    <cellStyle name="Comma 4 4 14" xfId="8849" xr:uid="{0D43371E-AE92-4832-8743-6CE8138DADB3}"/>
    <cellStyle name="Comma 4 4 2" xfId="154" xr:uid="{00000000-0005-0000-0000-0000CD090000}"/>
    <cellStyle name="Comma 4 4 2 10" xfId="4626" xr:uid="{00000000-0005-0000-0000-0000CE090000}"/>
    <cellStyle name="Comma 4 4 2 10 2" xfId="21509" xr:uid="{D1DEC703-94ED-45EA-9BCA-AD6844560B2B}"/>
    <cellStyle name="Comma 4 4 2 10 3" xfId="29955" xr:uid="{7AB673E4-89BD-4E3D-B92C-9E2E2C87A669}"/>
    <cellStyle name="Comma 4 4 2 10 4" xfId="13068" xr:uid="{CAAB5CEA-C6D9-4680-898E-3D7C6920ACF1}"/>
    <cellStyle name="Comma 4 4 2 11" xfId="17291" xr:uid="{B8272D7A-AF1E-45EA-8D26-36C7A5ECDD29}"/>
    <cellStyle name="Comma 4 4 2 12" xfId="25734" xr:uid="{73005E29-A446-458D-B799-8D902644228A}"/>
    <cellStyle name="Comma 4 4 2 13" xfId="8850" xr:uid="{56FB3DDD-7901-4117-9AFA-1F22C05C43D6}"/>
    <cellStyle name="Comma 4 4 2 2" xfId="155" xr:uid="{00000000-0005-0000-0000-0000CF090000}"/>
    <cellStyle name="Comma 4 4 2 2 10" xfId="17292" xr:uid="{BE29D5C9-9D66-420C-ADFC-231CCBCE45A8}"/>
    <cellStyle name="Comma 4 4 2 2 11" xfId="25735" xr:uid="{49CEF067-2C4E-4DA7-90ED-6ED4A6FCF349}"/>
    <cellStyle name="Comma 4 4 2 2 12" xfId="8851" xr:uid="{33E63CB4-75D1-443B-954E-1F54226DCF9C}"/>
    <cellStyle name="Comma 4 4 2 2 2" xfId="692" xr:uid="{00000000-0005-0000-0000-0000D0090000}"/>
    <cellStyle name="Comma 4 4 2 2 2 2" xfId="2963" xr:uid="{00000000-0005-0000-0000-0000D1090000}"/>
    <cellStyle name="Comma 4 4 2 2 2 2 2" xfId="7186" xr:uid="{00000000-0005-0000-0000-0000D2090000}"/>
    <cellStyle name="Comma 4 4 2 2 2 2 2 2" xfId="24069" xr:uid="{0BB9A85D-68F7-40B0-B1D1-A50605ED6DC9}"/>
    <cellStyle name="Comma 4 4 2 2 2 2 2 3" xfId="32515" xr:uid="{2F791B1D-4017-4DE9-B5C4-B52355C2F403}"/>
    <cellStyle name="Comma 4 4 2 2 2 2 2 4" xfId="15628" xr:uid="{31968D97-515F-4117-A8BA-E8CDA1999862}"/>
    <cellStyle name="Comma 4 4 2 2 2 2 3" xfId="19851" xr:uid="{57E866A5-CD87-48D0-925E-572F56943D66}"/>
    <cellStyle name="Comma 4 4 2 2 2 2 4" xfId="28298" xr:uid="{41CE45BD-DDAB-4E2F-AFE1-BFCEC9B62A4A}"/>
    <cellStyle name="Comma 4 4 2 2 2 2 5" xfId="11410" xr:uid="{0B069541-282D-4425-8C7B-932AA96ECD33}"/>
    <cellStyle name="Comma 4 4 2 2 2 3" xfId="5041" xr:uid="{00000000-0005-0000-0000-0000D3090000}"/>
    <cellStyle name="Comma 4 4 2 2 2 3 2" xfId="21924" xr:uid="{594B279D-C5FC-4835-BFB4-69C04CF46C31}"/>
    <cellStyle name="Comma 4 4 2 2 2 3 3" xfId="30370" xr:uid="{B3B9C137-EC24-4AC6-8092-860F1B71A742}"/>
    <cellStyle name="Comma 4 4 2 2 2 3 4" xfId="13483" xr:uid="{B31D602A-65B5-4C8A-A39E-B2A7A572F660}"/>
    <cellStyle name="Comma 4 4 2 2 2 4" xfId="17706" xr:uid="{3E389B42-0694-4498-A540-BBE5E6515821}"/>
    <cellStyle name="Comma 4 4 2 2 2 5" xfId="26151" xr:uid="{75A904BB-A369-44D1-983A-6D9A9FDE3495}"/>
    <cellStyle name="Comma 4 4 2 2 2 6" xfId="9265" xr:uid="{6E1C2EB5-44B2-4A0A-9F59-0BD091B24DCE}"/>
    <cellStyle name="Comma 4 4 2 2 3" xfId="1145" xr:uid="{00000000-0005-0000-0000-0000D4090000}"/>
    <cellStyle name="Comma 4 4 2 2 3 2" xfId="3376" xr:uid="{00000000-0005-0000-0000-0000D5090000}"/>
    <cellStyle name="Comma 4 4 2 2 3 2 2" xfId="7599" xr:uid="{00000000-0005-0000-0000-0000D6090000}"/>
    <cellStyle name="Comma 4 4 2 2 3 2 2 2" xfId="24482" xr:uid="{CB69FDCB-B59E-42AA-BFFB-8C8C31BF3901}"/>
    <cellStyle name="Comma 4 4 2 2 3 2 2 3" xfId="32928" xr:uid="{E5B31858-AF95-4EDC-B36D-0E3A3B875184}"/>
    <cellStyle name="Comma 4 4 2 2 3 2 2 4" xfId="16041" xr:uid="{E5D63810-6002-48AA-BB9A-748A16099AF7}"/>
    <cellStyle name="Comma 4 4 2 2 3 2 3" xfId="20264" xr:uid="{D688DB72-8957-442D-928A-F205DC9AC217}"/>
    <cellStyle name="Comma 4 4 2 2 3 2 4" xfId="28711" xr:uid="{0709104A-4E42-4D6B-95CB-2563AD8E6C8D}"/>
    <cellStyle name="Comma 4 4 2 2 3 2 5" xfId="11823" xr:uid="{990FE5CA-C71C-4002-9A05-DAEC01778960}"/>
    <cellStyle name="Comma 4 4 2 2 3 3" xfId="5454" xr:uid="{00000000-0005-0000-0000-0000D7090000}"/>
    <cellStyle name="Comma 4 4 2 2 3 3 2" xfId="22337" xr:uid="{76C7CF2B-531B-4C12-808C-17662715E59A}"/>
    <cellStyle name="Comma 4 4 2 2 3 3 3" xfId="30783" xr:uid="{108D1416-4DB2-47C4-82DC-445E006F0312}"/>
    <cellStyle name="Comma 4 4 2 2 3 3 4" xfId="13896" xr:uid="{65C86ABD-6098-47B6-A5C9-7C2BE9E05E98}"/>
    <cellStyle name="Comma 4 4 2 2 3 4" xfId="18119" xr:uid="{4D37DD72-CF71-4B2F-A600-9AF54D148F84}"/>
    <cellStyle name="Comma 4 4 2 2 3 5" xfId="26564" xr:uid="{C8AE551E-34E5-4883-AA2B-174E38282393}"/>
    <cellStyle name="Comma 4 4 2 2 3 6" xfId="9678" xr:uid="{15A0FFC6-9D43-4144-B763-4C74CCDE8FF7}"/>
    <cellStyle name="Comma 4 4 2 2 4" xfId="1559" xr:uid="{00000000-0005-0000-0000-0000D8090000}"/>
    <cellStyle name="Comma 4 4 2 2 4 2" xfId="3789" xr:uid="{00000000-0005-0000-0000-0000D9090000}"/>
    <cellStyle name="Comma 4 4 2 2 4 2 2" xfId="8012" xr:uid="{00000000-0005-0000-0000-0000DA090000}"/>
    <cellStyle name="Comma 4 4 2 2 4 2 2 2" xfId="24895" xr:uid="{6ECAFD5A-E1D0-492F-B461-AB72B0090176}"/>
    <cellStyle name="Comma 4 4 2 2 4 2 2 3" xfId="33341" xr:uid="{0A627EFA-5BEF-4F68-8104-9017F4B7E259}"/>
    <cellStyle name="Comma 4 4 2 2 4 2 2 4" xfId="16454" xr:uid="{D81D764A-70D6-49FE-AAD5-F23AAA04FE9D}"/>
    <cellStyle name="Comma 4 4 2 2 4 2 3" xfId="20677" xr:uid="{A4B281F5-470D-4362-9BF7-A2715F0108C9}"/>
    <cellStyle name="Comma 4 4 2 2 4 2 4" xfId="29124" xr:uid="{5485DE30-E094-4A9E-BB30-2D799DFAB5D9}"/>
    <cellStyle name="Comma 4 4 2 2 4 2 5" xfId="12236" xr:uid="{B7928CF1-2AF0-4C4B-A46D-65EFDEF8E5CE}"/>
    <cellStyle name="Comma 4 4 2 2 4 3" xfId="5867" xr:uid="{00000000-0005-0000-0000-0000DB090000}"/>
    <cellStyle name="Comma 4 4 2 2 4 3 2" xfId="22750" xr:uid="{BFC22DA7-A803-4857-9D3F-BEBED5CE0D89}"/>
    <cellStyle name="Comma 4 4 2 2 4 3 3" xfId="31196" xr:uid="{AD597A62-D6C4-40F3-ABFB-A28D2B3ACFE3}"/>
    <cellStyle name="Comma 4 4 2 2 4 3 4" xfId="14309" xr:uid="{EAAA2E11-30A3-4E12-8392-E19CA67663E9}"/>
    <cellStyle name="Comma 4 4 2 2 4 4" xfId="18532" xr:uid="{02051B46-F46B-409E-82D5-BE4AD2AD253B}"/>
    <cellStyle name="Comma 4 4 2 2 4 5" xfId="26977" xr:uid="{25DF366C-E134-4D71-B43C-120A28F88D3A}"/>
    <cellStyle name="Comma 4 4 2 2 4 6" xfId="10091" xr:uid="{95559B07-0AF8-4E86-A768-E76F373E26F8}"/>
    <cellStyle name="Comma 4 4 2 2 5" xfId="1973" xr:uid="{00000000-0005-0000-0000-0000DC090000}"/>
    <cellStyle name="Comma 4 4 2 2 5 2" xfId="4202" xr:uid="{00000000-0005-0000-0000-0000DD090000}"/>
    <cellStyle name="Comma 4 4 2 2 5 2 2" xfId="8425" xr:uid="{00000000-0005-0000-0000-0000DE090000}"/>
    <cellStyle name="Comma 4 4 2 2 5 2 2 2" xfId="25308" xr:uid="{13F6641A-5357-4EE9-9BE2-CF5376FA4FE6}"/>
    <cellStyle name="Comma 4 4 2 2 5 2 2 3" xfId="33754" xr:uid="{8ACAD2B4-B586-4466-955C-C627ABAF579E}"/>
    <cellStyle name="Comma 4 4 2 2 5 2 2 4" xfId="16867" xr:uid="{B137C617-D74A-4654-B6D4-0DB25298E3CB}"/>
    <cellStyle name="Comma 4 4 2 2 5 2 3" xfId="21090" xr:uid="{EDE5E802-CD48-4D51-8D58-B57186817379}"/>
    <cellStyle name="Comma 4 4 2 2 5 2 4" xfId="29537" xr:uid="{CA15F0A1-5B06-47C4-BF4B-5DF823521A62}"/>
    <cellStyle name="Comma 4 4 2 2 5 2 5" xfId="12649" xr:uid="{0A5CE18A-3B18-4665-A5AF-D08262043D08}"/>
    <cellStyle name="Comma 4 4 2 2 5 3" xfId="6280" xr:uid="{00000000-0005-0000-0000-0000DF090000}"/>
    <cellStyle name="Comma 4 4 2 2 5 3 2" xfId="23163" xr:uid="{F05E7950-E1B9-4A4E-93A3-4C9EFAD5D90B}"/>
    <cellStyle name="Comma 4 4 2 2 5 3 3" xfId="31609" xr:uid="{C81CA150-1B3D-417E-9B79-23A7AF1DC3C1}"/>
    <cellStyle name="Comma 4 4 2 2 5 3 4" xfId="14722" xr:uid="{5699C357-8B88-489F-885C-C50B940BB4E3}"/>
    <cellStyle name="Comma 4 4 2 2 5 4" xfId="18945" xr:uid="{D2CA629D-DEB6-4EB2-B69E-FA3789DD25F4}"/>
    <cellStyle name="Comma 4 4 2 2 5 5" xfId="27390" xr:uid="{3211CAAF-C424-45DE-8296-BAA033B0158A}"/>
    <cellStyle name="Comma 4 4 2 2 5 6" xfId="10504" xr:uid="{F12049CB-BBCE-4A1F-BB35-E110D219E293}"/>
    <cellStyle name="Comma 4 4 2 2 6" xfId="2408" xr:uid="{00000000-0005-0000-0000-0000E0090000}"/>
    <cellStyle name="Comma 4 4 2 2 6 2" xfId="6693" xr:uid="{00000000-0005-0000-0000-0000E1090000}"/>
    <cellStyle name="Comma 4 4 2 2 6 2 2" xfId="23576" xr:uid="{C5E76A47-730E-4BC8-94D3-0806878FE9E3}"/>
    <cellStyle name="Comma 4 4 2 2 6 2 3" xfId="32022" xr:uid="{886E075E-057A-4CB2-9537-DDFE85574D0E}"/>
    <cellStyle name="Comma 4 4 2 2 6 2 4" xfId="15135" xr:uid="{1581853B-7713-49E5-8936-1BCB6F179B74}"/>
    <cellStyle name="Comma 4 4 2 2 6 3" xfId="19358" xr:uid="{111FBABB-5502-4C45-A0CF-EA4B258F52CE}"/>
    <cellStyle name="Comma 4 4 2 2 6 4" xfId="27803" xr:uid="{C6E7B453-D5F3-4D7B-BAE6-C8E0231CEC59}"/>
    <cellStyle name="Comma 4 4 2 2 6 5" xfId="10917" xr:uid="{17816BC5-4C0E-420F-AA28-3AC82E2B01E4}"/>
    <cellStyle name="Comma 4 4 2 2 7" xfId="2704" xr:uid="{00000000-0005-0000-0000-0000E2090000}"/>
    <cellStyle name="Comma 4 4 2 2 8" xfId="2786" xr:uid="{00000000-0005-0000-0000-0000E3090000}"/>
    <cellStyle name="Comma 4 4 2 2 8 2" xfId="7010" xr:uid="{00000000-0005-0000-0000-0000E4090000}"/>
    <cellStyle name="Comma 4 4 2 2 8 2 2" xfId="23893" xr:uid="{BDD51BF0-13A5-40F6-85CD-B0B7385FFE6F}"/>
    <cellStyle name="Comma 4 4 2 2 8 2 3" xfId="32339" xr:uid="{4E041E1A-5FFA-4D43-82A5-2B6FDD9E90C5}"/>
    <cellStyle name="Comma 4 4 2 2 8 2 4" xfId="15452" xr:uid="{55EFD388-FE87-4991-A2EE-DAC2A01D13BA}"/>
    <cellStyle name="Comma 4 4 2 2 8 3" xfId="19675" xr:uid="{CD0F7B6D-C920-46A4-848A-749EEC12D1A4}"/>
    <cellStyle name="Comma 4 4 2 2 8 4" xfId="28122" xr:uid="{30840C1F-70F2-4492-B778-BD27EF57684E}"/>
    <cellStyle name="Comma 4 4 2 2 8 5" xfId="11234" xr:uid="{768363F2-AFCC-40F3-A238-866154562553}"/>
    <cellStyle name="Comma 4 4 2 2 9" xfId="4627" xr:uid="{00000000-0005-0000-0000-0000E5090000}"/>
    <cellStyle name="Comma 4 4 2 2 9 2" xfId="21510" xr:uid="{4C5DDA6A-876A-4048-871A-F0FAC0BFFF14}"/>
    <cellStyle name="Comma 4 4 2 2 9 3" xfId="29956" xr:uid="{ECE14F52-0170-4420-8163-484418BE824C}"/>
    <cellStyle name="Comma 4 4 2 2 9 4" xfId="13069" xr:uid="{51F62030-D170-490D-9011-F7A6F66273C5}"/>
    <cellStyle name="Comma 4 4 2 3" xfId="691" xr:uid="{00000000-0005-0000-0000-0000E6090000}"/>
    <cellStyle name="Comma 4 4 2 3 2" xfId="2962" xr:uid="{00000000-0005-0000-0000-0000E7090000}"/>
    <cellStyle name="Comma 4 4 2 3 2 2" xfId="7185" xr:uid="{00000000-0005-0000-0000-0000E8090000}"/>
    <cellStyle name="Comma 4 4 2 3 2 2 2" xfId="24068" xr:uid="{04BEF1C2-2C5D-460C-BF1F-21504034CFE9}"/>
    <cellStyle name="Comma 4 4 2 3 2 2 3" xfId="32514" xr:uid="{903ADECC-052B-419D-9E2F-C10945433C08}"/>
    <cellStyle name="Comma 4 4 2 3 2 2 4" xfId="15627" xr:uid="{153B312A-BE85-403A-BBA0-85D8BD920968}"/>
    <cellStyle name="Comma 4 4 2 3 2 3" xfId="19850" xr:uid="{B91314F0-CE4B-4002-B682-BB6C82B32CF2}"/>
    <cellStyle name="Comma 4 4 2 3 2 4" xfId="28297" xr:uid="{94A73B80-F552-4B2A-9388-D8CD5BF92E38}"/>
    <cellStyle name="Comma 4 4 2 3 2 5" xfId="11409" xr:uid="{9A3CF0AA-97A3-4658-8435-FDA5A9FF58F6}"/>
    <cellStyle name="Comma 4 4 2 3 3" xfId="5040" xr:uid="{00000000-0005-0000-0000-0000E9090000}"/>
    <cellStyle name="Comma 4 4 2 3 3 2" xfId="21923" xr:uid="{872A8CF8-05DE-4C47-AA80-E9CD67A63498}"/>
    <cellStyle name="Comma 4 4 2 3 3 3" xfId="30369" xr:uid="{5CBF6BA4-047C-4A27-9CE2-347FDA18A15E}"/>
    <cellStyle name="Comma 4 4 2 3 3 4" xfId="13482" xr:uid="{3EA3F385-DF62-4E37-84AF-45FBCD7A33D7}"/>
    <cellStyle name="Comma 4 4 2 3 4" xfId="17705" xr:uid="{07EF31F6-5C0A-4797-97B1-3497ECCB2E0F}"/>
    <cellStyle name="Comma 4 4 2 3 5" xfId="26150" xr:uid="{2AA498CA-B68B-40BB-97AB-076CB8AD2CED}"/>
    <cellStyle name="Comma 4 4 2 3 6" xfId="9264" xr:uid="{40F409F3-2759-4217-93A2-566625AF6794}"/>
    <cellStyle name="Comma 4 4 2 4" xfId="1144" xr:uid="{00000000-0005-0000-0000-0000EA090000}"/>
    <cellStyle name="Comma 4 4 2 4 2" xfId="3375" xr:uid="{00000000-0005-0000-0000-0000EB090000}"/>
    <cellStyle name="Comma 4 4 2 4 2 2" xfId="7598" xr:uid="{00000000-0005-0000-0000-0000EC090000}"/>
    <cellStyle name="Comma 4 4 2 4 2 2 2" xfId="24481" xr:uid="{EE9B9C77-37C8-4854-8A59-DA401DBE700F}"/>
    <cellStyle name="Comma 4 4 2 4 2 2 3" xfId="32927" xr:uid="{4CEE5772-41A5-486F-82B5-BD25766E6552}"/>
    <cellStyle name="Comma 4 4 2 4 2 2 4" xfId="16040" xr:uid="{B956442D-DB53-4AD7-9B3B-A03CE1D32C5C}"/>
    <cellStyle name="Comma 4 4 2 4 2 3" xfId="20263" xr:uid="{F371E791-8F2F-44DD-8FEF-31A6D5F6E068}"/>
    <cellStyle name="Comma 4 4 2 4 2 4" xfId="28710" xr:uid="{464BB6D3-9AA6-457E-9212-8A36742E210A}"/>
    <cellStyle name="Comma 4 4 2 4 2 5" xfId="11822" xr:uid="{BD2D393C-6019-4C5B-967D-7607DD435B48}"/>
    <cellStyle name="Comma 4 4 2 4 3" xfId="5453" xr:uid="{00000000-0005-0000-0000-0000ED090000}"/>
    <cellStyle name="Comma 4 4 2 4 3 2" xfId="22336" xr:uid="{FCD9ABAA-7246-4DCD-A96D-0BE24FE42F74}"/>
    <cellStyle name="Comma 4 4 2 4 3 3" xfId="30782" xr:uid="{B06F87D3-13C2-441F-8D54-5D949DB6CF85}"/>
    <cellStyle name="Comma 4 4 2 4 3 4" xfId="13895" xr:uid="{441D96F6-EE36-4ABE-9AF2-5D156348491F}"/>
    <cellStyle name="Comma 4 4 2 4 4" xfId="18118" xr:uid="{469E3C2D-F452-411C-A631-F5AECD1DADE4}"/>
    <cellStyle name="Comma 4 4 2 4 5" xfId="26563" xr:uid="{501F6E37-D48F-4669-8171-F7B58157854E}"/>
    <cellStyle name="Comma 4 4 2 4 6" xfId="9677" xr:uid="{7411293C-0C6D-40E9-98A1-89B3351D1D6D}"/>
    <cellStyle name="Comma 4 4 2 5" xfId="1558" xr:uid="{00000000-0005-0000-0000-0000EE090000}"/>
    <cellStyle name="Comma 4 4 2 5 2" xfId="3788" xr:uid="{00000000-0005-0000-0000-0000EF090000}"/>
    <cellStyle name="Comma 4 4 2 5 2 2" xfId="8011" xr:uid="{00000000-0005-0000-0000-0000F0090000}"/>
    <cellStyle name="Comma 4 4 2 5 2 2 2" xfId="24894" xr:uid="{1332E90C-3456-4D47-867B-58DB5390776F}"/>
    <cellStyle name="Comma 4 4 2 5 2 2 3" xfId="33340" xr:uid="{A92B88D7-F89A-4065-B526-D393142DA426}"/>
    <cellStyle name="Comma 4 4 2 5 2 2 4" xfId="16453" xr:uid="{E4C70F99-E881-4BA9-BACF-4E062D25930A}"/>
    <cellStyle name="Comma 4 4 2 5 2 3" xfId="20676" xr:uid="{4AE11869-2120-4F0A-8CA7-20F9954B440E}"/>
    <cellStyle name="Comma 4 4 2 5 2 4" xfId="29123" xr:uid="{15EC51A5-4B68-4082-8572-47479051B76B}"/>
    <cellStyle name="Comma 4 4 2 5 2 5" xfId="12235" xr:uid="{FCD469CE-8498-4243-A61B-8A503DA1F31C}"/>
    <cellStyle name="Comma 4 4 2 5 3" xfId="5866" xr:uid="{00000000-0005-0000-0000-0000F1090000}"/>
    <cellStyle name="Comma 4 4 2 5 3 2" xfId="22749" xr:uid="{8054BBC8-6CDF-4F6E-B44B-AD8A6CBCB8BC}"/>
    <cellStyle name="Comma 4 4 2 5 3 3" xfId="31195" xr:uid="{F27A8BB9-62B0-4D28-B7F7-4D79DCD0E44F}"/>
    <cellStyle name="Comma 4 4 2 5 3 4" xfId="14308" xr:uid="{C05D1852-9870-46F6-9993-3C34A1D86B2C}"/>
    <cellStyle name="Comma 4 4 2 5 4" xfId="18531" xr:uid="{FF0A3DE7-1BAF-4FEA-ABE3-4D0DFC0BBE90}"/>
    <cellStyle name="Comma 4 4 2 5 5" xfId="26976" xr:uid="{9C5FA5EC-F89F-4596-9E53-645723E4167F}"/>
    <cellStyle name="Comma 4 4 2 5 6" xfId="10090" xr:uid="{F97F703A-14D1-4C39-9ACD-14D07ABA3CD6}"/>
    <cellStyle name="Comma 4 4 2 6" xfId="1972" xr:uid="{00000000-0005-0000-0000-0000F2090000}"/>
    <cellStyle name="Comma 4 4 2 6 2" xfId="4201" xr:uid="{00000000-0005-0000-0000-0000F3090000}"/>
    <cellStyle name="Comma 4 4 2 6 2 2" xfId="8424" xr:uid="{00000000-0005-0000-0000-0000F4090000}"/>
    <cellStyle name="Comma 4 4 2 6 2 2 2" xfId="25307" xr:uid="{7636694D-D2A6-4C70-A6B6-65314B73FA63}"/>
    <cellStyle name="Comma 4 4 2 6 2 2 3" xfId="33753" xr:uid="{44A28C9B-5B0D-4C44-8F02-57404AD63658}"/>
    <cellStyle name="Comma 4 4 2 6 2 2 4" xfId="16866" xr:uid="{EC91029B-B911-4D1C-B6BF-7A6263A9BD25}"/>
    <cellStyle name="Comma 4 4 2 6 2 3" xfId="21089" xr:uid="{4896E5F8-321E-45CF-A1DB-20E49A041EB0}"/>
    <cellStyle name="Comma 4 4 2 6 2 4" xfId="29536" xr:uid="{16D021CB-090C-4667-89E3-DD30BBDDABD4}"/>
    <cellStyle name="Comma 4 4 2 6 2 5" xfId="12648" xr:uid="{5A8AED96-A4D5-493A-B781-3820E4BC14D9}"/>
    <cellStyle name="Comma 4 4 2 6 3" xfId="6279" xr:uid="{00000000-0005-0000-0000-0000F5090000}"/>
    <cellStyle name="Comma 4 4 2 6 3 2" xfId="23162" xr:uid="{B6D7B1FA-5B8F-4481-8037-A848BE0B832F}"/>
    <cellStyle name="Comma 4 4 2 6 3 3" xfId="31608" xr:uid="{EE18DC95-A9FD-4D9A-B2A3-CADB20C254F3}"/>
    <cellStyle name="Comma 4 4 2 6 3 4" xfId="14721" xr:uid="{28031A84-B6D7-4425-A440-08F66A6A1DC4}"/>
    <cellStyle name="Comma 4 4 2 6 4" xfId="18944" xr:uid="{E67513AA-9EB1-4019-9FCF-9C7837B9A737}"/>
    <cellStyle name="Comma 4 4 2 6 5" xfId="27389" xr:uid="{05D1AA9B-0025-473A-A882-1C38875BF0BD}"/>
    <cellStyle name="Comma 4 4 2 6 6" xfId="10503" xr:uid="{785CF2C3-E2F7-4CC8-8234-4C85A512D1CF}"/>
    <cellStyle name="Comma 4 4 2 7" xfId="2407" xr:uid="{00000000-0005-0000-0000-0000F6090000}"/>
    <cellStyle name="Comma 4 4 2 7 2" xfId="6692" xr:uid="{00000000-0005-0000-0000-0000F7090000}"/>
    <cellStyle name="Comma 4 4 2 7 2 2" xfId="23575" xr:uid="{89F7504B-2422-41BE-8089-0D1085E099F9}"/>
    <cellStyle name="Comma 4 4 2 7 2 3" xfId="32021" xr:uid="{31DFAF23-7894-4D93-9899-547B241EE405}"/>
    <cellStyle name="Comma 4 4 2 7 2 4" xfId="15134" xr:uid="{5940CBAD-3486-4086-843E-C6E63E81759D}"/>
    <cellStyle name="Comma 4 4 2 7 3" xfId="19357" xr:uid="{286E0EB0-601E-4D45-88D5-23BCC0C7AA4A}"/>
    <cellStyle name="Comma 4 4 2 7 4" xfId="27802" xr:uid="{0EC141F7-9817-4012-97BE-38870DBED388}"/>
    <cellStyle name="Comma 4 4 2 7 5" xfId="10916" xr:uid="{5A229F95-36CE-41FD-BC3C-3007F43A6F6D}"/>
    <cellStyle name="Comma 4 4 2 8" xfId="2703" xr:uid="{00000000-0005-0000-0000-0000F8090000}"/>
    <cellStyle name="Comma 4 4 2 9" xfId="2785" xr:uid="{00000000-0005-0000-0000-0000F9090000}"/>
    <cellStyle name="Comma 4 4 2 9 2" xfId="7009" xr:uid="{00000000-0005-0000-0000-0000FA090000}"/>
    <cellStyle name="Comma 4 4 2 9 2 2" xfId="23892" xr:uid="{0311A1E0-9863-4032-8037-FECB09E4516E}"/>
    <cellStyle name="Comma 4 4 2 9 2 3" xfId="32338" xr:uid="{43E92D11-6758-4AA0-A76F-DF28AA6A812C}"/>
    <cellStyle name="Comma 4 4 2 9 2 4" xfId="15451" xr:uid="{896F3F48-CDA7-4C2D-BA0A-373BECF05ED5}"/>
    <cellStyle name="Comma 4 4 2 9 3" xfId="19674" xr:uid="{DF320AE8-C796-4E41-8CB5-48E5B1DABA72}"/>
    <cellStyle name="Comma 4 4 2 9 4" xfId="28121" xr:uid="{AAE3CD95-D3D7-44C6-91DA-D42E49293293}"/>
    <cellStyle name="Comma 4 4 2 9 5" xfId="11233" xr:uid="{C8A17CC9-4457-4031-85D1-03F052A0F13E}"/>
    <cellStyle name="Comma 4 4 3" xfId="156" xr:uid="{00000000-0005-0000-0000-0000FB090000}"/>
    <cellStyle name="Comma 4 4 3 10" xfId="17293" xr:uid="{C3BE2A3A-63CC-4E27-B565-B9355EF0C5BE}"/>
    <cellStyle name="Comma 4 4 3 11" xfId="25736" xr:uid="{E292560F-7037-4709-B0CD-AD1FDE0BAB1D}"/>
    <cellStyle name="Comma 4 4 3 12" xfId="8852" xr:uid="{3208C90F-F52F-4079-9C97-29CC17BFBCCE}"/>
    <cellStyle name="Comma 4 4 3 2" xfId="693" xr:uid="{00000000-0005-0000-0000-0000FC090000}"/>
    <cellStyle name="Comma 4 4 3 2 2" xfId="2964" xr:uid="{00000000-0005-0000-0000-0000FD090000}"/>
    <cellStyle name="Comma 4 4 3 2 2 2" xfId="7187" xr:uid="{00000000-0005-0000-0000-0000FE090000}"/>
    <cellStyle name="Comma 4 4 3 2 2 2 2" xfId="24070" xr:uid="{D5043C9B-B17F-421D-874A-C19ABDADC2C0}"/>
    <cellStyle name="Comma 4 4 3 2 2 2 3" xfId="32516" xr:uid="{C1C00065-802D-41E0-99AC-8E7ACA5A0795}"/>
    <cellStyle name="Comma 4 4 3 2 2 2 4" xfId="15629" xr:uid="{DC444A70-5663-4592-B75C-FDB646E1FE45}"/>
    <cellStyle name="Comma 4 4 3 2 2 3" xfId="19852" xr:uid="{09E9A53A-F95C-4F31-B4C4-CFD4B69DE1E5}"/>
    <cellStyle name="Comma 4 4 3 2 2 4" xfId="28299" xr:uid="{4D1475D6-5627-4E9D-B85A-48A4A1884BE0}"/>
    <cellStyle name="Comma 4 4 3 2 2 5" xfId="11411" xr:uid="{C47D2F99-BE32-46EA-908B-3CB247317251}"/>
    <cellStyle name="Comma 4 4 3 2 3" xfId="5042" xr:uid="{00000000-0005-0000-0000-0000FF090000}"/>
    <cellStyle name="Comma 4 4 3 2 3 2" xfId="21925" xr:uid="{DDDE7816-3105-4BCC-9F60-7841A9C937F2}"/>
    <cellStyle name="Comma 4 4 3 2 3 3" xfId="30371" xr:uid="{99B2B38D-1726-422F-A6FD-2D8D1DF55EF4}"/>
    <cellStyle name="Comma 4 4 3 2 3 4" xfId="13484" xr:uid="{7490EC23-4228-4139-BA4F-74E51FA85016}"/>
    <cellStyle name="Comma 4 4 3 2 4" xfId="17707" xr:uid="{7397EDC5-1E57-4910-8EC1-FC32B89D30CC}"/>
    <cellStyle name="Comma 4 4 3 2 5" xfId="26152" xr:uid="{3C284DB5-A88E-4702-9C46-F1242723CF0D}"/>
    <cellStyle name="Comma 4 4 3 2 6" xfId="9266" xr:uid="{457CB62E-15B0-49F7-86CD-4BA9EEDAE20F}"/>
    <cellStyle name="Comma 4 4 3 3" xfId="1146" xr:uid="{00000000-0005-0000-0000-0000000A0000}"/>
    <cellStyle name="Comma 4 4 3 3 2" xfId="3377" xr:uid="{00000000-0005-0000-0000-0000010A0000}"/>
    <cellStyle name="Comma 4 4 3 3 2 2" xfId="7600" xr:uid="{00000000-0005-0000-0000-0000020A0000}"/>
    <cellStyle name="Comma 4 4 3 3 2 2 2" xfId="24483" xr:uid="{43B7AFA2-0624-48D1-82CB-ED5911B89A48}"/>
    <cellStyle name="Comma 4 4 3 3 2 2 3" xfId="32929" xr:uid="{78E10202-6D6B-417A-8D6E-9B11162EA952}"/>
    <cellStyle name="Comma 4 4 3 3 2 2 4" xfId="16042" xr:uid="{1F3C36BE-F290-4CA2-A337-D3248C7BFB42}"/>
    <cellStyle name="Comma 4 4 3 3 2 3" xfId="20265" xr:uid="{2565F1CB-AA2F-44CB-B3DB-3B0D01A93873}"/>
    <cellStyle name="Comma 4 4 3 3 2 4" xfId="28712" xr:uid="{1815BA4D-4DB3-4F8C-A046-0BDD8AC68206}"/>
    <cellStyle name="Comma 4 4 3 3 2 5" xfId="11824" xr:uid="{7A4FD28E-76B5-43D7-A798-8A23D64A5883}"/>
    <cellStyle name="Comma 4 4 3 3 3" xfId="5455" xr:uid="{00000000-0005-0000-0000-0000030A0000}"/>
    <cellStyle name="Comma 4 4 3 3 3 2" xfId="22338" xr:uid="{8AF48CED-9668-43B2-A4B6-77DC38D0B05C}"/>
    <cellStyle name="Comma 4 4 3 3 3 3" xfId="30784" xr:uid="{BC1CFF4A-D82C-46E0-9B02-7E18F2FEAF8B}"/>
    <cellStyle name="Comma 4 4 3 3 3 4" xfId="13897" xr:uid="{BE6A85F1-9167-4482-9596-B7CCA487EA8C}"/>
    <cellStyle name="Comma 4 4 3 3 4" xfId="18120" xr:uid="{C11C5C3F-9D80-49E7-A1C4-0E09B02D22E8}"/>
    <cellStyle name="Comma 4 4 3 3 5" xfId="26565" xr:uid="{332706AD-48FD-41DD-B25C-1BFB41D91A39}"/>
    <cellStyle name="Comma 4 4 3 3 6" xfId="9679" xr:uid="{A3B4E544-5A16-4F8A-A218-EE46762D2D82}"/>
    <cellStyle name="Comma 4 4 3 4" xfId="1560" xr:uid="{00000000-0005-0000-0000-0000040A0000}"/>
    <cellStyle name="Comma 4 4 3 4 2" xfId="3790" xr:uid="{00000000-0005-0000-0000-0000050A0000}"/>
    <cellStyle name="Comma 4 4 3 4 2 2" xfId="8013" xr:uid="{00000000-0005-0000-0000-0000060A0000}"/>
    <cellStyle name="Comma 4 4 3 4 2 2 2" xfId="24896" xr:uid="{65B1C7B7-1562-4E1C-83F6-A3A1662C6725}"/>
    <cellStyle name="Comma 4 4 3 4 2 2 3" xfId="33342" xr:uid="{63A94386-08C7-4EA0-A0C6-72AA19989436}"/>
    <cellStyle name="Comma 4 4 3 4 2 2 4" xfId="16455" xr:uid="{1FF550FD-A87E-4909-B257-0BA390E0A2BA}"/>
    <cellStyle name="Comma 4 4 3 4 2 3" xfId="20678" xr:uid="{97D2B023-B5C2-4145-BA16-B2402DF44B25}"/>
    <cellStyle name="Comma 4 4 3 4 2 4" xfId="29125" xr:uid="{7A353BF6-15FB-4988-8717-8F3DD3C8A6D7}"/>
    <cellStyle name="Comma 4 4 3 4 2 5" xfId="12237" xr:uid="{00E6CD58-1218-44E6-9C5C-A55F7CF31DC5}"/>
    <cellStyle name="Comma 4 4 3 4 3" xfId="5868" xr:uid="{00000000-0005-0000-0000-0000070A0000}"/>
    <cellStyle name="Comma 4 4 3 4 3 2" xfId="22751" xr:uid="{DEA73F9D-2DDE-41BE-97E0-A7FC1E5D70A1}"/>
    <cellStyle name="Comma 4 4 3 4 3 3" xfId="31197" xr:uid="{62B7152A-B35A-4BA1-9AA9-8B16C2E926F1}"/>
    <cellStyle name="Comma 4 4 3 4 3 4" xfId="14310" xr:uid="{48342D60-0E53-4059-A384-A5D78FCDB783}"/>
    <cellStyle name="Comma 4 4 3 4 4" xfId="18533" xr:uid="{E72DC07B-132A-4F5D-87FB-14929F5E41BF}"/>
    <cellStyle name="Comma 4 4 3 4 5" xfId="26978" xr:uid="{BB1D17F2-1A48-4A36-85F4-80F86780415B}"/>
    <cellStyle name="Comma 4 4 3 4 6" xfId="10092" xr:uid="{C2D3C691-36C0-449F-A890-ECB976A8224D}"/>
    <cellStyle name="Comma 4 4 3 5" xfId="1974" xr:uid="{00000000-0005-0000-0000-0000080A0000}"/>
    <cellStyle name="Comma 4 4 3 5 2" xfId="4203" xr:uid="{00000000-0005-0000-0000-0000090A0000}"/>
    <cellStyle name="Comma 4 4 3 5 2 2" xfId="8426" xr:uid="{00000000-0005-0000-0000-00000A0A0000}"/>
    <cellStyle name="Comma 4 4 3 5 2 2 2" xfId="25309" xr:uid="{3B6080FA-45D9-4B13-86AD-A2D0739E0464}"/>
    <cellStyle name="Comma 4 4 3 5 2 2 3" xfId="33755" xr:uid="{E8532D1D-71BD-4ECD-B362-73E49BD84E6C}"/>
    <cellStyle name="Comma 4 4 3 5 2 2 4" xfId="16868" xr:uid="{D7AE835D-CA27-4FEB-A5F4-C974CFCE49C8}"/>
    <cellStyle name="Comma 4 4 3 5 2 3" xfId="21091" xr:uid="{795B32E9-F3E9-41E8-A557-B6358D48F148}"/>
    <cellStyle name="Comma 4 4 3 5 2 4" xfId="29538" xr:uid="{53DFAB2C-F43B-471B-AEA9-CF39AF7DCB85}"/>
    <cellStyle name="Comma 4 4 3 5 2 5" xfId="12650" xr:uid="{C69BEBA9-857E-4BEB-B959-5C8E270448C6}"/>
    <cellStyle name="Comma 4 4 3 5 3" xfId="6281" xr:uid="{00000000-0005-0000-0000-00000B0A0000}"/>
    <cellStyle name="Comma 4 4 3 5 3 2" xfId="23164" xr:uid="{9A5F24B9-4B0D-4289-926B-76579B301603}"/>
    <cellStyle name="Comma 4 4 3 5 3 3" xfId="31610" xr:uid="{E090FA46-5092-42F2-9CAD-BC06334DB592}"/>
    <cellStyle name="Comma 4 4 3 5 3 4" xfId="14723" xr:uid="{2A48D1BC-1F6E-4FC5-A611-60C1A4526BA0}"/>
    <cellStyle name="Comma 4 4 3 5 4" xfId="18946" xr:uid="{2E2B29F5-2441-4B1E-B3CC-3A004AA09B77}"/>
    <cellStyle name="Comma 4 4 3 5 5" xfId="27391" xr:uid="{E58D6227-86A1-4B75-AF2E-35BB354BC95F}"/>
    <cellStyle name="Comma 4 4 3 5 6" xfId="10505" xr:uid="{AFC6E57A-EA03-4D96-9CE7-202E80F185BF}"/>
    <cellStyle name="Comma 4 4 3 6" xfId="2409" xr:uid="{00000000-0005-0000-0000-00000C0A0000}"/>
    <cellStyle name="Comma 4 4 3 6 2" xfId="6694" xr:uid="{00000000-0005-0000-0000-00000D0A0000}"/>
    <cellStyle name="Comma 4 4 3 6 2 2" xfId="23577" xr:uid="{0CBC24D3-D14C-46F4-BF6C-AB651D94AC6E}"/>
    <cellStyle name="Comma 4 4 3 6 2 3" xfId="32023" xr:uid="{9ED2ACA1-1FB2-4631-B37D-192FE6C2E2B0}"/>
    <cellStyle name="Comma 4 4 3 6 2 4" xfId="15136" xr:uid="{AE3236C4-818D-49B3-BA5D-3AAC16F2ED60}"/>
    <cellStyle name="Comma 4 4 3 6 3" xfId="19359" xr:uid="{40564F0C-17CC-4F24-8C2E-89833FC45577}"/>
    <cellStyle name="Comma 4 4 3 6 4" xfId="27804" xr:uid="{4CBE8265-5555-4BDC-BBF3-12EE689D9688}"/>
    <cellStyle name="Comma 4 4 3 6 5" xfId="10918" xr:uid="{AE620B7F-8829-4E7F-A09E-07D3BC6A06D0}"/>
    <cellStyle name="Comma 4 4 3 7" xfId="2705" xr:uid="{00000000-0005-0000-0000-00000E0A0000}"/>
    <cellStyle name="Comma 4 4 3 8" xfId="2787" xr:uid="{00000000-0005-0000-0000-00000F0A0000}"/>
    <cellStyle name="Comma 4 4 3 8 2" xfId="7011" xr:uid="{00000000-0005-0000-0000-0000100A0000}"/>
    <cellStyle name="Comma 4 4 3 8 2 2" xfId="23894" xr:uid="{76B2AF8C-8131-48FB-BE40-81E9BB16AEED}"/>
    <cellStyle name="Comma 4 4 3 8 2 3" xfId="32340" xr:uid="{17DEE873-44DF-403A-9C5C-0444BBE2CE60}"/>
    <cellStyle name="Comma 4 4 3 8 2 4" xfId="15453" xr:uid="{4095FAD5-D627-442A-BCA8-BE257A7155A7}"/>
    <cellStyle name="Comma 4 4 3 8 3" xfId="19676" xr:uid="{A7262C3B-DA43-430C-B60B-0231AE7E2F3D}"/>
    <cellStyle name="Comma 4 4 3 8 4" xfId="28123" xr:uid="{56CAB115-34E1-4551-8DCA-F2BC50600EC9}"/>
    <cellStyle name="Comma 4 4 3 8 5" xfId="11235" xr:uid="{323A5363-B29D-42E3-9F9C-908A2BB582BE}"/>
    <cellStyle name="Comma 4 4 3 9" xfId="4628" xr:uid="{00000000-0005-0000-0000-0000110A0000}"/>
    <cellStyle name="Comma 4 4 3 9 2" xfId="21511" xr:uid="{9852E7C0-549A-40D9-8E07-C74879F4E413}"/>
    <cellStyle name="Comma 4 4 3 9 3" xfId="29957" xr:uid="{E9A0428E-0F10-4EF7-87C0-20FA3AA2C1D0}"/>
    <cellStyle name="Comma 4 4 3 9 4" xfId="13070" xr:uid="{73A5B939-E642-4CD1-B323-296FB3CF18F8}"/>
    <cellStyle name="Comma 4 4 4" xfId="690" xr:uid="{00000000-0005-0000-0000-0000120A0000}"/>
    <cellStyle name="Comma 4 4 4 2" xfId="2961" xr:uid="{00000000-0005-0000-0000-0000130A0000}"/>
    <cellStyle name="Comma 4 4 4 2 2" xfId="7184" xr:uid="{00000000-0005-0000-0000-0000140A0000}"/>
    <cellStyle name="Comma 4 4 4 2 2 2" xfId="24067" xr:uid="{EC4B2B5A-B561-430C-B999-E8B636057F08}"/>
    <cellStyle name="Comma 4 4 4 2 2 3" xfId="32513" xr:uid="{43A4E32D-4F67-443F-B814-D3C8CFA3251C}"/>
    <cellStyle name="Comma 4 4 4 2 2 4" xfId="15626" xr:uid="{EAA6F254-6C93-4BFE-BD03-DEED51C2E4E0}"/>
    <cellStyle name="Comma 4 4 4 2 3" xfId="19849" xr:uid="{DB37569E-CBDC-49AD-A3DF-CCD59F237E11}"/>
    <cellStyle name="Comma 4 4 4 2 4" xfId="28296" xr:uid="{5CEEB483-54B8-4BB2-A234-7BB61BA9C594}"/>
    <cellStyle name="Comma 4 4 4 2 5" xfId="11408" xr:uid="{7BCEA09E-58EB-48CB-8CD2-1444A890ED04}"/>
    <cellStyle name="Comma 4 4 4 3" xfId="5039" xr:uid="{00000000-0005-0000-0000-0000150A0000}"/>
    <cellStyle name="Comma 4 4 4 3 2" xfId="21922" xr:uid="{1CF8D379-4668-40B3-A5F4-B012BC9A64E2}"/>
    <cellStyle name="Comma 4 4 4 3 3" xfId="30368" xr:uid="{37BF1D93-0C44-47E7-AA84-9196ECEFEB03}"/>
    <cellStyle name="Comma 4 4 4 3 4" xfId="13481" xr:uid="{0606D90F-F36D-412E-84A8-89AD5D9A56A7}"/>
    <cellStyle name="Comma 4 4 4 4" xfId="17704" xr:uid="{3A367B8A-B667-4342-8722-6622BAB2379B}"/>
    <cellStyle name="Comma 4 4 4 5" xfId="26149" xr:uid="{D3DFEEC1-5CA6-4420-99E6-778C9B375E5D}"/>
    <cellStyle name="Comma 4 4 4 6" xfId="9263" xr:uid="{48A02B29-E235-4330-AEC0-D8931BC340A4}"/>
    <cellStyle name="Comma 4 4 5" xfId="1143" xr:uid="{00000000-0005-0000-0000-0000160A0000}"/>
    <cellStyle name="Comma 4 4 5 2" xfId="3374" xr:uid="{00000000-0005-0000-0000-0000170A0000}"/>
    <cellStyle name="Comma 4 4 5 2 2" xfId="7597" xr:uid="{00000000-0005-0000-0000-0000180A0000}"/>
    <cellStyle name="Comma 4 4 5 2 2 2" xfId="24480" xr:uid="{32722FD0-C927-4BB6-A424-2482BD530C73}"/>
    <cellStyle name="Comma 4 4 5 2 2 3" xfId="32926" xr:uid="{BD0DC33D-AEAA-4872-ADE0-2AA8A1305150}"/>
    <cellStyle name="Comma 4 4 5 2 2 4" xfId="16039" xr:uid="{24969EE3-3F46-46A4-BE3B-C99E45230D16}"/>
    <cellStyle name="Comma 4 4 5 2 3" xfId="20262" xr:uid="{D849B5B9-ACF2-4E83-8862-77452DA619D8}"/>
    <cellStyle name="Comma 4 4 5 2 4" xfId="28709" xr:uid="{E5B9673B-D97E-460A-917B-541521853F0A}"/>
    <cellStyle name="Comma 4 4 5 2 5" xfId="11821" xr:uid="{36F42A10-6141-4BA6-AC02-3846A410AA0C}"/>
    <cellStyle name="Comma 4 4 5 3" xfId="5452" xr:uid="{00000000-0005-0000-0000-0000190A0000}"/>
    <cellStyle name="Comma 4 4 5 3 2" xfId="22335" xr:uid="{B91522DE-FBD9-4646-9F6C-1DA6483E4D50}"/>
    <cellStyle name="Comma 4 4 5 3 3" xfId="30781" xr:uid="{F884FDD9-189D-4125-A8EB-012CFA8AD8DE}"/>
    <cellStyle name="Comma 4 4 5 3 4" xfId="13894" xr:uid="{F0433DE8-87D5-4D0E-8F39-AD812C8F1FE2}"/>
    <cellStyle name="Comma 4 4 5 4" xfId="18117" xr:uid="{E67F73AE-2C75-47F9-A868-ED0D6472BA92}"/>
    <cellStyle name="Comma 4 4 5 5" xfId="26562" xr:uid="{1BDD9C8E-4F87-4752-90D5-D72A6617DAEF}"/>
    <cellStyle name="Comma 4 4 5 6" xfId="9676" xr:uid="{85943873-EE38-40DB-AF55-4B86B5DE3B43}"/>
    <cellStyle name="Comma 4 4 6" xfId="1557" xr:uid="{00000000-0005-0000-0000-00001A0A0000}"/>
    <cellStyle name="Comma 4 4 6 2" xfId="3787" xr:uid="{00000000-0005-0000-0000-00001B0A0000}"/>
    <cellStyle name="Comma 4 4 6 2 2" xfId="8010" xr:uid="{00000000-0005-0000-0000-00001C0A0000}"/>
    <cellStyle name="Comma 4 4 6 2 2 2" xfId="24893" xr:uid="{7A82BD61-A3EA-45B7-973E-4C86254CB183}"/>
    <cellStyle name="Comma 4 4 6 2 2 3" xfId="33339" xr:uid="{770BC8DE-7C77-4662-9D39-B795AA216CB5}"/>
    <cellStyle name="Comma 4 4 6 2 2 4" xfId="16452" xr:uid="{247C1E5B-A05F-497C-85E9-98B06A897398}"/>
    <cellStyle name="Comma 4 4 6 2 3" xfId="20675" xr:uid="{0AFEB8DA-2DB1-4E5B-8899-DFD62A4EC627}"/>
    <cellStyle name="Comma 4 4 6 2 4" xfId="29122" xr:uid="{CE138211-28F8-4B0B-8B4C-92DD35C98134}"/>
    <cellStyle name="Comma 4 4 6 2 5" xfId="12234" xr:uid="{9BACA224-245C-4F18-A269-DB2B9998A4B3}"/>
    <cellStyle name="Comma 4 4 6 3" xfId="5865" xr:uid="{00000000-0005-0000-0000-00001D0A0000}"/>
    <cellStyle name="Comma 4 4 6 3 2" xfId="22748" xr:uid="{E86A4B89-2160-4927-BCA5-302BBCDAEDB6}"/>
    <cellStyle name="Comma 4 4 6 3 3" xfId="31194" xr:uid="{A58A73CC-FF5E-4EF5-8BC5-A255D03DCB6C}"/>
    <cellStyle name="Comma 4 4 6 3 4" xfId="14307" xr:uid="{4E4FAFE4-6FA3-4939-91A3-F964A5EE81ED}"/>
    <cellStyle name="Comma 4 4 6 4" xfId="18530" xr:uid="{4550AFC7-B25E-46E3-969B-FD10A87C3AB5}"/>
    <cellStyle name="Comma 4 4 6 5" xfId="26975" xr:uid="{25D9613B-6E6E-436E-909E-C6C9412466AE}"/>
    <cellStyle name="Comma 4 4 6 6" xfId="10089" xr:uid="{A848BF52-8F66-4D83-8745-4D89673729C3}"/>
    <cellStyle name="Comma 4 4 7" xfId="1971" xr:uid="{00000000-0005-0000-0000-00001E0A0000}"/>
    <cellStyle name="Comma 4 4 7 2" xfId="4200" xr:uid="{00000000-0005-0000-0000-00001F0A0000}"/>
    <cellStyle name="Comma 4 4 7 2 2" xfId="8423" xr:uid="{00000000-0005-0000-0000-0000200A0000}"/>
    <cellStyle name="Comma 4 4 7 2 2 2" xfId="25306" xr:uid="{485B1A78-A721-4E0D-9D18-FCEAC66673DB}"/>
    <cellStyle name="Comma 4 4 7 2 2 3" xfId="33752" xr:uid="{5B517FFA-365C-4EEC-A179-89BCA149924B}"/>
    <cellStyle name="Comma 4 4 7 2 2 4" xfId="16865" xr:uid="{C59D8D62-7E59-4E23-970C-C48CF00E16CE}"/>
    <cellStyle name="Comma 4 4 7 2 3" xfId="21088" xr:uid="{8A8CB1B7-145D-4DF4-B8AD-804E330F9CA3}"/>
    <cellStyle name="Comma 4 4 7 2 4" xfId="29535" xr:uid="{FDB69959-5B3C-46EF-B297-4C122C0EAF42}"/>
    <cellStyle name="Comma 4 4 7 2 5" xfId="12647" xr:uid="{C3DDC8E0-B735-450B-BBE1-63478212552E}"/>
    <cellStyle name="Comma 4 4 7 3" xfId="6278" xr:uid="{00000000-0005-0000-0000-0000210A0000}"/>
    <cellStyle name="Comma 4 4 7 3 2" xfId="23161" xr:uid="{F1F4910C-4A76-41B5-B35D-A62F9C7E19B6}"/>
    <cellStyle name="Comma 4 4 7 3 3" xfId="31607" xr:uid="{28541A06-FB2F-46C8-B34B-DCF3D2681498}"/>
    <cellStyle name="Comma 4 4 7 3 4" xfId="14720" xr:uid="{49B93B61-7A22-4B9C-B44A-86498D88C9FD}"/>
    <cellStyle name="Comma 4 4 7 4" xfId="18943" xr:uid="{E787CAC5-C69F-4E13-BA7C-CDE94276C483}"/>
    <cellStyle name="Comma 4 4 7 5" xfId="27388" xr:uid="{2042F76F-E1EF-4B97-90B4-3BCE46B90B96}"/>
    <cellStyle name="Comma 4 4 7 6" xfId="10502" xr:uid="{6AFB9397-D279-4A4C-983A-FE73ECB729E2}"/>
    <cellStyle name="Comma 4 4 8" xfId="2406" xr:uid="{00000000-0005-0000-0000-0000220A0000}"/>
    <cellStyle name="Comma 4 4 8 2" xfId="6691" xr:uid="{00000000-0005-0000-0000-0000230A0000}"/>
    <cellStyle name="Comma 4 4 8 2 2" xfId="23574" xr:uid="{7C8C885A-9076-4497-8593-59C66AD13F5D}"/>
    <cellStyle name="Comma 4 4 8 2 3" xfId="32020" xr:uid="{FCCD8351-605B-4713-AF88-94A546905BC2}"/>
    <cellStyle name="Comma 4 4 8 2 4" xfId="15133" xr:uid="{2E0908CC-F1C7-41F9-9857-2FF371C32BEC}"/>
    <cellStyle name="Comma 4 4 8 3" xfId="19356" xr:uid="{3DEC74AD-8C54-490A-AC10-EB02FC52D246}"/>
    <cellStyle name="Comma 4 4 8 4" xfId="27801" xr:uid="{BCE66E23-AAEE-4320-BDDE-307A13468E62}"/>
    <cellStyle name="Comma 4 4 8 5" xfId="10915" xr:uid="{884AC0EE-ABB0-4B60-B182-A13B6DA27726}"/>
    <cellStyle name="Comma 4 4 9" xfId="2702" xr:uid="{00000000-0005-0000-0000-0000240A0000}"/>
    <cellStyle name="Comma 4 5" xfId="157" xr:uid="{00000000-0005-0000-0000-0000250A0000}"/>
    <cellStyle name="Comma 4 5 10" xfId="4629" xr:uid="{00000000-0005-0000-0000-0000260A0000}"/>
    <cellStyle name="Comma 4 5 10 2" xfId="21512" xr:uid="{93FC856F-63A7-4846-90EE-F973BFB8D6CB}"/>
    <cellStyle name="Comma 4 5 10 3" xfId="29958" xr:uid="{EEBA6786-7FA9-45AB-A16A-CF4788DA3D68}"/>
    <cellStyle name="Comma 4 5 10 4" xfId="13071" xr:uid="{08EEBCD9-1B82-4A74-B309-510D8E43E3EE}"/>
    <cellStyle name="Comma 4 5 11" xfId="17294" xr:uid="{7677FF4C-9C38-495B-B725-527CEFC182F2}"/>
    <cellStyle name="Comma 4 5 12" xfId="25737" xr:uid="{EA369CF1-A750-4F52-ABD3-37BFF7C16CD4}"/>
    <cellStyle name="Comma 4 5 13" xfId="8853" xr:uid="{E4FECE8D-2873-45BA-ACC3-E1EF80703CE6}"/>
    <cellStyle name="Comma 4 5 2" xfId="158" xr:uid="{00000000-0005-0000-0000-0000270A0000}"/>
    <cellStyle name="Comma 4 5 2 10" xfId="17295" xr:uid="{21FF8719-6E00-4C47-ABAD-CDFFD902E567}"/>
    <cellStyle name="Comma 4 5 2 11" xfId="25738" xr:uid="{F6D3AD17-8815-4E6C-8316-911D4CFB4270}"/>
    <cellStyle name="Comma 4 5 2 12" xfId="8854" xr:uid="{D51B3CC1-7BE1-451B-ADA4-16ED3DF71E8D}"/>
    <cellStyle name="Comma 4 5 2 2" xfId="695" xr:uid="{00000000-0005-0000-0000-0000280A0000}"/>
    <cellStyle name="Comma 4 5 2 2 2" xfId="2966" xr:uid="{00000000-0005-0000-0000-0000290A0000}"/>
    <cellStyle name="Comma 4 5 2 2 2 2" xfId="7189" xr:uid="{00000000-0005-0000-0000-00002A0A0000}"/>
    <cellStyle name="Comma 4 5 2 2 2 2 2" xfId="24072" xr:uid="{D0E291F4-BC33-4B01-9823-AF456FE2FC3D}"/>
    <cellStyle name="Comma 4 5 2 2 2 2 3" xfId="32518" xr:uid="{0622121D-1F4F-49CE-A6C4-C0135788A492}"/>
    <cellStyle name="Comma 4 5 2 2 2 2 4" xfId="15631" xr:uid="{BA13ECFE-1E93-4DDB-82BF-DDBAFA4AC24C}"/>
    <cellStyle name="Comma 4 5 2 2 2 3" xfId="19854" xr:uid="{BA2FB88A-5D0C-4762-9D33-896A29882C29}"/>
    <cellStyle name="Comma 4 5 2 2 2 4" xfId="28301" xr:uid="{C8BD5B47-8C21-4692-8882-F0EE6937D415}"/>
    <cellStyle name="Comma 4 5 2 2 2 5" xfId="11413" xr:uid="{28F4BD28-AA7B-47F9-8577-FCF5D0730ABF}"/>
    <cellStyle name="Comma 4 5 2 2 3" xfId="5044" xr:uid="{00000000-0005-0000-0000-00002B0A0000}"/>
    <cellStyle name="Comma 4 5 2 2 3 2" xfId="21927" xr:uid="{C3B4AC8B-5D80-4F3F-BE89-F25CC84FDD3D}"/>
    <cellStyle name="Comma 4 5 2 2 3 3" xfId="30373" xr:uid="{A1F545C0-B912-4056-9316-B861813D301C}"/>
    <cellStyle name="Comma 4 5 2 2 3 4" xfId="13486" xr:uid="{4128E9AF-956C-4541-9EE6-304C71F61386}"/>
    <cellStyle name="Comma 4 5 2 2 4" xfId="17709" xr:uid="{E5889391-BF2C-41EF-9743-99E54076450F}"/>
    <cellStyle name="Comma 4 5 2 2 5" xfId="26154" xr:uid="{010179C4-ABF7-4F12-8570-200D68F63625}"/>
    <cellStyle name="Comma 4 5 2 2 6" xfId="9268" xr:uid="{6E1527DD-BF1D-4AE0-AD6B-FF7A1C09BDF3}"/>
    <cellStyle name="Comma 4 5 2 3" xfId="1148" xr:uid="{00000000-0005-0000-0000-00002C0A0000}"/>
    <cellStyle name="Comma 4 5 2 3 2" xfId="3379" xr:uid="{00000000-0005-0000-0000-00002D0A0000}"/>
    <cellStyle name="Comma 4 5 2 3 2 2" xfId="7602" xr:uid="{00000000-0005-0000-0000-00002E0A0000}"/>
    <cellStyle name="Comma 4 5 2 3 2 2 2" xfId="24485" xr:uid="{0D75A1F2-ABC6-4FE3-ADF9-AEB4D28BAADB}"/>
    <cellStyle name="Comma 4 5 2 3 2 2 3" xfId="32931" xr:uid="{D0238478-50F6-48B0-A15B-6D687AF29E1F}"/>
    <cellStyle name="Comma 4 5 2 3 2 2 4" xfId="16044" xr:uid="{E25CF346-9F08-49AC-BF99-DE941495BF11}"/>
    <cellStyle name="Comma 4 5 2 3 2 3" xfId="20267" xr:uid="{614B96A3-BD5E-4D6D-8CA5-B0666EC31653}"/>
    <cellStyle name="Comma 4 5 2 3 2 4" xfId="28714" xr:uid="{B697374F-7A20-4500-8E30-358C7405FB0E}"/>
    <cellStyle name="Comma 4 5 2 3 2 5" xfId="11826" xr:uid="{1C7929A8-B0AB-4796-8722-6CD742BFF9D6}"/>
    <cellStyle name="Comma 4 5 2 3 3" xfId="5457" xr:uid="{00000000-0005-0000-0000-00002F0A0000}"/>
    <cellStyle name="Comma 4 5 2 3 3 2" xfId="22340" xr:uid="{FAF7B414-9673-429C-B238-EBCD41B0F03E}"/>
    <cellStyle name="Comma 4 5 2 3 3 3" xfId="30786" xr:uid="{42FA733F-CA62-4020-B241-CB85E6F1D598}"/>
    <cellStyle name="Comma 4 5 2 3 3 4" xfId="13899" xr:uid="{5BBB3A3B-6CE7-493D-BB7D-D1E07BAB48BE}"/>
    <cellStyle name="Comma 4 5 2 3 4" xfId="18122" xr:uid="{BF57CC5D-BD53-47A8-BA5C-E186A8C768FD}"/>
    <cellStyle name="Comma 4 5 2 3 5" xfId="26567" xr:uid="{8EAB1FAC-863F-4611-AD07-21BA3E8689EA}"/>
    <cellStyle name="Comma 4 5 2 3 6" xfId="9681" xr:uid="{52537FE2-72F5-4583-9FA4-E424A7B2F2F4}"/>
    <cellStyle name="Comma 4 5 2 4" xfId="1562" xr:uid="{00000000-0005-0000-0000-0000300A0000}"/>
    <cellStyle name="Comma 4 5 2 4 2" xfId="3792" xr:uid="{00000000-0005-0000-0000-0000310A0000}"/>
    <cellStyle name="Comma 4 5 2 4 2 2" xfId="8015" xr:uid="{00000000-0005-0000-0000-0000320A0000}"/>
    <cellStyle name="Comma 4 5 2 4 2 2 2" xfId="24898" xr:uid="{12A49713-1941-40E5-944F-3C06531314FD}"/>
    <cellStyle name="Comma 4 5 2 4 2 2 3" xfId="33344" xr:uid="{0D3AA61D-65E6-4A8E-8428-6C31CEB1693E}"/>
    <cellStyle name="Comma 4 5 2 4 2 2 4" xfId="16457" xr:uid="{060CD7C1-6393-4411-9F3A-48CCD761BF1C}"/>
    <cellStyle name="Comma 4 5 2 4 2 3" xfId="20680" xr:uid="{4F2F30B9-4BD6-4657-A5F1-6452FF7D5B5C}"/>
    <cellStyle name="Comma 4 5 2 4 2 4" xfId="29127" xr:uid="{0CD36904-1AE2-4362-BD2F-F0365FD77C75}"/>
    <cellStyle name="Comma 4 5 2 4 2 5" xfId="12239" xr:uid="{0DA3BD2D-BFA9-43DF-9523-40B46EB7DE66}"/>
    <cellStyle name="Comma 4 5 2 4 3" xfId="5870" xr:uid="{00000000-0005-0000-0000-0000330A0000}"/>
    <cellStyle name="Comma 4 5 2 4 3 2" xfId="22753" xr:uid="{ACBFACB3-56A3-450F-A869-3A64EF161C5F}"/>
    <cellStyle name="Comma 4 5 2 4 3 3" xfId="31199" xr:uid="{F7EE0F1F-8ECB-4F94-92E3-48F7BD7D10E8}"/>
    <cellStyle name="Comma 4 5 2 4 3 4" xfId="14312" xr:uid="{2C995C85-577F-4041-B614-6039F8B9D134}"/>
    <cellStyle name="Comma 4 5 2 4 4" xfId="18535" xr:uid="{6D13CDA6-0989-4F8F-A0EB-04F5AA0FB534}"/>
    <cellStyle name="Comma 4 5 2 4 5" xfId="26980" xr:uid="{C4E6C898-7D69-4731-94FD-D68441CDD2A7}"/>
    <cellStyle name="Comma 4 5 2 4 6" xfId="10094" xr:uid="{97AC19DB-4091-42F4-AEAA-126EF6B4CB2D}"/>
    <cellStyle name="Comma 4 5 2 5" xfId="1976" xr:uid="{00000000-0005-0000-0000-0000340A0000}"/>
    <cellStyle name="Comma 4 5 2 5 2" xfId="4205" xr:uid="{00000000-0005-0000-0000-0000350A0000}"/>
    <cellStyle name="Comma 4 5 2 5 2 2" xfId="8428" xr:uid="{00000000-0005-0000-0000-0000360A0000}"/>
    <cellStyle name="Comma 4 5 2 5 2 2 2" xfId="25311" xr:uid="{1A375EF3-9662-4950-8015-E0B6EB7A65E5}"/>
    <cellStyle name="Comma 4 5 2 5 2 2 3" xfId="33757" xr:uid="{E7D32EE5-18E8-4F54-B52F-198284A02CAA}"/>
    <cellStyle name="Comma 4 5 2 5 2 2 4" xfId="16870" xr:uid="{99A9B05D-2BD8-46B2-9598-0B8ADD334B24}"/>
    <cellStyle name="Comma 4 5 2 5 2 3" xfId="21093" xr:uid="{94CF47DF-7E60-4EA1-B4D6-89ACE0705A45}"/>
    <cellStyle name="Comma 4 5 2 5 2 4" xfId="29540" xr:uid="{D4F0679C-23FD-42BA-BEA2-FB2A52258902}"/>
    <cellStyle name="Comma 4 5 2 5 2 5" xfId="12652" xr:uid="{10F61207-4CE8-4CE5-B827-06EDAD57970F}"/>
    <cellStyle name="Comma 4 5 2 5 3" xfId="6283" xr:uid="{00000000-0005-0000-0000-0000370A0000}"/>
    <cellStyle name="Comma 4 5 2 5 3 2" xfId="23166" xr:uid="{7FFACE9A-C736-420B-ACE1-022BD1C41A73}"/>
    <cellStyle name="Comma 4 5 2 5 3 3" xfId="31612" xr:uid="{3082DD43-39DA-4D87-A0A2-7FD3754EC8EF}"/>
    <cellStyle name="Comma 4 5 2 5 3 4" xfId="14725" xr:uid="{609E0D95-6D4F-457D-9BE5-5C7522A55257}"/>
    <cellStyle name="Comma 4 5 2 5 4" xfId="18948" xr:uid="{85F887A4-6555-411D-93E6-1910AA264920}"/>
    <cellStyle name="Comma 4 5 2 5 5" xfId="27393" xr:uid="{486F0286-E3CF-441E-A325-4206C6D6340E}"/>
    <cellStyle name="Comma 4 5 2 5 6" xfId="10507" xr:uid="{EFA857DD-EA30-46C6-8F33-3C79D8525BE9}"/>
    <cellStyle name="Comma 4 5 2 6" xfId="2411" xr:uid="{00000000-0005-0000-0000-0000380A0000}"/>
    <cellStyle name="Comma 4 5 2 6 2" xfId="6696" xr:uid="{00000000-0005-0000-0000-0000390A0000}"/>
    <cellStyle name="Comma 4 5 2 6 2 2" xfId="23579" xr:uid="{7EB4912F-423B-4B0A-87A4-2647582E4DE5}"/>
    <cellStyle name="Comma 4 5 2 6 2 3" xfId="32025" xr:uid="{B882C207-E4B1-4B64-88F0-2B19FFF5F77E}"/>
    <cellStyle name="Comma 4 5 2 6 2 4" xfId="15138" xr:uid="{CC442DB3-9210-4A78-A478-D0D163565F9C}"/>
    <cellStyle name="Comma 4 5 2 6 3" xfId="19361" xr:uid="{3C29848F-6DC6-4D97-B838-5EA5B2C6B336}"/>
    <cellStyle name="Comma 4 5 2 6 4" xfId="27806" xr:uid="{A0582ED5-58DE-4213-AEFA-52904A721937}"/>
    <cellStyle name="Comma 4 5 2 6 5" xfId="10920" xr:uid="{37ECFA94-F5E5-4E98-AB2F-27FD8E3435DE}"/>
    <cellStyle name="Comma 4 5 2 7" xfId="2707" xr:uid="{00000000-0005-0000-0000-00003A0A0000}"/>
    <cellStyle name="Comma 4 5 2 8" xfId="2789" xr:uid="{00000000-0005-0000-0000-00003B0A0000}"/>
    <cellStyle name="Comma 4 5 2 8 2" xfId="7013" xr:uid="{00000000-0005-0000-0000-00003C0A0000}"/>
    <cellStyle name="Comma 4 5 2 8 2 2" xfId="23896" xr:uid="{523EBC2C-6273-4D61-A2CA-43719B791FCB}"/>
    <cellStyle name="Comma 4 5 2 8 2 3" xfId="32342" xr:uid="{757D507C-FDDE-4355-A340-4D4E32F7A7E8}"/>
    <cellStyle name="Comma 4 5 2 8 2 4" xfId="15455" xr:uid="{BE6ED3A0-AE67-4245-A9F9-8B28403E881F}"/>
    <cellStyle name="Comma 4 5 2 8 3" xfId="19678" xr:uid="{B1C93871-AE52-4D94-BEA3-0947841C5409}"/>
    <cellStyle name="Comma 4 5 2 8 4" xfId="28125" xr:uid="{1DBAC07E-E245-4572-AD3B-D8D2046005C6}"/>
    <cellStyle name="Comma 4 5 2 8 5" xfId="11237" xr:uid="{AE9E969E-173A-4891-8C00-788F06BEEC13}"/>
    <cellStyle name="Comma 4 5 2 9" xfId="4630" xr:uid="{00000000-0005-0000-0000-00003D0A0000}"/>
    <cellStyle name="Comma 4 5 2 9 2" xfId="21513" xr:uid="{AE7C77AE-EE51-4653-A251-B3C29BE7CFCA}"/>
    <cellStyle name="Comma 4 5 2 9 3" xfId="29959" xr:uid="{5BF7B8EA-5B23-4B09-A8F6-4D2960E71CA9}"/>
    <cellStyle name="Comma 4 5 2 9 4" xfId="13072" xr:uid="{7913A128-3042-4813-88F0-68A96EC25594}"/>
    <cellStyle name="Comma 4 5 3" xfId="694" xr:uid="{00000000-0005-0000-0000-00003E0A0000}"/>
    <cellStyle name="Comma 4 5 3 2" xfId="2965" xr:uid="{00000000-0005-0000-0000-00003F0A0000}"/>
    <cellStyle name="Comma 4 5 3 2 2" xfId="7188" xr:uid="{00000000-0005-0000-0000-0000400A0000}"/>
    <cellStyle name="Comma 4 5 3 2 2 2" xfId="24071" xr:uid="{F45CC611-960D-4DC0-9E2E-396A2B8F8ED7}"/>
    <cellStyle name="Comma 4 5 3 2 2 3" xfId="32517" xr:uid="{1007DC38-68BF-4E76-83FB-8DD138B6D9C5}"/>
    <cellStyle name="Comma 4 5 3 2 2 4" xfId="15630" xr:uid="{4F69634E-55C8-4125-BDFE-AACE159DAF41}"/>
    <cellStyle name="Comma 4 5 3 2 3" xfId="19853" xr:uid="{36AED596-0126-4748-AB97-AF9A42996A42}"/>
    <cellStyle name="Comma 4 5 3 2 4" xfId="28300" xr:uid="{B139A70F-5598-4F6F-911C-7E9A6F4119F8}"/>
    <cellStyle name="Comma 4 5 3 2 5" xfId="11412" xr:uid="{435C7BF6-DA2B-4813-AE85-A1C3AD3AA239}"/>
    <cellStyle name="Comma 4 5 3 3" xfId="5043" xr:uid="{00000000-0005-0000-0000-0000410A0000}"/>
    <cellStyle name="Comma 4 5 3 3 2" xfId="21926" xr:uid="{EF7C064A-B0CE-46AF-8BD3-CA0C2702D972}"/>
    <cellStyle name="Comma 4 5 3 3 3" xfId="30372" xr:uid="{2BB5F338-8DA0-46F4-B444-7808600BBE1D}"/>
    <cellStyle name="Comma 4 5 3 3 4" xfId="13485" xr:uid="{8932C1E4-B07D-43E9-9A95-F126DC25457A}"/>
    <cellStyle name="Comma 4 5 3 4" xfId="17708" xr:uid="{9B81B235-BCB0-4646-BDE6-5608D5A19A7D}"/>
    <cellStyle name="Comma 4 5 3 5" xfId="26153" xr:uid="{AC0E5977-A930-4F7E-9D5B-5673B8103ACC}"/>
    <cellStyle name="Comma 4 5 3 6" xfId="9267" xr:uid="{C59C4D4C-F660-402B-9C3F-6BF30E5C62C9}"/>
    <cellStyle name="Comma 4 5 4" xfId="1147" xr:uid="{00000000-0005-0000-0000-0000420A0000}"/>
    <cellStyle name="Comma 4 5 4 2" xfId="3378" xr:uid="{00000000-0005-0000-0000-0000430A0000}"/>
    <cellStyle name="Comma 4 5 4 2 2" xfId="7601" xr:uid="{00000000-0005-0000-0000-0000440A0000}"/>
    <cellStyle name="Comma 4 5 4 2 2 2" xfId="24484" xr:uid="{8A466D36-C766-48BF-93C6-C0A3E47D7447}"/>
    <cellStyle name="Comma 4 5 4 2 2 3" xfId="32930" xr:uid="{D2D7AF0C-F5E8-497D-B1FC-7AEA10C90872}"/>
    <cellStyle name="Comma 4 5 4 2 2 4" xfId="16043" xr:uid="{DEB593E1-90D2-46CE-8E5A-9AD7170D4D61}"/>
    <cellStyle name="Comma 4 5 4 2 3" xfId="20266" xr:uid="{E171E151-9F3E-4587-AC9B-F82C4F99F8AE}"/>
    <cellStyle name="Comma 4 5 4 2 4" xfId="28713" xr:uid="{47C6AE85-1CF3-4561-ADBA-5E22DA2057E1}"/>
    <cellStyle name="Comma 4 5 4 2 5" xfId="11825" xr:uid="{33B5A641-6D4B-4491-8331-037A3AEDBA4B}"/>
    <cellStyle name="Comma 4 5 4 3" xfId="5456" xr:uid="{00000000-0005-0000-0000-0000450A0000}"/>
    <cellStyle name="Comma 4 5 4 3 2" xfId="22339" xr:uid="{205F662B-1A22-4377-B9BC-E1EA39200147}"/>
    <cellStyle name="Comma 4 5 4 3 3" xfId="30785" xr:uid="{3C27F78D-885E-4718-83CD-4475B6386A50}"/>
    <cellStyle name="Comma 4 5 4 3 4" xfId="13898" xr:uid="{66E78F26-626F-46E5-A830-E7798D03112D}"/>
    <cellStyle name="Comma 4 5 4 4" xfId="18121" xr:uid="{66B1FD6F-ED1A-40DD-ACD3-74DD82453B44}"/>
    <cellStyle name="Comma 4 5 4 5" xfId="26566" xr:uid="{D060A46A-9B59-4069-A299-FD8B26ECC58A}"/>
    <cellStyle name="Comma 4 5 4 6" xfId="9680" xr:uid="{F5F7E5C5-8AE7-4485-93F3-DF3752CBB761}"/>
    <cellStyle name="Comma 4 5 5" xfId="1561" xr:uid="{00000000-0005-0000-0000-0000460A0000}"/>
    <cellStyle name="Comma 4 5 5 2" xfId="3791" xr:uid="{00000000-0005-0000-0000-0000470A0000}"/>
    <cellStyle name="Comma 4 5 5 2 2" xfId="8014" xr:uid="{00000000-0005-0000-0000-0000480A0000}"/>
    <cellStyle name="Comma 4 5 5 2 2 2" xfId="24897" xr:uid="{DF3DA7AD-FB17-45F8-8436-FEA5962FBFF6}"/>
    <cellStyle name="Comma 4 5 5 2 2 3" xfId="33343" xr:uid="{666179B6-2006-4CF2-9988-D3660BD7B98D}"/>
    <cellStyle name="Comma 4 5 5 2 2 4" xfId="16456" xr:uid="{6141F593-9AB6-4A92-9EE8-57BDEE06A3AC}"/>
    <cellStyle name="Comma 4 5 5 2 3" xfId="20679" xr:uid="{9D3578BF-3248-4CA3-86DB-53088BD5B272}"/>
    <cellStyle name="Comma 4 5 5 2 4" xfId="29126" xr:uid="{5C2815D9-8C43-4EDC-8A51-828D33D04DBE}"/>
    <cellStyle name="Comma 4 5 5 2 5" xfId="12238" xr:uid="{BDDD6888-5E1B-461E-AE41-720FC62308C5}"/>
    <cellStyle name="Comma 4 5 5 3" xfId="5869" xr:uid="{00000000-0005-0000-0000-0000490A0000}"/>
    <cellStyle name="Comma 4 5 5 3 2" xfId="22752" xr:uid="{0042B528-A819-4B38-8FC6-E5128DBCE19D}"/>
    <cellStyle name="Comma 4 5 5 3 3" xfId="31198" xr:uid="{E9130120-1BBB-4BB8-823A-8B7409A231C6}"/>
    <cellStyle name="Comma 4 5 5 3 4" xfId="14311" xr:uid="{BE852ADD-A001-4D30-96FF-393C136F6A7E}"/>
    <cellStyle name="Comma 4 5 5 4" xfId="18534" xr:uid="{FC130DE7-FB61-47D4-BAC4-4B18266C1B08}"/>
    <cellStyle name="Comma 4 5 5 5" xfId="26979" xr:uid="{FB35C724-015E-4A12-AA90-17549BEA6453}"/>
    <cellStyle name="Comma 4 5 5 6" xfId="10093" xr:uid="{0ADC0E20-7D9F-47E5-870C-007510F11E36}"/>
    <cellStyle name="Comma 4 5 6" xfId="1975" xr:uid="{00000000-0005-0000-0000-00004A0A0000}"/>
    <cellStyle name="Comma 4 5 6 2" xfId="4204" xr:uid="{00000000-0005-0000-0000-00004B0A0000}"/>
    <cellStyle name="Comma 4 5 6 2 2" xfId="8427" xr:uid="{00000000-0005-0000-0000-00004C0A0000}"/>
    <cellStyle name="Comma 4 5 6 2 2 2" xfId="25310" xr:uid="{5DB382A9-9A89-4C1B-81D4-48607AEB478E}"/>
    <cellStyle name="Comma 4 5 6 2 2 3" xfId="33756" xr:uid="{3223D699-EE9C-4848-A558-D7D8608906DE}"/>
    <cellStyle name="Comma 4 5 6 2 2 4" xfId="16869" xr:uid="{03B76670-678B-46CA-A381-B2D2DC459EE6}"/>
    <cellStyle name="Comma 4 5 6 2 3" xfId="21092" xr:uid="{482E482A-DDE2-4B9D-8C28-DF4D55ABCBB2}"/>
    <cellStyle name="Comma 4 5 6 2 4" xfId="29539" xr:uid="{43CA617E-90F3-4BA1-B712-81D8BE304FF6}"/>
    <cellStyle name="Comma 4 5 6 2 5" xfId="12651" xr:uid="{132576CF-4E1C-4B2A-9A0F-664F0C540FEB}"/>
    <cellStyle name="Comma 4 5 6 3" xfId="6282" xr:uid="{00000000-0005-0000-0000-00004D0A0000}"/>
    <cellStyle name="Comma 4 5 6 3 2" xfId="23165" xr:uid="{0E807509-4E09-4CBB-A346-398ACBB9387D}"/>
    <cellStyle name="Comma 4 5 6 3 3" xfId="31611" xr:uid="{5434BA26-D9A6-40CF-98CC-621D6201ADC3}"/>
    <cellStyle name="Comma 4 5 6 3 4" xfId="14724" xr:uid="{6D9ACBA9-A23A-4831-9AAE-E249413D36CA}"/>
    <cellStyle name="Comma 4 5 6 4" xfId="18947" xr:uid="{03B89866-F44C-4BF8-A4DD-08DF3455B503}"/>
    <cellStyle name="Comma 4 5 6 5" xfId="27392" xr:uid="{4D70CEEB-635C-474B-890C-2705C10234F6}"/>
    <cellStyle name="Comma 4 5 6 6" xfId="10506" xr:uid="{A49FF643-3F77-4862-9BF0-869442664C03}"/>
    <cellStyle name="Comma 4 5 7" xfId="2410" xr:uid="{00000000-0005-0000-0000-00004E0A0000}"/>
    <cellStyle name="Comma 4 5 7 2" xfId="6695" xr:uid="{00000000-0005-0000-0000-00004F0A0000}"/>
    <cellStyle name="Comma 4 5 7 2 2" xfId="23578" xr:uid="{1F51A253-9400-4E04-A8B0-53E38FD99C21}"/>
    <cellStyle name="Comma 4 5 7 2 3" xfId="32024" xr:uid="{1485FB91-3A30-4DDD-AC3F-BC82C5FB310C}"/>
    <cellStyle name="Comma 4 5 7 2 4" xfId="15137" xr:uid="{148243E0-173D-4F65-9F43-55E7F2CD4807}"/>
    <cellStyle name="Comma 4 5 7 3" xfId="19360" xr:uid="{6BCC8016-14BE-49B6-9C0E-C27D2C798238}"/>
    <cellStyle name="Comma 4 5 7 4" xfId="27805" xr:uid="{6503D289-3115-4741-A070-83DB164C17C3}"/>
    <cellStyle name="Comma 4 5 7 5" xfId="10919" xr:uid="{6194ECBA-3129-4B35-8479-0FB3525FFF84}"/>
    <cellStyle name="Comma 4 5 8" xfId="2706" xr:uid="{00000000-0005-0000-0000-0000500A0000}"/>
    <cellStyle name="Comma 4 5 9" xfId="2788" xr:uid="{00000000-0005-0000-0000-0000510A0000}"/>
    <cellStyle name="Comma 4 5 9 2" xfId="7012" xr:uid="{00000000-0005-0000-0000-0000520A0000}"/>
    <cellStyle name="Comma 4 5 9 2 2" xfId="23895" xr:uid="{D3F26C6E-888D-4B87-8775-DF8623DD90A9}"/>
    <cellStyle name="Comma 4 5 9 2 3" xfId="32341" xr:uid="{48BBE0FA-18B6-4AA1-B1A3-0ED4AC252960}"/>
    <cellStyle name="Comma 4 5 9 2 4" xfId="15454" xr:uid="{296AE4F6-F683-459B-93C0-6CCC5CA7604B}"/>
    <cellStyle name="Comma 4 5 9 3" xfId="19677" xr:uid="{A5BE0E72-6334-40A0-B1D1-73C3E2E7E1D2}"/>
    <cellStyle name="Comma 4 5 9 4" xfId="28124" xr:uid="{4F28FD0D-6992-4C1F-BA20-FC45E37BFAD2}"/>
    <cellStyle name="Comma 4 5 9 5" xfId="11236" xr:uid="{01E242BF-9FB7-4E67-9725-46DB155DFF72}"/>
    <cellStyle name="Comma 4 6" xfId="159" xr:uid="{00000000-0005-0000-0000-0000530A0000}"/>
    <cellStyle name="Comma 4 6 10" xfId="17296" xr:uid="{EE005828-4CD8-4A85-8F02-09570DDC9EF6}"/>
    <cellStyle name="Comma 4 6 11" xfId="25739" xr:uid="{EE7E6854-020A-4C67-BFC3-AFAECD11C58C}"/>
    <cellStyle name="Comma 4 6 12" xfId="8855" xr:uid="{C417C45F-80E2-4C6C-9C51-F459BAEFDD90}"/>
    <cellStyle name="Comma 4 6 2" xfId="696" xr:uid="{00000000-0005-0000-0000-0000540A0000}"/>
    <cellStyle name="Comma 4 6 2 2" xfId="2967" xr:uid="{00000000-0005-0000-0000-0000550A0000}"/>
    <cellStyle name="Comma 4 6 2 2 2" xfId="7190" xr:uid="{00000000-0005-0000-0000-0000560A0000}"/>
    <cellStyle name="Comma 4 6 2 2 2 2" xfId="24073" xr:uid="{314B2DE6-5B0F-4744-A313-121158AFF55D}"/>
    <cellStyle name="Comma 4 6 2 2 2 3" xfId="32519" xr:uid="{E7305A7D-42FF-47C6-9D76-D3100400C5C5}"/>
    <cellStyle name="Comma 4 6 2 2 2 4" xfId="15632" xr:uid="{B4125656-050A-4122-BAF2-B1CCA34171A9}"/>
    <cellStyle name="Comma 4 6 2 2 3" xfId="19855" xr:uid="{6877979A-B33C-4AA4-8CA9-094FB6B03B37}"/>
    <cellStyle name="Comma 4 6 2 2 4" xfId="28302" xr:uid="{FB8DD8D9-A74F-4F48-A351-FB3736EB56FC}"/>
    <cellStyle name="Comma 4 6 2 2 5" xfId="11414" xr:uid="{96EFB915-67B0-4704-81FE-1158BCA3CEB3}"/>
    <cellStyle name="Comma 4 6 2 3" xfId="5045" xr:uid="{00000000-0005-0000-0000-0000570A0000}"/>
    <cellStyle name="Comma 4 6 2 3 2" xfId="21928" xr:uid="{225A6402-4DF1-47BF-85E3-75C4551EB65B}"/>
    <cellStyle name="Comma 4 6 2 3 3" xfId="30374" xr:uid="{53706090-D4A9-4F53-AC81-4930B9F49E36}"/>
    <cellStyle name="Comma 4 6 2 3 4" xfId="13487" xr:uid="{01C96445-EF56-4873-8A3E-F8B1D125C8A3}"/>
    <cellStyle name="Comma 4 6 2 4" xfId="17710" xr:uid="{92783E1A-F10D-4369-8B63-61921352C6C9}"/>
    <cellStyle name="Comma 4 6 2 5" xfId="26155" xr:uid="{287D869B-C8F2-4152-9FF2-D41CBB3F2360}"/>
    <cellStyle name="Comma 4 6 2 6" xfId="9269" xr:uid="{1E6714D4-0A70-4CA2-9DAE-4B29C66289A4}"/>
    <cellStyle name="Comma 4 6 3" xfId="1149" xr:uid="{00000000-0005-0000-0000-0000580A0000}"/>
    <cellStyle name="Comma 4 6 3 2" xfId="3380" xr:uid="{00000000-0005-0000-0000-0000590A0000}"/>
    <cellStyle name="Comma 4 6 3 2 2" xfId="7603" xr:uid="{00000000-0005-0000-0000-00005A0A0000}"/>
    <cellStyle name="Comma 4 6 3 2 2 2" xfId="24486" xr:uid="{14C15B5C-A0E4-4924-8F81-5AEC4106802D}"/>
    <cellStyle name="Comma 4 6 3 2 2 3" xfId="32932" xr:uid="{CCF1681D-8D51-41E0-ACC4-C1D85D8850A3}"/>
    <cellStyle name="Comma 4 6 3 2 2 4" xfId="16045" xr:uid="{C6929CDB-5217-4E31-A7CE-5A2076D41661}"/>
    <cellStyle name="Comma 4 6 3 2 3" xfId="20268" xr:uid="{00073602-9A36-4598-BC71-905DCD91F9C2}"/>
    <cellStyle name="Comma 4 6 3 2 4" xfId="28715" xr:uid="{0DE71AE0-E91F-4B20-ADDB-69955E235769}"/>
    <cellStyle name="Comma 4 6 3 2 5" xfId="11827" xr:uid="{C2F5534B-77E5-47B8-83DC-1E699E5B3778}"/>
    <cellStyle name="Comma 4 6 3 3" xfId="5458" xr:uid="{00000000-0005-0000-0000-00005B0A0000}"/>
    <cellStyle name="Comma 4 6 3 3 2" xfId="22341" xr:uid="{EB0808C6-8747-47A2-A00E-AAB979992F4A}"/>
    <cellStyle name="Comma 4 6 3 3 3" xfId="30787" xr:uid="{796944C6-CC83-4EB3-A92D-16CC9D3D9B53}"/>
    <cellStyle name="Comma 4 6 3 3 4" xfId="13900" xr:uid="{EAC7C047-4B60-4D07-8C79-009E0D6C5C49}"/>
    <cellStyle name="Comma 4 6 3 4" xfId="18123" xr:uid="{3663DCAB-7EDB-40F8-B1E6-F224668D9814}"/>
    <cellStyle name="Comma 4 6 3 5" xfId="26568" xr:uid="{5A302CCE-F246-4E1C-BD0D-BE08FCCE66EC}"/>
    <cellStyle name="Comma 4 6 3 6" xfId="9682" xr:uid="{2B2B05F3-BF45-4B4C-9484-AE1FE6D7DE1F}"/>
    <cellStyle name="Comma 4 6 4" xfId="1563" xr:uid="{00000000-0005-0000-0000-00005C0A0000}"/>
    <cellStyle name="Comma 4 6 4 2" xfId="3793" xr:uid="{00000000-0005-0000-0000-00005D0A0000}"/>
    <cellStyle name="Comma 4 6 4 2 2" xfId="8016" xr:uid="{00000000-0005-0000-0000-00005E0A0000}"/>
    <cellStyle name="Comma 4 6 4 2 2 2" xfId="24899" xr:uid="{F92058A9-294E-4D22-A4E8-A7F35ACD5F37}"/>
    <cellStyle name="Comma 4 6 4 2 2 3" xfId="33345" xr:uid="{E48D2733-83AB-4421-B5E3-4C4410B2436B}"/>
    <cellStyle name="Comma 4 6 4 2 2 4" xfId="16458" xr:uid="{5218C19D-F9B1-4091-B8E3-FE3FD0B262A9}"/>
    <cellStyle name="Comma 4 6 4 2 3" xfId="20681" xr:uid="{6BE69380-CD86-472C-ADF2-26C767D67704}"/>
    <cellStyle name="Comma 4 6 4 2 4" xfId="29128" xr:uid="{3430D042-A127-4A32-A31F-B8B2AC192129}"/>
    <cellStyle name="Comma 4 6 4 2 5" xfId="12240" xr:uid="{8B98FD42-3108-41AC-9F6B-CDE152D62659}"/>
    <cellStyle name="Comma 4 6 4 3" xfId="5871" xr:uid="{00000000-0005-0000-0000-00005F0A0000}"/>
    <cellStyle name="Comma 4 6 4 3 2" xfId="22754" xr:uid="{C9CB9305-1A5A-4E78-B75B-9AC05351B2F3}"/>
    <cellStyle name="Comma 4 6 4 3 3" xfId="31200" xr:uid="{EF92A887-42F7-414F-B3D2-0F501D3E8560}"/>
    <cellStyle name="Comma 4 6 4 3 4" xfId="14313" xr:uid="{DE7C796D-B4EC-4A2E-91CE-81FBFD25E12A}"/>
    <cellStyle name="Comma 4 6 4 4" xfId="18536" xr:uid="{AB03909E-ABA2-46E2-939C-3085483A443E}"/>
    <cellStyle name="Comma 4 6 4 5" xfId="26981" xr:uid="{4A1666B5-42B2-471F-93A0-7D649C8DB77C}"/>
    <cellStyle name="Comma 4 6 4 6" xfId="10095" xr:uid="{4C4B5F02-51CC-40D2-8FDB-9868FC9E20BF}"/>
    <cellStyle name="Comma 4 6 5" xfId="1977" xr:uid="{00000000-0005-0000-0000-0000600A0000}"/>
    <cellStyle name="Comma 4 6 5 2" xfId="4206" xr:uid="{00000000-0005-0000-0000-0000610A0000}"/>
    <cellStyle name="Comma 4 6 5 2 2" xfId="8429" xr:uid="{00000000-0005-0000-0000-0000620A0000}"/>
    <cellStyle name="Comma 4 6 5 2 2 2" xfId="25312" xr:uid="{061CA8AE-44D7-4F8D-A73E-310A69704323}"/>
    <cellStyle name="Comma 4 6 5 2 2 3" xfId="33758" xr:uid="{252805E0-CE29-40BB-B178-25AF31D30469}"/>
    <cellStyle name="Comma 4 6 5 2 2 4" xfId="16871" xr:uid="{D7881C2D-04A4-4756-A766-A1B4514A9068}"/>
    <cellStyle name="Comma 4 6 5 2 3" xfId="21094" xr:uid="{868D2A26-CC1A-49A4-A5CA-BD155BB57653}"/>
    <cellStyle name="Comma 4 6 5 2 4" xfId="29541" xr:uid="{0D5904FA-3E14-465D-8D5E-26FEB87FBAFE}"/>
    <cellStyle name="Comma 4 6 5 2 5" xfId="12653" xr:uid="{C10DFDCD-5CCC-46A5-B876-336E42B3B210}"/>
    <cellStyle name="Comma 4 6 5 3" xfId="6284" xr:uid="{00000000-0005-0000-0000-0000630A0000}"/>
    <cellStyle name="Comma 4 6 5 3 2" xfId="23167" xr:uid="{28B08948-741F-4037-909B-C43E0667B522}"/>
    <cellStyle name="Comma 4 6 5 3 3" xfId="31613" xr:uid="{3CC7245B-1CC5-4443-9F39-A7BE7E96FCF4}"/>
    <cellStyle name="Comma 4 6 5 3 4" xfId="14726" xr:uid="{BDCC3541-EE40-4921-A34C-E72C3512D3CC}"/>
    <cellStyle name="Comma 4 6 5 4" xfId="18949" xr:uid="{73480A9A-95ED-49A5-A384-67B527DB68EE}"/>
    <cellStyle name="Comma 4 6 5 5" xfId="27394" xr:uid="{3E38869C-2B93-4A28-B2C4-057624D4BBDB}"/>
    <cellStyle name="Comma 4 6 5 6" xfId="10508" xr:uid="{CBC85764-00A6-46C5-BC28-E0EBA5ECBF7D}"/>
    <cellStyle name="Comma 4 6 6" xfId="2412" xr:uid="{00000000-0005-0000-0000-0000640A0000}"/>
    <cellStyle name="Comma 4 6 6 2" xfId="6697" xr:uid="{00000000-0005-0000-0000-0000650A0000}"/>
    <cellStyle name="Comma 4 6 6 2 2" xfId="23580" xr:uid="{E712FCA9-BF8A-4E01-98B7-BAF9C3ABF830}"/>
    <cellStyle name="Comma 4 6 6 2 3" xfId="32026" xr:uid="{A281FB23-0D80-4FD5-8588-209DA93CD191}"/>
    <cellStyle name="Comma 4 6 6 2 4" xfId="15139" xr:uid="{B9A2EA13-5060-4B70-BF0F-8CB54512C5EB}"/>
    <cellStyle name="Comma 4 6 6 3" xfId="19362" xr:uid="{59854AAF-AE6D-4C95-8687-64F16FE30BE1}"/>
    <cellStyle name="Comma 4 6 6 4" xfId="27807" xr:uid="{980021F6-68E0-457C-B7D5-3464DDA0C6E4}"/>
    <cellStyle name="Comma 4 6 6 5" xfId="10921" xr:uid="{7D5CB4C5-BA86-4D76-B4F8-35B728671771}"/>
    <cellStyle name="Comma 4 6 7" xfId="2708" xr:uid="{00000000-0005-0000-0000-0000660A0000}"/>
    <cellStyle name="Comma 4 6 8" xfId="2790" xr:uid="{00000000-0005-0000-0000-0000670A0000}"/>
    <cellStyle name="Comma 4 6 8 2" xfId="7014" xr:uid="{00000000-0005-0000-0000-0000680A0000}"/>
    <cellStyle name="Comma 4 6 8 2 2" xfId="23897" xr:uid="{DCD09F14-72B2-4BC5-8074-A2085A5A6E24}"/>
    <cellStyle name="Comma 4 6 8 2 3" xfId="32343" xr:uid="{7DB29599-0A0B-44DF-99F9-5A08A7628243}"/>
    <cellStyle name="Comma 4 6 8 2 4" xfId="15456" xr:uid="{5B2F9BE9-530A-4F39-99C6-F80F0E64E993}"/>
    <cellStyle name="Comma 4 6 8 3" xfId="19679" xr:uid="{2E9BAA63-BC95-4FE4-9036-19D63BFD539C}"/>
    <cellStyle name="Comma 4 6 8 4" xfId="28126" xr:uid="{DFA0D3D8-17A2-4FBC-99BC-860E83011D1D}"/>
    <cellStyle name="Comma 4 6 8 5" xfId="11238" xr:uid="{1EAC322F-DFC1-4899-9F9A-617B150F83D7}"/>
    <cellStyle name="Comma 4 6 9" xfId="4631" xr:uid="{00000000-0005-0000-0000-0000690A0000}"/>
    <cellStyle name="Comma 4 6 9 2" xfId="21514" xr:uid="{797CE71F-11A7-4841-AB20-8EC98F1B3C39}"/>
    <cellStyle name="Comma 4 6 9 3" xfId="29960" xr:uid="{D0483D79-1089-4915-91C0-94C691E8771E}"/>
    <cellStyle name="Comma 4 6 9 4" xfId="13073" xr:uid="{D24738B1-303D-46C2-A442-D475B36E2D7A}"/>
    <cellStyle name="Comma 4 7" xfId="160" xr:uid="{00000000-0005-0000-0000-00006A0A0000}"/>
    <cellStyle name="Comma 4 7 10" xfId="17297" xr:uid="{13921520-D6BA-4713-96EB-AE174F1EA807}"/>
    <cellStyle name="Comma 4 7 11" xfId="25740" xr:uid="{B54DDC58-0B31-44E6-927D-9599996C4207}"/>
    <cellStyle name="Comma 4 7 12" xfId="8856" xr:uid="{870B0661-F291-4840-A0C3-921AEEF2CDC1}"/>
    <cellStyle name="Comma 4 7 2" xfId="697" xr:uid="{00000000-0005-0000-0000-00006B0A0000}"/>
    <cellStyle name="Comma 4 7 2 2" xfId="2968" xr:uid="{00000000-0005-0000-0000-00006C0A0000}"/>
    <cellStyle name="Comma 4 7 2 2 2" xfId="7191" xr:uid="{00000000-0005-0000-0000-00006D0A0000}"/>
    <cellStyle name="Comma 4 7 2 2 2 2" xfId="24074" xr:uid="{7EFCDCF2-7AE4-473D-932E-03703E749A80}"/>
    <cellStyle name="Comma 4 7 2 2 2 3" xfId="32520" xr:uid="{4E0F430F-5C3B-4811-9966-5466E60A084B}"/>
    <cellStyle name="Comma 4 7 2 2 2 4" xfId="15633" xr:uid="{5C46F762-0C0C-4DA3-BB40-1FB71B5CAE96}"/>
    <cellStyle name="Comma 4 7 2 2 3" xfId="19856" xr:uid="{3637FBA9-DF55-42B3-9BC8-B36F15F188DD}"/>
    <cellStyle name="Comma 4 7 2 2 4" xfId="28303" xr:uid="{4436FA4C-CA91-4771-A2D4-795A235BF043}"/>
    <cellStyle name="Comma 4 7 2 2 5" xfId="11415" xr:uid="{A1E05B3C-554A-4AE9-BEBC-63A8EE4B3D3C}"/>
    <cellStyle name="Comma 4 7 2 3" xfId="5046" xr:uid="{00000000-0005-0000-0000-00006E0A0000}"/>
    <cellStyle name="Comma 4 7 2 3 2" xfId="21929" xr:uid="{477B5A19-59ED-4E0B-9767-591D8AB9EEED}"/>
    <cellStyle name="Comma 4 7 2 3 3" xfId="30375" xr:uid="{7704FF06-422C-4567-AA1D-9A697861502C}"/>
    <cellStyle name="Comma 4 7 2 3 4" xfId="13488" xr:uid="{2F98CF71-605C-41CC-A0C0-CBC7BFBFB25B}"/>
    <cellStyle name="Comma 4 7 2 4" xfId="17711" xr:uid="{D41671BD-82F9-4A2D-981A-484FE04DF53E}"/>
    <cellStyle name="Comma 4 7 2 5" xfId="26156" xr:uid="{A586DFDA-15FE-4FF0-A37E-C487CE9B05D7}"/>
    <cellStyle name="Comma 4 7 2 6" xfId="9270" xr:uid="{A3AF7FDF-D1B0-4724-B079-3A1F419DD3A5}"/>
    <cellStyle name="Comma 4 7 3" xfId="1150" xr:uid="{00000000-0005-0000-0000-00006F0A0000}"/>
    <cellStyle name="Comma 4 7 3 2" xfId="3381" xr:uid="{00000000-0005-0000-0000-0000700A0000}"/>
    <cellStyle name="Comma 4 7 3 2 2" xfId="7604" xr:uid="{00000000-0005-0000-0000-0000710A0000}"/>
    <cellStyle name="Comma 4 7 3 2 2 2" xfId="24487" xr:uid="{04962027-9490-45C0-AEE3-489D69E981F1}"/>
    <cellStyle name="Comma 4 7 3 2 2 3" xfId="32933" xr:uid="{1DA189F0-21B3-4956-B003-2E9634F14871}"/>
    <cellStyle name="Comma 4 7 3 2 2 4" xfId="16046" xr:uid="{3F800A2D-39AA-43D1-91F6-78DC8C356E3B}"/>
    <cellStyle name="Comma 4 7 3 2 3" xfId="20269" xr:uid="{42CA767A-25AE-4C66-B788-07619F03398B}"/>
    <cellStyle name="Comma 4 7 3 2 4" xfId="28716" xr:uid="{3A0E4CB0-3BBE-4F42-BEDF-795ADCEEAD2F}"/>
    <cellStyle name="Comma 4 7 3 2 5" xfId="11828" xr:uid="{840836B2-75E3-48DB-BB8D-CACBDFFFD8B9}"/>
    <cellStyle name="Comma 4 7 3 3" xfId="5459" xr:uid="{00000000-0005-0000-0000-0000720A0000}"/>
    <cellStyle name="Comma 4 7 3 3 2" xfId="22342" xr:uid="{38C63F44-4E9D-46EC-B30F-70A7E1256D1F}"/>
    <cellStyle name="Comma 4 7 3 3 3" xfId="30788" xr:uid="{C35A8408-F413-4376-9AE1-B7A56FD0DCF3}"/>
    <cellStyle name="Comma 4 7 3 3 4" xfId="13901" xr:uid="{0D7A1218-C160-436E-B919-9DAD10467687}"/>
    <cellStyle name="Comma 4 7 3 4" xfId="18124" xr:uid="{E6880C22-1463-4E40-B9F5-8685C167EC19}"/>
    <cellStyle name="Comma 4 7 3 5" xfId="26569" xr:uid="{B6BB79E2-74B9-4D90-A8BD-DC9C74F8CC85}"/>
    <cellStyle name="Comma 4 7 3 6" xfId="9683" xr:uid="{4D296A1C-75EF-4780-8780-33CA8A7751B1}"/>
    <cellStyle name="Comma 4 7 4" xfId="1564" xr:uid="{00000000-0005-0000-0000-0000730A0000}"/>
    <cellStyle name="Comma 4 7 4 2" xfId="3794" xr:uid="{00000000-0005-0000-0000-0000740A0000}"/>
    <cellStyle name="Comma 4 7 4 2 2" xfId="8017" xr:uid="{00000000-0005-0000-0000-0000750A0000}"/>
    <cellStyle name="Comma 4 7 4 2 2 2" xfId="24900" xr:uid="{C656F14B-5858-452C-8519-511DF3A7C5C8}"/>
    <cellStyle name="Comma 4 7 4 2 2 3" xfId="33346" xr:uid="{8A107862-F75D-4945-9F29-1BD174126F6F}"/>
    <cellStyle name="Comma 4 7 4 2 2 4" xfId="16459" xr:uid="{53B6664E-92D3-4FFD-90D5-7ABDF2E7358B}"/>
    <cellStyle name="Comma 4 7 4 2 3" xfId="20682" xr:uid="{C2874FD2-4116-41F6-97D2-DF533215E7C1}"/>
    <cellStyle name="Comma 4 7 4 2 4" xfId="29129" xr:uid="{07532933-62E2-460F-8CF5-5A4FA8A88184}"/>
    <cellStyle name="Comma 4 7 4 2 5" xfId="12241" xr:uid="{EF68F45B-B76B-4258-A879-47E5B751D1D2}"/>
    <cellStyle name="Comma 4 7 4 3" xfId="5872" xr:uid="{00000000-0005-0000-0000-0000760A0000}"/>
    <cellStyle name="Comma 4 7 4 3 2" xfId="22755" xr:uid="{D05FAC27-1907-42EB-9683-FD0B8D8E88DF}"/>
    <cellStyle name="Comma 4 7 4 3 3" xfId="31201" xr:uid="{105ABDD5-3BF1-458A-98BB-2FC548D22FB0}"/>
    <cellStyle name="Comma 4 7 4 3 4" xfId="14314" xr:uid="{DAA5D09E-70C7-4373-A59C-6F273F4CB7B9}"/>
    <cellStyle name="Comma 4 7 4 4" xfId="18537" xr:uid="{61D25B30-6D04-47A0-B3F1-9292CF3C04BD}"/>
    <cellStyle name="Comma 4 7 4 5" xfId="26982" xr:uid="{46A8E812-2100-48A5-8AEC-B391ACA7C830}"/>
    <cellStyle name="Comma 4 7 4 6" xfId="10096" xr:uid="{D9DA2EA2-C4DE-490C-B777-555E685792E1}"/>
    <cellStyle name="Comma 4 7 5" xfId="1978" xr:uid="{00000000-0005-0000-0000-0000770A0000}"/>
    <cellStyle name="Comma 4 7 5 2" xfId="4207" xr:uid="{00000000-0005-0000-0000-0000780A0000}"/>
    <cellStyle name="Comma 4 7 5 2 2" xfId="8430" xr:uid="{00000000-0005-0000-0000-0000790A0000}"/>
    <cellStyle name="Comma 4 7 5 2 2 2" xfId="25313" xr:uid="{976BD262-EC41-4C68-90BB-8B97840FB623}"/>
    <cellStyle name="Comma 4 7 5 2 2 3" xfId="33759" xr:uid="{ACCD6E93-3EC0-4B56-9C06-E3A2F4E587CA}"/>
    <cellStyle name="Comma 4 7 5 2 2 4" xfId="16872" xr:uid="{3155AE0A-8DC1-498B-805F-627184922A09}"/>
    <cellStyle name="Comma 4 7 5 2 3" xfId="21095" xr:uid="{159D92EF-A0DD-4E64-AF8D-946197E0A77D}"/>
    <cellStyle name="Comma 4 7 5 2 4" xfId="29542" xr:uid="{93B27211-99C3-47E7-B988-27C45D8E3274}"/>
    <cellStyle name="Comma 4 7 5 2 5" xfId="12654" xr:uid="{07FFF96C-0BCE-4E9D-B41B-FC678D225A81}"/>
    <cellStyle name="Comma 4 7 5 3" xfId="6285" xr:uid="{00000000-0005-0000-0000-00007A0A0000}"/>
    <cellStyle name="Comma 4 7 5 3 2" xfId="23168" xr:uid="{F4BD4672-242D-4403-AFA6-275BC1FBF7AA}"/>
    <cellStyle name="Comma 4 7 5 3 3" xfId="31614" xr:uid="{F3A14234-BBD2-43D4-886B-E09079DCFD90}"/>
    <cellStyle name="Comma 4 7 5 3 4" xfId="14727" xr:uid="{E37FEFE7-AFF3-4894-9F8D-0D80FED03A38}"/>
    <cellStyle name="Comma 4 7 5 4" xfId="18950" xr:uid="{975A9A07-2F70-401C-9ED6-64EF614D80C0}"/>
    <cellStyle name="Comma 4 7 5 5" xfId="27395" xr:uid="{2E54AE95-0DBF-46CD-8CE5-E1BAEA6E7DCE}"/>
    <cellStyle name="Comma 4 7 5 6" xfId="10509" xr:uid="{FC0FEB99-EC69-4680-B0AF-A7A6FCF8E454}"/>
    <cellStyle name="Comma 4 7 6" xfId="2413" xr:uid="{00000000-0005-0000-0000-00007B0A0000}"/>
    <cellStyle name="Comma 4 7 6 2" xfId="6698" xr:uid="{00000000-0005-0000-0000-00007C0A0000}"/>
    <cellStyle name="Comma 4 7 6 2 2" xfId="23581" xr:uid="{0E3D7460-C4A3-4FB8-9003-50BD3A176A4F}"/>
    <cellStyle name="Comma 4 7 6 2 3" xfId="32027" xr:uid="{1AAA982F-2369-42C5-AC16-80C44C0ADAD8}"/>
    <cellStyle name="Comma 4 7 6 2 4" xfId="15140" xr:uid="{95BC9C1F-FBC6-4E9C-B7E3-306E0F5BD6B2}"/>
    <cellStyle name="Comma 4 7 6 3" xfId="19363" xr:uid="{27D1CDAD-B937-491B-B87B-C73989DAC52B}"/>
    <cellStyle name="Comma 4 7 6 4" xfId="27808" xr:uid="{FFC20FF9-1ABE-43B8-90E5-6C2666D3C5D3}"/>
    <cellStyle name="Comma 4 7 6 5" xfId="10922" xr:uid="{43C3E551-75DA-4ED6-956A-27635C1D6FE2}"/>
    <cellStyle name="Comma 4 7 7" xfId="2709" xr:uid="{00000000-0005-0000-0000-00007D0A0000}"/>
    <cellStyle name="Comma 4 7 8" xfId="2791" xr:uid="{00000000-0005-0000-0000-00007E0A0000}"/>
    <cellStyle name="Comma 4 7 8 2" xfId="7015" xr:uid="{00000000-0005-0000-0000-00007F0A0000}"/>
    <cellStyle name="Comma 4 7 8 2 2" xfId="23898" xr:uid="{7245F0F5-04C2-4320-BF79-F4F261671BF1}"/>
    <cellStyle name="Comma 4 7 8 2 3" xfId="32344" xr:uid="{462AC1DE-E02C-4C60-A36A-9583EE988660}"/>
    <cellStyle name="Comma 4 7 8 2 4" xfId="15457" xr:uid="{2D84035E-4B39-4CF4-8C80-7054E76E7E13}"/>
    <cellStyle name="Comma 4 7 8 3" xfId="19680" xr:uid="{7A66B358-A629-4C53-9F82-F46067703051}"/>
    <cellStyle name="Comma 4 7 8 4" xfId="28127" xr:uid="{5F2FCC54-B5BF-45DE-B053-ADD6DD7943BD}"/>
    <cellStyle name="Comma 4 7 8 5" xfId="11239" xr:uid="{C373358D-B898-4072-9BBA-F9B62D83FBD7}"/>
    <cellStyle name="Comma 4 7 9" xfId="4632" xr:uid="{00000000-0005-0000-0000-0000800A0000}"/>
    <cellStyle name="Comma 4 7 9 2" xfId="21515" xr:uid="{27FFB6D5-84AA-496A-B0BA-BE0CFF4186B9}"/>
    <cellStyle name="Comma 4 7 9 3" xfId="29961" xr:uid="{ED2DF8C0-4DE2-46D2-A3C8-00AFF877B32C}"/>
    <cellStyle name="Comma 4 7 9 4" xfId="13074" xr:uid="{5AAB677E-BD62-468C-9847-CC562D987285}"/>
    <cellStyle name="Comma 4 8" xfId="34129" xr:uid="{9A977A8A-4C52-4928-9F52-2DAB52BE11DC}"/>
    <cellStyle name="Comma 5" xfId="161" xr:uid="{00000000-0005-0000-0000-0000810A0000}"/>
    <cellStyle name="Comma 5 2" xfId="162" xr:uid="{00000000-0005-0000-0000-0000820A0000}"/>
    <cellStyle name="Comma 5 2 2" xfId="698" xr:uid="{00000000-0005-0000-0000-0000830A0000}"/>
    <cellStyle name="Comma 5 3" xfId="34140" xr:uid="{D798A800-CDFB-4FD9-AEDE-5F230C008430}"/>
    <cellStyle name="Comma 6" xfId="163" xr:uid="{00000000-0005-0000-0000-0000840A0000}"/>
    <cellStyle name="Comma 6 2" xfId="34210" xr:uid="{BE5BFD95-BD14-4AC8-BC9E-25914ABD3C78}"/>
    <cellStyle name="Comma 7" xfId="4498" xr:uid="{00000000-0005-0000-0000-0000850A0000}"/>
    <cellStyle name="Comma 7 2" xfId="21383" xr:uid="{D44595A0-A732-4EF1-A905-CB8814C72740}"/>
    <cellStyle name="Comma 7 2 2" xfId="34136" xr:uid="{2908B592-4495-4EE3-910C-E8B5ED17D8BC}"/>
    <cellStyle name="Comma 7 3" xfId="29829" xr:uid="{E01AC854-2709-414F-98ED-20D61A483686}"/>
    <cellStyle name="Comma 7 4" xfId="34181" xr:uid="{1A37FEBB-92C1-44D0-A1EB-BF9717D19890}"/>
    <cellStyle name="Comma 7 5" xfId="12942" xr:uid="{9CA1EBC0-80F4-4D2C-92BE-7E0A490AE610}"/>
    <cellStyle name="Comma 8" xfId="34071" xr:uid="{2B51EBD1-A6F1-4E22-854E-B9A5086E49D6}"/>
    <cellStyle name="Comma 9" xfId="34166" xr:uid="{CF5792B6-19F3-4D94-B3DB-02E99DA30FA6}"/>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25600" xr:uid="{56A183DE-7668-4DEA-AB68-710272A52A72}"/>
    <cellStyle name="Currency 14 2 3" xfId="34046" xr:uid="{B4D65DD5-C492-454E-B3F2-EB914D8806F2}"/>
    <cellStyle name="Currency 14 2 4" xfId="17159" xr:uid="{778A5778-BC31-4714-AD6F-608785137749}"/>
    <cellStyle name="Currency 14 3" xfId="8720" xr:uid="{729B09A7-2394-4D7C-912C-1471FB3455A3}"/>
    <cellStyle name="Currency 14 3 2" xfId="8724" xr:uid="{1945FB0F-31EC-4D98-B64C-BAFBADA341A1}"/>
    <cellStyle name="Currency 14 3 2 2" xfId="8727" xr:uid="{03BA8DEE-11D2-406B-B26D-8EE163916FB0}"/>
    <cellStyle name="Currency 14 3 2 2 2" xfId="25609" xr:uid="{DE1D6DB7-B444-410D-B09A-88A74AC98071}"/>
    <cellStyle name="Currency 14 3 2 2 3" xfId="34055" xr:uid="{4469625A-D277-4003-B8ED-ACD10FCD2AA0}"/>
    <cellStyle name="Currency 14 3 2 2 4" xfId="17168" xr:uid="{CEC4EAE5-E0B5-4A42-8DA6-04F928A0B4C6}"/>
    <cellStyle name="Currency 14 3 2 3" xfId="25606" xr:uid="{BC0E9F14-2237-4772-90A9-A60155872756}"/>
    <cellStyle name="Currency 14 3 2 4" xfId="34052" xr:uid="{D9714954-8B15-433C-992D-5B20688D031B}"/>
    <cellStyle name="Currency 14 3 2 5" xfId="17165" xr:uid="{CDDC3217-6746-40D3-A854-35A18C30409B}"/>
    <cellStyle name="Currency 14 3 3" xfId="25603" xr:uid="{D58F0E54-D673-401F-9A0C-FBC0E4C980B6}"/>
    <cellStyle name="Currency 14 3 4" xfId="34049" xr:uid="{5B63944B-D3A1-4050-8056-10535FED015B}"/>
    <cellStyle name="Currency 14 3 5" xfId="17162" xr:uid="{5E104000-8078-4DCD-943E-FCDEECF22BB2}"/>
    <cellStyle name="Currency 14 4" xfId="21386" xr:uid="{7542C455-747C-4397-A3C5-B862AEF55F9F}"/>
    <cellStyle name="Currency 14 5" xfId="29832" xr:uid="{97B20CFB-4D45-4CB5-8973-77289302B13D}"/>
    <cellStyle name="Currency 14 6" xfId="12945" xr:uid="{7E361ECC-949A-4155-99F5-BFF05A059948}"/>
    <cellStyle name="Currency 2" xfId="171" xr:uid="{00000000-0005-0000-0000-0000990A0000}"/>
    <cellStyle name="Currency 2 2" xfId="172" xr:uid="{00000000-0005-0000-0000-00009A0A0000}"/>
    <cellStyle name="Currency 2 2 2" xfId="34085" xr:uid="{E343E8F9-BBAE-4C60-A59B-BC6534FA9191}"/>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23899" xr:uid="{90B4E284-27F7-40E3-996B-BE779E19BDA4}"/>
    <cellStyle name="Currency 3 2 2 10 2 3" xfId="32345" xr:uid="{D9D3D9DB-D7D4-40D3-B69A-127E7FB47407}"/>
    <cellStyle name="Currency 3 2 2 10 2 4" xfId="15458" xr:uid="{47B93499-36D8-4524-B1B6-A5F90812EE9D}"/>
    <cellStyle name="Currency 3 2 2 10 3" xfId="19681" xr:uid="{910ABC51-9185-493F-8212-01945DA7F4C1}"/>
    <cellStyle name="Currency 3 2 2 10 4" xfId="28128" xr:uid="{A16CB6EE-0392-4208-A864-8FFA4C8AA90B}"/>
    <cellStyle name="Currency 3 2 2 10 5" xfId="11240" xr:uid="{95FF4D6A-CCED-45FE-BE4F-9FF0D4EBD307}"/>
    <cellStyle name="Currency 3 2 2 11" xfId="4633" xr:uid="{00000000-0005-0000-0000-0000A50A0000}"/>
    <cellStyle name="Currency 3 2 2 11 2" xfId="21516" xr:uid="{A9413353-51FE-46AF-BC2E-A0BAD6E32AA1}"/>
    <cellStyle name="Currency 3 2 2 11 3" xfId="29962" xr:uid="{461F59DC-07F5-498E-925F-FD4617DFBEC0}"/>
    <cellStyle name="Currency 3 2 2 11 4" xfId="13075" xr:uid="{57062A9E-2511-4722-AC67-DA2816A62F39}"/>
    <cellStyle name="Currency 3 2 2 12" xfId="17298" xr:uid="{14258179-50EC-481E-A69B-1D777541C5D6}"/>
    <cellStyle name="Currency 3 2 2 13" xfId="25741" xr:uid="{318DB8EF-6242-4721-8939-7D77F027E9C9}"/>
    <cellStyle name="Currency 3 2 2 14" xfId="8857" xr:uid="{3F029AFE-D099-4F62-8D27-51FFA0A08262}"/>
    <cellStyle name="Currency 3 2 2 2" xfId="179" xr:uid="{00000000-0005-0000-0000-0000A60A0000}"/>
    <cellStyle name="Currency 3 2 2 2 10" xfId="4634" xr:uid="{00000000-0005-0000-0000-0000A70A0000}"/>
    <cellStyle name="Currency 3 2 2 2 10 2" xfId="21517" xr:uid="{EE6B6C9E-8BB3-43BF-B1BA-40110184CA8F}"/>
    <cellStyle name="Currency 3 2 2 2 10 3" xfId="29963" xr:uid="{DFEBCF5F-1F3E-44C7-806C-E9CCF3974D3E}"/>
    <cellStyle name="Currency 3 2 2 2 10 4" xfId="13076" xr:uid="{9B4D9FAE-46D4-447B-80BE-39CA1821158B}"/>
    <cellStyle name="Currency 3 2 2 2 11" xfId="17299" xr:uid="{DF356058-C486-4862-BF72-CD0851AFACA2}"/>
    <cellStyle name="Currency 3 2 2 2 12" xfId="25742" xr:uid="{18911080-9892-4A49-AC2E-23B05639E482}"/>
    <cellStyle name="Currency 3 2 2 2 13" xfId="8858" xr:uid="{AA60BE10-97D3-4705-AFC0-1A32C217D819}"/>
    <cellStyle name="Currency 3 2 2 2 2" xfId="180" xr:uid="{00000000-0005-0000-0000-0000A80A0000}"/>
    <cellStyle name="Currency 3 2 2 2 2 10" xfId="17300" xr:uid="{A320413F-8290-4C2C-AA1D-F90FFAE781C9}"/>
    <cellStyle name="Currency 3 2 2 2 2 11" xfId="25743" xr:uid="{4EA57324-C7A7-4CA1-9CD8-CFA83560F405}"/>
    <cellStyle name="Currency 3 2 2 2 2 12" xfId="8859" xr:uid="{6B9E038B-D213-4392-8DDD-13B94B8D687F}"/>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24077" xr:uid="{43F22179-CAD8-4338-8832-449F52EB5376}"/>
    <cellStyle name="Currency 3 2 2 2 2 2 2 2 3" xfId="32523" xr:uid="{B230AB6E-1AE3-4BFA-A7F5-AC35C442A8B3}"/>
    <cellStyle name="Currency 3 2 2 2 2 2 2 2 4" xfId="15636" xr:uid="{AA7B33DE-335D-4000-B6FC-215F69A4C29F}"/>
    <cellStyle name="Currency 3 2 2 2 2 2 2 3" xfId="19859" xr:uid="{5B1B58A8-AAA9-431C-B11E-8AFC4D38C791}"/>
    <cellStyle name="Currency 3 2 2 2 2 2 2 4" xfId="28306" xr:uid="{86029DD9-10A7-4798-B425-E0DC3CBC36BD}"/>
    <cellStyle name="Currency 3 2 2 2 2 2 2 5" xfId="11418" xr:uid="{29DAE77A-7A18-4F50-8DED-2266214095FA}"/>
    <cellStyle name="Currency 3 2 2 2 2 2 3" xfId="5049" xr:uid="{00000000-0005-0000-0000-0000AC0A0000}"/>
    <cellStyle name="Currency 3 2 2 2 2 2 3 2" xfId="21932" xr:uid="{52F2CAF9-04B5-41E2-86CD-EE4C569A8A0E}"/>
    <cellStyle name="Currency 3 2 2 2 2 2 3 3" xfId="30378" xr:uid="{A2D15699-4FD3-4765-A04B-2D39A5CE4164}"/>
    <cellStyle name="Currency 3 2 2 2 2 2 3 4" xfId="13491" xr:uid="{A202A7E8-3999-4A0C-ABFB-22CFD9B353A5}"/>
    <cellStyle name="Currency 3 2 2 2 2 2 4" xfId="17714" xr:uid="{F0FC6616-1D12-41B9-8D36-D07B74554518}"/>
    <cellStyle name="Currency 3 2 2 2 2 2 5" xfId="26159" xr:uid="{85535074-6E0A-4AE2-A4CD-9686DF8A3515}"/>
    <cellStyle name="Currency 3 2 2 2 2 2 6" xfId="9273" xr:uid="{DF9D23FE-FA14-4968-9422-15F30522D634}"/>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24490" xr:uid="{4CE354EB-CB26-4A28-A742-EB25747F586A}"/>
    <cellStyle name="Currency 3 2 2 2 2 3 2 2 3" xfId="32936" xr:uid="{E8DCAB75-0C8C-4A08-872D-F88F3CAB6195}"/>
    <cellStyle name="Currency 3 2 2 2 2 3 2 2 4" xfId="16049" xr:uid="{4FA1127A-FF24-4350-AFBA-ABCF7705D937}"/>
    <cellStyle name="Currency 3 2 2 2 2 3 2 3" xfId="20272" xr:uid="{FC8D849C-9870-4E0A-9595-C99FE0B829A2}"/>
    <cellStyle name="Currency 3 2 2 2 2 3 2 4" xfId="28719" xr:uid="{83DE3BE4-9356-462F-A7BE-FFBB3642EFCF}"/>
    <cellStyle name="Currency 3 2 2 2 2 3 2 5" xfId="11831" xr:uid="{B5E317A5-5414-4BC7-A2ED-52BF99064B54}"/>
    <cellStyle name="Currency 3 2 2 2 2 3 3" xfId="5462" xr:uid="{00000000-0005-0000-0000-0000B00A0000}"/>
    <cellStyle name="Currency 3 2 2 2 2 3 3 2" xfId="22345" xr:uid="{072F2DAC-C294-4F24-A19B-5F2A1DE9726E}"/>
    <cellStyle name="Currency 3 2 2 2 2 3 3 3" xfId="30791" xr:uid="{FEDEDC5C-3A13-4DC0-9449-6C3909FE49FF}"/>
    <cellStyle name="Currency 3 2 2 2 2 3 3 4" xfId="13904" xr:uid="{F12D3C61-53C1-4107-BE16-55580A968972}"/>
    <cellStyle name="Currency 3 2 2 2 2 3 4" xfId="18127" xr:uid="{BFCFFE30-5B94-4BB7-A2D4-34641F7FC6F3}"/>
    <cellStyle name="Currency 3 2 2 2 2 3 5" xfId="26572" xr:uid="{04BB6126-7029-4748-99BD-243866DA6136}"/>
    <cellStyle name="Currency 3 2 2 2 2 3 6" xfId="9686" xr:uid="{1FF9250C-6A4C-4744-B434-AFE381CECBC9}"/>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24903" xr:uid="{8D0D800B-A384-406F-A598-24FEC3BFA51E}"/>
    <cellStyle name="Currency 3 2 2 2 2 4 2 2 3" xfId="33349" xr:uid="{FFF84BF4-98E8-417E-A618-2788EC9DBD4E}"/>
    <cellStyle name="Currency 3 2 2 2 2 4 2 2 4" xfId="16462" xr:uid="{66FC792B-60FE-4C40-A6A5-43057FEA7614}"/>
    <cellStyle name="Currency 3 2 2 2 2 4 2 3" xfId="20685" xr:uid="{13F49372-9FD6-48D9-9CB9-9D47D3E14BB5}"/>
    <cellStyle name="Currency 3 2 2 2 2 4 2 4" xfId="29132" xr:uid="{22BF814C-C5A4-4752-93B6-B7B218162341}"/>
    <cellStyle name="Currency 3 2 2 2 2 4 2 5" xfId="12244" xr:uid="{CA77CD1B-DDC9-466E-849D-1150A17174CD}"/>
    <cellStyle name="Currency 3 2 2 2 2 4 3" xfId="5875" xr:uid="{00000000-0005-0000-0000-0000B40A0000}"/>
    <cellStyle name="Currency 3 2 2 2 2 4 3 2" xfId="22758" xr:uid="{FFC11D27-6065-4BA0-88B2-33E875AD6C3A}"/>
    <cellStyle name="Currency 3 2 2 2 2 4 3 3" xfId="31204" xr:uid="{7C3430A1-1DFB-430B-AEB3-232226AA3168}"/>
    <cellStyle name="Currency 3 2 2 2 2 4 3 4" xfId="14317" xr:uid="{5BD2D49A-0C41-4B17-B17F-2BD35414EDC0}"/>
    <cellStyle name="Currency 3 2 2 2 2 4 4" xfId="18540" xr:uid="{9AE2CD93-2664-4A8F-9386-16DE483DC6DE}"/>
    <cellStyle name="Currency 3 2 2 2 2 4 5" xfId="26985" xr:uid="{AA48C2CC-D493-4E40-93F1-FFD3DF961CF8}"/>
    <cellStyle name="Currency 3 2 2 2 2 4 6" xfId="10099" xr:uid="{19D7E8FC-323C-4559-A2CD-8309895CF4F2}"/>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25316" xr:uid="{E5EBF13D-B7C3-4C23-8A84-3D5507E88509}"/>
    <cellStyle name="Currency 3 2 2 2 2 5 2 2 3" xfId="33762" xr:uid="{3C473426-E3D9-4DAC-92E4-4FE2155C6AF4}"/>
    <cellStyle name="Currency 3 2 2 2 2 5 2 2 4" xfId="16875" xr:uid="{72585567-0529-4B12-B9B0-16419AD78EB8}"/>
    <cellStyle name="Currency 3 2 2 2 2 5 2 3" xfId="21098" xr:uid="{63F92A99-8DD1-4600-8505-C6BDEF1C4359}"/>
    <cellStyle name="Currency 3 2 2 2 2 5 2 4" xfId="29545" xr:uid="{851478C9-B166-4316-83D6-27ED586D01C0}"/>
    <cellStyle name="Currency 3 2 2 2 2 5 2 5" xfId="12657" xr:uid="{8A3EB11D-5990-494D-B2AE-89842D592D5C}"/>
    <cellStyle name="Currency 3 2 2 2 2 5 3" xfId="6288" xr:uid="{00000000-0005-0000-0000-0000B80A0000}"/>
    <cellStyle name="Currency 3 2 2 2 2 5 3 2" xfId="23171" xr:uid="{B40C03DD-DF38-497F-82D6-6C3166734FE9}"/>
    <cellStyle name="Currency 3 2 2 2 2 5 3 3" xfId="31617" xr:uid="{3E463CD7-E573-47FF-BCB6-C322F454A5E3}"/>
    <cellStyle name="Currency 3 2 2 2 2 5 3 4" xfId="14730" xr:uid="{FA3BC622-AF0D-40E5-841D-1ACEF2BAB865}"/>
    <cellStyle name="Currency 3 2 2 2 2 5 4" xfId="18953" xr:uid="{C515B760-E4AE-428F-9416-AD3037463C51}"/>
    <cellStyle name="Currency 3 2 2 2 2 5 5" xfId="27398" xr:uid="{CFC1FB25-FA5B-4A88-8DE4-328B66288BF0}"/>
    <cellStyle name="Currency 3 2 2 2 2 5 6" xfId="10512" xr:uid="{E2DBEC4F-00BD-48AD-8248-124CC73E1CB2}"/>
    <cellStyle name="Currency 3 2 2 2 2 6" xfId="2416" xr:uid="{00000000-0005-0000-0000-0000B90A0000}"/>
    <cellStyle name="Currency 3 2 2 2 2 6 2" xfId="6701" xr:uid="{00000000-0005-0000-0000-0000BA0A0000}"/>
    <cellStyle name="Currency 3 2 2 2 2 6 2 2" xfId="23584" xr:uid="{78F19E1D-A13F-4AD0-A1A4-89E1F62DFA74}"/>
    <cellStyle name="Currency 3 2 2 2 2 6 2 3" xfId="32030" xr:uid="{23468819-A7CC-4BE6-A27C-FABD5EC09133}"/>
    <cellStyle name="Currency 3 2 2 2 2 6 2 4" xfId="15143" xr:uid="{4F93D427-C539-4088-854D-24CE9BCAC3F9}"/>
    <cellStyle name="Currency 3 2 2 2 2 6 3" xfId="19366" xr:uid="{E1870896-8D3A-4D45-B1C6-D67BD16D5153}"/>
    <cellStyle name="Currency 3 2 2 2 2 6 4" xfId="27811" xr:uid="{7612412E-F032-46DC-B821-9649B18FADC2}"/>
    <cellStyle name="Currency 3 2 2 2 2 6 5" xfId="10925" xr:uid="{D95500B9-9208-431F-A683-D0A4F434FB46}"/>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23901" xr:uid="{B6B51AAB-2ED0-4DCB-A848-B096290F7AD7}"/>
    <cellStyle name="Currency 3 2 2 2 2 8 2 3" xfId="32347" xr:uid="{61DBBB58-18FD-4F33-9B77-684319BB34C9}"/>
    <cellStyle name="Currency 3 2 2 2 2 8 2 4" xfId="15460" xr:uid="{AE76E3E6-9BD3-4053-9B21-CE63176E4FFB}"/>
    <cellStyle name="Currency 3 2 2 2 2 8 3" xfId="19683" xr:uid="{66C67D2F-5754-452D-A8B5-9EB9CFB99352}"/>
    <cellStyle name="Currency 3 2 2 2 2 8 4" xfId="28130" xr:uid="{0F51C554-14AC-47AD-86D7-1C5DD46125E5}"/>
    <cellStyle name="Currency 3 2 2 2 2 8 5" xfId="11242" xr:uid="{38362C6C-FD6F-4DC8-A5DA-C6A158851D00}"/>
    <cellStyle name="Currency 3 2 2 2 2 9" xfId="4635" xr:uid="{00000000-0005-0000-0000-0000BE0A0000}"/>
    <cellStyle name="Currency 3 2 2 2 2 9 2" xfId="21518" xr:uid="{825B0C3B-B53C-48D5-A77C-8B905F9695C2}"/>
    <cellStyle name="Currency 3 2 2 2 2 9 3" xfId="29964" xr:uid="{5FE336D4-3E4F-4CBF-9389-2A2432F5B18F}"/>
    <cellStyle name="Currency 3 2 2 2 2 9 4" xfId="13077" xr:uid="{DAF836A7-9814-4ABA-9339-ADE263B6002D}"/>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24076" xr:uid="{9BAF766A-860F-44AE-BCA8-051AE3CB5504}"/>
    <cellStyle name="Currency 3 2 2 2 3 2 2 3" xfId="32522" xr:uid="{B25F5713-99EF-4A6B-B2F9-D785204A4705}"/>
    <cellStyle name="Currency 3 2 2 2 3 2 2 4" xfId="15635" xr:uid="{905C181B-72E8-4E66-81A0-9172C4273234}"/>
    <cellStyle name="Currency 3 2 2 2 3 2 3" xfId="19858" xr:uid="{94BEB7F1-77C5-4441-BB6C-27B3DD79EFFE}"/>
    <cellStyle name="Currency 3 2 2 2 3 2 4" xfId="28305" xr:uid="{8C857D20-051B-4A3C-B884-FEFF62FAC9CE}"/>
    <cellStyle name="Currency 3 2 2 2 3 2 5" xfId="11417" xr:uid="{987F1ED3-C5CA-4851-A2A1-96CC18C70491}"/>
    <cellStyle name="Currency 3 2 2 2 3 3" xfId="5048" xr:uid="{00000000-0005-0000-0000-0000C20A0000}"/>
    <cellStyle name="Currency 3 2 2 2 3 3 2" xfId="21931" xr:uid="{07DA8357-0BDC-4FF1-9C69-1049C88F7671}"/>
    <cellStyle name="Currency 3 2 2 2 3 3 3" xfId="30377" xr:uid="{FF9088FF-F386-4B59-82FD-3EAB9783A388}"/>
    <cellStyle name="Currency 3 2 2 2 3 3 4" xfId="13490" xr:uid="{BAF03828-2870-4BC7-B99A-E1199220159E}"/>
    <cellStyle name="Currency 3 2 2 2 3 4" xfId="17713" xr:uid="{5B7DAD7F-FDA7-465C-B401-24575997A020}"/>
    <cellStyle name="Currency 3 2 2 2 3 5" xfId="26158" xr:uid="{DBF4FEAC-0937-4F9E-9671-4265EA0A3BFE}"/>
    <cellStyle name="Currency 3 2 2 2 3 6" xfId="9272" xr:uid="{0B0BBAEF-9777-4996-9BB3-8E9FCC4098B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24489" xr:uid="{54E44535-75A4-4ED3-BA98-DAE3DE466F13}"/>
    <cellStyle name="Currency 3 2 2 2 4 2 2 3" xfId="32935" xr:uid="{A41A16BA-7703-4DF7-A156-8F32890FFACE}"/>
    <cellStyle name="Currency 3 2 2 2 4 2 2 4" xfId="16048" xr:uid="{04830AF0-7FC6-42C2-9631-369C8BCF9237}"/>
    <cellStyle name="Currency 3 2 2 2 4 2 3" xfId="20271" xr:uid="{ADCE8C50-8A4D-4112-866B-1B332260E277}"/>
    <cellStyle name="Currency 3 2 2 2 4 2 4" xfId="28718" xr:uid="{6314D279-3799-489C-BD59-27B8524844A3}"/>
    <cellStyle name="Currency 3 2 2 2 4 2 5" xfId="11830" xr:uid="{FA5AC4A5-37C6-4AF1-A384-0E12EA63F25B}"/>
    <cellStyle name="Currency 3 2 2 2 4 3" xfId="5461" xr:uid="{00000000-0005-0000-0000-0000C60A0000}"/>
    <cellStyle name="Currency 3 2 2 2 4 3 2" xfId="22344" xr:uid="{23D8575A-870B-40D1-B972-875DFF2DAD5E}"/>
    <cellStyle name="Currency 3 2 2 2 4 3 3" xfId="30790" xr:uid="{7CA636F0-0128-4029-A96E-E20912A879D0}"/>
    <cellStyle name="Currency 3 2 2 2 4 3 4" xfId="13903" xr:uid="{61084AB0-D157-4631-A8DD-01FD1840AAE4}"/>
    <cellStyle name="Currency 3 2 2 2 4 4" xfId="18126" xr:uid="{4D1F9598-1DA0-4A49-8373-45138D41F570}"/>
    <cellStyle name="Currency 3 2 2 2 4 5" xfId="26571" xr:uid="{F3C85E27-E649-407F-9FBD-6D693031444D}"/>
    <cellStyle name="Currency 3 2 2 2 4 6" xfId="9685" xr:uid="{CB541CD8-DDD2-400A-AAFB-D3E121A3101F}"/>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24902" xr:uid="{E54C5B38-6DAC-4DAD-A59F-0DFD62C31D48}"/>
    <cellStyle name="Currency 3 2 2 2 5 2 2 3" xfId="33348" xr:uid="{5CC88E40-9B6C-4339-9A60-CD23F351690B}"/>
    <cellStyle name="Currency 3 2 2 2 5 2 2 4" xfId="16461" xr:uid="{60748333-9A56-418B-B21F-32ABEF2F631A}"/>
    <cellStyle name="Currency 3 2 2 2 5 2 3" xfId="20684" xr:uid="{AFA8ED91-47BB-43F7-A99A-1DA426D96409}"/>
    <cellStyle name="Currency 3 2 2 2 5 2 4" xfId="29131" xr:uid="{2204ED9B-9985-4D60-A29A-0EE9F7FE7137}"/>
    <cellStyle name="Currency 3 2 2 2 5 2 5" xfId="12243" xr:uid="{A0CF7390-3538-4AD6-8E17-80170B3AEC35}"/>
    <cellStyle name="Currency 3 2 2 2 5 3" xfId="5874" xr:uid="{00000000-0005-0000-0000-0000CA0A0000}"/>
    <cellStyle name="Currency 3 2 2 2 5 3 2" xfId="22757" xr:uid="{64E57B0F-89E2-4853-AB4A-AEEB6E1DDA90}"/>
    <cellStyle name="Currency 3 2 2 2 5 3 3" xfId="31203" xr:uid="{1C180999-8A7C-4082-9153-DDE0C80F0AB9}"/>
    <cellStyle name="Currency 3 2 2 2 5 3 4" xfId="14316" xr:uid="{34AB31EB-79BD-424F-A945-4ECF12FF26AF}"/>
    <cellStyle name="Currency 3 2 2 2 5 4" xfId="18539" xr:uid="{B67FD22C-166C-4127-A849-D67992B8D91E}"/>
    <cellStyle name="Currency 3 2 2 2 5 5" xfId="26984" xr:uid="{E0AE141E-E305-4007-87D1-A89070D0E403}"/>
    <cellStyle name="Currency 3 2 2 2 5 6" xfId="10098" xr:uid="{F4EA3425-B730-4B11-A427-2F254E4BD97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25315" xr:uid="{BF71248E-BE8F-4DB8-9EFC-B24046D3E2C6}"/>
    <cellStyle name="Currency 3 2 2 2 6 2 2 3" xfId="33761" xr:uid="{F37C1185-3475-486F-B2E2-447A942C5A71}"/>
    <cellStyle name="Currency 3 2 2 2 6 2 2 4" xfId="16874" xr:uid="{70C3331B-EDCA-4D95-9410-9AB91EF8D67C}"/>
    <cellStyle name="Currency 3 2 2 2 6 2 3" xfId="21097" xr:uid="{29460997-F89F-4955-851A-B7E0E851C6A4}"/>
    <cellStyle name="Currency 3 2 2 2 6 2 4" xfId="29544" xr:uid="{E35C3C4A-50FF-4D55-B1FE-5C4E28922E71}"/>
    <cellStyle name="Currency 3 2 2 2 6 2 5" xfId="12656" xr:uid="{5213E954-3179-4CF4-875E-D15DEFB445A8}"/>
    <cellStyle name="Currency 3 2 2 2 6 3" xfId="6287" xr:uid="{00000000-0005-0000-0000-0000CE0A0000}"/>
    <cellStyle name="Currency 3 2 2 2 6 3 2" xfId="23170" xr:uid="{8DC90BA1-92E0-4943-9C92-0857B5932C5A}"/>
    <cellStyle name="Currency 3 2 2 2 6 3 3" xfId="31616" xr:uid="{93D8EEFF-71CA-48DC-80E5-68F42CF2EE08}"/>
    <cellStyle name="Currency 3 2 2 2 6 3 4" xfId="14729" xr:uid="{383C9C3A-4076-4D55-8CDC-CA2DA2B1D7C8}"/>
    <cellStyle name="Currency 3 2 2 2 6 4" xfId="18952" xr:uid="{62707504-959C-4C35-8474-A21260DF3077}"/>
    <cellStyle name="Currency 3 2 2 2 6 5" xfId="27397" xr:uid="{118A1819-FDEF-4645-8B03-039B4788AA65}"/>
    <cellStyle name="Currency 3 2 2 2 6 6" xfId="10511" xr:uid="{14AD59F7-3F13-4B0C-A37E-B808DDEA1B57}"/>
    <cellStyle name="Currency 3 2 2 2 7" xfId="2415" xr:uid="{00000000-0005-0000-0000-0000CF0A0000}"/>
    <cellStyle name="Currency 3 2 2 2 7 2" xfId="6700" xr:uid="{00000000-0005-0000-0000-0000D00A0000}"/>
    <cellStyle name="Currency 3 2 2 2 7 2 2" xfId="23583" xr:uid="{00B5DC7A-D85F-4ABB-A7CF-01B3A3E3D6E0}"/>
    <cellStyle name="Currency 3 2 2 2 7 2 3" xfId="32029" xr:uid="{CBAB2B63-F9A0-474D-A101-7F890C61B31B}"/>
    <cellStyle name="Currency 3 2 2 2 7 2 4" xfId="15142" xr:uid="{6E1B886E-5ED2-4C3B-8EF3-5D4323265409}"/>
    <cellStyle name="Currency 3 2 2 2 7 3" xfId="19365" xr:uid="{1799E9E9-597A-4839-8482-044C6D900A6B}"/>
    <cellStyle name="Currency 3 2 2 2 7 4" xfId="27810" xr:uid="{021CDA00-41F6-4367-9AD1-C4410F62BCE8}"/>
    <cellStyle name="Currency 3 2 2 2 7 5" xfId="10924" xr:uid="{132DC02E-181B-4EC9-8B6C-540F1B4A5693}"/>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23900" xr:uid="{CA552988-78B8-4E38-BE83-9A24CEC40A3F}"/>
    <cellStyle name="Currency 3 2 2 2 9 2 3" xfId="32346" xr:uid="{AD6C9212-0D4C-46D4-BA18-F929B099D7CB}"/>
    <cellStyle name="Currency 3 2 2 2 9 2 4" xfId="15459" xr:uid="{CCD602DA-B66F-4ED8-BC2B-B5C2FADDC1D1}"/>
    <cellStyle name="Currency 3 2 2 2 9 3" xfId="19682" xr:uid="{FA3D36D1-FB0F-4F6E-83E9-A2D438816DA4}"/>
    <cellStyle name="Currency 3 2 2 2 9 4" xfId="28129" xr:uid="{3D219C88-3675-4661-8817-1CD4E2EBB8A4}"/>
    <cellStyle name="Currency 3 2 2 2 9 5" xfId="11241" xr:uid="{5E7E89BC-40AF-40A4-91F5-E029C218E93B}"/>
    <cellStyle name="Currency 3 2 2 3" xfId="181" xr:uid="{00000000-0005-0000-0000-0000D40A0000}"/>
    <cellStyle name="Currency 3 2 2 3 10" xfId="17301" xr:uid="{64D0FA63-82C7-473E-BDE5-E27969B945E9}"/>
    <cellStyle name="Currency 3 2 2 3 11" xfId="25744" xr:uid="{9534A0D9-4C1F-4A5D-AE1C-C369C0E5D6F8}"/>
    <cellStyle name="Currency 3 2 2 3 12" xfId="8860" xr:uid="{9888E4FB-DAB1-4288-A085-BAA646C185F5}"/>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24078" xr:uid="{6C1CE8AA-47DB-4FFE-AEF7-C04A4D298D2F}"/>
    <cellStyle name="Currency 3 2 2 3 2 2 2 3" xfId="32524" xr:uid="{A3C2B9FA-4EB0-40E3-9A0C-5A706172BDC1}"/>
    <cellStyle name="Currency 3 2 2 3 2 2 2 4" xfId="15637" xr:uid="{1230EE0B-8755-42ED-B2D8-944E20A9513B}"/>
    <cellStyle name="Currency 3 2 2 3 2 2 3" xfId="19860" xr:uid="{99931CA0-BE00-4917-9172-0EA142A31442}"/>
    <cellStyle name="Currency 3 2 2 3 2 2 4" xfId="28307" xr:uid="{9F15FFED-814A-4B01-BF59-92FF68D33095}"/>
    <cellStyle name="Currency 3 2 2 3 2 2 5" xfId="11419" xr:uid="{2197DD54-C304-4C88-B4D7-2EE658C985C1}"/>
    <cellStyle name="Currency 3 2 2 3 2 3" xfId="5050" xr:uid="{00000000-0005-0000-0000-0000D80A0000}"/>
    <cellStyle name="Currency 3 2 2 3 2 3 2" xfId="21933" xr:uid="{0EA1B5E7-D236-4C03-802B-AB2FF34DF321}"/>
    <cellStyle name="Currency 3 2 2 3 2 3 3" xfId="30379" xr:uid="{63DED2C9-2473-46D2-8DBB-EF7E8676DC1D}"/>
    <cellStyle name="Currency 3 2 2 3 2 3 4" xfId="13492" xr:uid="{61F89900-A97E-44AC-8046-6AADA06C59A4}"/>
    <cellStyle name="Currency 3 2 2 3 2 4" xfId="17715" xr:uid="{6EC012E4-26B4-4711-ACA7-153A4667683E}"/>
    <cellStyle name="Currency 3 2 2 3 2 5" xfId="26160" xr:uid="{3478FFC9-C800-4082-9888-E0DCEA113EFB}"/>
    <cellStyle name="Currency 3 2 2 3 2 6" xfId="9274" xr:uid="{78C0B6E4-F79B-45C9-9273-AF372C23712B}"/>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24491" xr:uid="{5EDE4805-3C93-463B-9512-F947C0DD4752}"/>
    <cellStyle name="Currency 3 2 2 3 3 2 2 3" xfId="32937" xr:uid="{8724426E-EBC5-4E0D-BD9B-C449997D196C}"/>
    <cellStyle name="Currency 3 2 2 3 3 2 2 4" xfId="16050" xr:uid="{8C482801-7121-4391-8F5E-526C7553FF7A}"/>
    <cellStyle name="Currency 3 2 2 3 3 2 3" xfId="20273" xr:uid="{EBDC6586-36F1-4762-9650-8637875B65F9}"/>
    <cellStyle name="Currency 3 2 2 3 3 2 4" xfId="28720" xr:uid="{719FD7BE-9C1B-4ADE-8429-CBE89E333D22}"/>
    <cellStyle name="Currency 3 2 2 3 3 2 5" xfId="11832" xr:uid="{F0956BD0-A435-4C96-B5A3-2AF74EB4B74C}"/>
    <cellStyle name="Currency 3 2 2 3 3 3" xfId="5463" xr:uid="{00000000-0005-0000-0000-0000DC0A0000}"/>
    <cellStyle name="Currency 3 2 2 3 3 3 2" xfId="22346" xr:uid="{A6098723-CF67-4337-A748-DC4439ADF733}"/>
    <cellStyle name="Currency 3 2 2 3 3 3 3" xfId="30792" xr:uid="{B4DAC676-B09C-459B-A929-0017485BB5C4}"/>
    <cellStyle name="Currency 3 2 2 3 3 3 4" xfId="13905" xr:uid="{F70BC7DC-6C8E-4E08-89F6-14EF4E348B93}"/>
    <cellStyle name="Currency 3 2 2 3 3 4" xfId="18128" xr:uid="{34B84D7A-7B6C-410B-ACB9-3BD230D2A93A}"/>
    <cellStyle name="Currency 3 2 2 3 3 5" xfId="26573" xr:uid="{23F7AD19-5816-4CE7-853E-73BF889C2B86}"/>
    <cellStyle name="Currency 3 2 2 3 3 6" xfId="9687" xr:uid="{4C03AB1D-0E37-4FA9-AB00-2B6ED10884D2}"/>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24904" xr:uid="{05A98658-D2A9-4F0A-BA82-6A6D66075665}"/>
    <cellStyle name="Currency 3 2 2 3 4 2 2 3" xfId="33350" xr:uid="{1B74A14B-BC37-4B95-8D8F-578CA3971238}"/>
    <cellStyle name="Currency 3 2 2 3 4 2 2 4" xfId="16463" xr:uid="{CBCC1647-0565-4C23-BDD5-B93A0581CA7D}"/>
    <cellStyle name="Currency 3 2 2 3 4 2 3" xfId="20686" xr:uid="{FDF4E10B-D257-4996-B65B-3A62C0D1566E}"/>
    <cellStyle name="Currency 3 2 2 3 4 2 4" xfId="29133" xr:uid="{A709121F-FADC-47C4-BEE9-96E3B8D84584}"/>
    <cellStyle name="Currency 3 2 2 3 4 2 5" xfId="12245" xr:uid="{8C67BB47-5611-4B6C-ACD0-EF44D2D7979D}"/>
    <cellStyle name="Currency 3 2 2 3 4 3" xfId="5876" xr:uid="{00000000-0005-0000-0000-0000E00A0000}"/>
    <cellStyle name="Currency 3 2 2 3 4 3 2" xfId="22759" xr:uid="{369B1ECF-755A-41A5-9D42-3B2F03E10DE6}"/>
    <cellStyle name="Currency 3 2 2 3 4 3 3" xfId="31205" xr:uid="{D0959D0F-D46D-4E73-A288-17096F3B8418}"/>
    <cellStyle name="Currency 3 2 2 3 4 3 4" xfId="14318" xr:uid="{73E452D9-303F-45C8-BEE4-F9D1E308C0B6}"/>
    <cellStyle name="Currency 3 2 2 3 4 4" xfId="18541" xr:uid="{C3347D75-FF58-4239-ABA1-5F7EE32E93AD}"/>
    <cellStyle name="Currency 3 2 2 3 4 5" xfId="26986" xr:uid="{BEC62330-F88A-4F4C-A6CF-B469118EAF75}"/>
    <cellStyle name="Currency 3 2 2 3 4 6" xfId="10100" xr:uid="{B4FA8FAF-8123-4952-9859-DE105662BF5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25317" xr:uid="{58508CBE-45B4-4312-A9A5-BEA988C92187}"/>
    <cellStyle name="Currency 3 2 2 3 5 2 2 3" xfId="33763" xr:uid="{5568ACD4-B5C4-4C76-BD10-458C022CFAC0}"/>
    <cellStyle name="Currency 3 2 2 3 5 2 2 4" xfId="16876" xr:uid="{7D0D9F4C-336E-4DFC-B5EA-1C1345BDF395}"/>
    <cellStyle name="Currency 3 2 2 3 5 2 3" xfId="21099" xr:uid="{0383BEB1-11FE-45C2-A5E6-A6FD1AF0582A}"/>
    <cellStyle name="Currency 3 2 2 3 5 2 4" xfId="29546" xr:uid="{A353A3B2-3D29-4CEB-81CA-6DE1E011C31C}"/>
    <cellStyle name="Currency 3 2 2 3 5 2 5" xfId="12658" xr:uid="{7A526969-D720-446B-BE46-744B2861C131}"/>
    <cellStyle name="Currency 3 2 2 3 5 3" xfId="6289" xr:uid="{00000000-0005-0000-0000-0000E40A0000}"/>
    <cellStyle name="Currency 3 2 2 3 5 3 2" xfId="23172" xr:uid="{827CF3F2-82AD-4328-A0FE-6EA15580A52A}"/>
    <cellStyle name="Currency 3 2 2 3 5 3 3" xfId="31618" xr:uid="{9B264968-0968-4366-B048-FD9E1456B14D}"/>
    <cellStyle name="Currency 3 2 2 3 5 3 4" xfId="14731" xr:uid="{8DE89C63-F3C7-4AC6-8884-E4C9E70E6A11}"/>
    <cellStyle name="Currency 3 2 2 3 5 4" xfId="18954" xr:uid="{828AC54C-2A5D-423E-BF88-C3D29E7478F9}"/>
    <cellStyle name="Currency 3 2 2 3 5 5" xfId="27399" xr:uid="{6A5A3028-EA39-4B1C-A0D7-0BB1197DF3CA}"/>
    <cellStyle name="Currency 3 2 2 3 5 6" xfId="10513" xr:uid="{4DDF740E-2654-4003-97CD-83181FB990FE}"/>
    <cellStyle name="Currency 3 2 2 3 6" xfId="2417" xr:uid="{00000000-0005-0000-0000-0000E50A0000}"/>
    <cellStyle name="Currency 3 2 2 3 6 2" xfId="6702" xr:uid="{00000000-0005-0000-0000-0000E60A0000}"/>
    <cellStyle name="Currency 3 2 2 3 6 2 2" xfId="23585" xr:uid="{BD16403A-87CF-4245-91BB-42A9A4693BC2}"/>
    <cellStyle name="Currency 3 2 2 3 6 2 3" xfId="32031" xr:uid="{C608171E-24DC-45EA-902C-B43C659DF693}"/>
    <cellStyle name="Currency 3 2 2 3 6 2 4" xfId="15144" xr:uid="{29736A51-A152-46F1-8FD4-A9E91AC73A46}"/>
    <cellStyle name="Currency 3 2 2 3 6 3" xfId="19367" xr:uid="{21747213-F450-4E56-8A95-E5F5F3F23FE7}"/>
    <cellStyle name="Currency 3 2 2 3 6 4" xfId="27812" xr:uid="{85C8A786-4B86-452B-BC0B-A82E2A72C28C}"/>
    <cellStyle name="Currency 3 2 2 3 6 5" xfId="10926" xr:uid="{80BCF068-DE40-4324-8DBC-4994605F9E3A}"/>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23902" xr:uid="{24AE91C7-1524-47BE-BBE3-9B8FB7B6699D}"/>
    <cellStyle name="Currency 3 2 2 3 8 2 3" xfId="32348" xr:uid="{5BFF8782-206C-448C-9970-224DFE57AB31}"/>
    <cellStyle name="Currency 3 2 2 3 8 2 4" xfId="15461" xr:uid="{A260B7FA-498A-4131-8810-6F827EC988E4}"/>
    <cellStyle name="Currency 3 2 2 3 8 3" xfId="19684" xr:uid="{19939E27-4813-428A-8370-5F2E8B029102}"/>
    <cellStyle name="Currency 3 2 2 3 8 4" xfId="28131" xr:uid="{D3E8BB2D-C5F8-4829-A461-1DD150720E91}"/>
    <cellStyle name="Currency 3 2 2 3 8 5" xfId="11243" xr:uid="{1DC4235B-0C5B-425D-A7BC-D4F1AF2243E0}"/>
    <cellStyle name="Currency 3 2 2 3 9" xfId="4636" xr:uid="{00000000-0005-0000-0000-0000EA0A0000}"/>
    <cellStyle name="Currency 3 2 2 3 9 2" xfId="21519" xr:uid="{7CC0A65B-2776-4546-BBB1-DB8A20DC9B6B}"/>
    <cellStyle name="Currency 3 2 2 3 9 3" xfId="29965" xr:uid="{73E7AC4D-E143-4E1C-B0B6-8836E54ED3D6}"/>
    <cellStyle name="Currency 3 2 2 3 9 4" xfId="13078" xr:uid="{A7074B4A-D706-486C-B6C8-7F2150BC2929}"/>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24075" xr:uid="{3E6FE92B-5F2D-4709-9ACA-52A33F0FEF1E}"/>
    <cellStyle name="Currency 3 2 2 4 2 2 3" xfId="32521" xr:uid="{04DD259A-717E-456A-86A7-1DF58AB670DE}"/>
    <cellStyle name="Currency 3 2 2 4 2 2 4" xfId="15634" xr:uid="{FA425007-EE04-4D68-99C5-E058B99FA12A}"/>
    <cellStyle name="Currency 3 2 2 4 2 3" xfId="19857" xr:uid="{03E68A1C-E3EC-4927-8704-36BF0BD57D95}"/>
    <cellStyle name="Currency 3 2 2 4 2 4" xfId="28304" xr:uid="{AA2BEC7C-8D2A-4D8E-8E93-165207217DCC}"/>
    <cellStyle name="Currency 3 2 2 4 2 5" xfId="11416" xr:uid="{3F4A18C8-9A9D-442E-AB29-BADD5FBB30B2}"/>
    <cellStyle name="Currency 3 2 2 4 3" xfId="5047" xr:uid="{00000000-0005-0000-0000-0000EE0A0000}"/>
    <cellStyle name="Currency 3 2 2 4 3 2" xfId="21930" xr:uid="{EB712F60-4521-406B-AE28-A7F46082D026}"/>
    <cellStyle name="Currency 3 2 2 4 3 3" xfId="30376" xr:uid="{937D24D3-AA62-4A42-B268-CE6720B2E7D6}"/>
    <cellStyle name="Currency 3 2 2 4 3 4" xfId="13489" xr:uid="{68D5899D-92F7-4713-B512-67A01570C531}"/>
    <cellStyle name="Currency 3 2 2 4 4" xfId="17712" xr:uid="{A80898B2-D7FB-4542-A76C-A403EA93F61D}"/>
    <cellStyle name="Currency 3 2 2 4 5" xfId="26157" xr:uid="{326E307E-4D2F-47DB-A91E-5B3979EF00F9}"/>
    <cellStyle name="Currency 3 2 2 4 6" xfId="9271" xr:uid="{E1088C4A-20DB-4D8F-B1E4-9499A4808C9D}"/>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24488" xr:uid="{362F1896-7797-43D1-87F6-1D30DE7223E9}"/>
    <cellStyle name="Currency 3 2 2 5 2 2 3" xfId="32934" xr:uid="{9E8BDA2A-0C1A-4387-9FA5-5E1A9CAE180B}"/>
    <cellStyle name="Currency 3 2 2 5 2 2 4" xfId="16047" xr:uid="{C1F5BBCF-4C98-404E-88A8-6BA94D83C2B0}"/>
    <cellStyle name="Currency 3 2 2 5 2 3" xfId="20270" xr:uid="{34DC7235-B7CD-4D45-A2A1-F5C3992986F3}"/>
    <cellStyle name="Currency 3 2 2 5 2 4" xfId="28717" xr:uid="{FE38D828-7052-42FD-B67E-283FB89CB58A}"/>
    <cellStyle name="Currency 3 2 2 5 2 5" xfId="11829" xr:uid="{94DC2BA7-8AAD-40EB-B023-CAD2CD602E3F}"/>
    <cellStyle name="Currency 3 2 2 5 3" xfId="5460" xr:uid="{00000000-0005-0000-0000-0000F20A0000}"/>
    <cellStyle name="Currency 3 2 2 5 3 2" xfId="22343" xr:uid="{1114E275-FD22-4C84-BE40-81F1534993E9}"/>
    <cellStyle name="Currency 3 2 2 5 3 3" xfId="30789" xr:uid="{FCBA2937-6405-46AA-8D4F-A13A13BFD205}"/>
    <cellStyle name="Currency 3 2 2 5 3 4" xfId="13902" xr:uid="{9288D3FE-355B-44B6-B8C9-0A879520904F}"/>
    <cellStyle name="Currency 3 2 2 5 4" xfId="18125" xr:uid="{D5B605FC-5BCF-4625-B38D-8ADD0DEC9EB5}"/>
    <cellStyle name="Currency 3 2 2 5 5" xfId="26570" xr:uid="{D5C2B08C-74CC-49FF-B6DA-A8FBD0E59C89}"/>
    <cellStyle name="Currency 3 2 2 5 6" xfId="9684" xr:uid="{CC38790E-1AA0-4FD3-B47A-45F12B14334B}"/>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24901" xr:uid="{96CA7DFD-6A07-459F-A97E-215C0BE7D6F5}"/>
    <cellStyle name="Currency 3 2 2 6 2 2 3" xfId="33347" xr:uid="{11898308-A4E6-4C3D-AEDB-73005E113C35}"/>
    <cellStyle name="Currency 3 2 2 6 2 2 4" xfId="16460" xr:uid="{1C5CB7A6-BC5E-4951-A050-7E90DB721D29}"/>
    <cellStyle name="Currency 3 2 2 6 2 3" xfId="20683" xr:uid="{D9F3092A-35E2-42AD-BF9B-CA83645E3C0F}"/>
    <cellStyle name="Currency 3 2 2 6 2 4" xfId="29130" xr:uid="{A6F8B7D3-1FEF-4E06-A35F-6AA34B45CE3D}"/>
    <cellStyle name="Currency 3 2 2 6 2 5" xfId="12242" xr:uid="{790B7007-8185-4F9A-999F-52AAFC3E8928}"/>
    <cellStyle name="Currency 3 2 2 6 3" xfId="5873" xr:uid="{00000000-0005-0000-0000-0000F60A0000}"/>
    <cellStyle name="Currency 3 2 2 6 3 2" xfId="22756" xr:uid="{3FDC765A-1A37-41EC-A976-08C157602CA6}"/>
    <cellStyle name="Currency 3 2 2 6 3 3" xfId="31202" xr:uid="{FF40AF01-D868-427F-B6F2-E69F09A69DFF}"/>
    <cellStyle name="Currency 3 2 2 6 3 4" xfId="14315" xr:uid="{F61C38AF-4664-45CE-B3CE-5E9FE21E6852}"/>
    <cellStyle name="Currency 3 2 2 6 4" xfId="18538" xr:uid="{18D5216E-F376-42AB-BA3F-EDEF20D6EC0B}"/>
    <cellStyle name="Currency 3 2 2 6 5" xfId="26983" xr:uid="{8A148BB0-40FA-4AF0-93AC-12850B07F868}"/>
    <cellStyle name="Currency 3 2 2 6 6" xfId="10097" xr:uid="{0CE388A2-B539-47EE-BEEB-A8236CD01F1F}"/>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25314" xr:uid="{587ED1C4-5FBE-4310-B94B-B647D24FEEDB}"/>
    <cellStyle name="Currency 3 2 2 7 2 2 3" xfId="33760" xr:uid="{B0847CF0-500C-4769-8418-14F12F8AB73C}"/>
    <cellStyle name="Currency 3 2 2 7 2 2 4" xfId="16873" xr:uid="{852A8C1F-0B94-4746-BEAB-DE791CF53E33}"/>
    <cellStyle name="Currency 3 2 2 7 2 3" xfId="21096" xr:uid="{0DA1D43F-291A-4E56-8CDC-5533E608FE0A}"/>
    <cellStyle name="Currency 3 2 2 7 2 4" xfId="29543" xr:uid="{B6440CDB-D531-45B5-AE1B-238E107701B8}"/>
    <cellStyle name="Currency 3 2 2 7 2 5" xfId="12655" xr:uid="{CA5B9445-557F-4EE4-A26F-BD4CD65A408A}"/>
    <cellStyle name="Currency 3 2 2 7 3" xfId="6286" xr:uid="{00000000-0005-0000-0000-0000FA0A0000}"/>
    <cellStyle name="Currency 3 2 2 7 3 2" xfId="23169" xr:uid="{8CB954AA-F052-445E-9580-740AF96E85F6}"/>
    <cellStyle name="Currency 3 2 2 7 3 3" xfId="31615" xr:uid="{80DB5736-D3D4-42C7-A330-C87B593B45AC}"/>
    <cellStyle name="Currency 3 2 2 7 3 4" xfId="14728" xr:uid="{A75AF41C-0BAB-4F99-8EB7-45FFC6E2970D}"/>
    <cellStyle name="Currency 3 2 2 7 4" xfId="18951" xr:uid="{9A867075-B145-4857-A353-A24091F9D0DE}"/>
    <cellStyle name="Currency 3 2 2 7 5" xfId="27396" xr:uid="{287920B7-79CE-4CC1-ABB1-8EFC52005864}"/>
    <cellStyle name="Currency 3 2 2 7 6" xfId="10510" xr:uid="{B38A916B-4CC4-4D60-9B7B-512A27BAC500}"/>
    <cellStyle name="Currency 3 2 2 8" xfId="2414" xr:uid="{00000000-0005-0000-0000-0000FB0A0000}"/>
    <cellStyle name="Currency 3 2 2 8 2" xfId="6699" xr:uid="{00000000-0005-0000-0000-0000FC0A0000}"/>
    <cellStyle name="Currency 3 2 2 8 2 2" xfId="23582" xr:uid="{F6E1A5BC-41E4-4729-B337-C86E80F0F23F}"/>
    <cellStyle name="Currency 3 2 2 8 2 3" xfId="32028" xr:uid="{39048BC2-3B1C-4FE5-AB3C-1B8D04E1AF6E}"/>
    <cellStyle name="Currency 3 2 2 8 2 4" xfId="15141" xr:uid="{298F6063-AD9F-411D-A808-67DAA50ACC6A}"/>
    <cellStyle name="Currency 3 2 2 8 3" xfId="19364" xr:uid="{E9D60C45-3B87-470D-B9E9-316EB78EC6AD}"/>
    <cellStyle name="Currency 3 2 2 8 4" xfId="27809" xr:uid="{EACE1423-9466-4753-803D-A43F15A24940}"/>
    <cellStyle name="Currency 3 2 2 8 5" xfId="10923" xr:uid="{9BDEE980-5382-435E-9C00-EBD0786F4438}"/>
    <cellStyle name="Currency 3 2 2 9" xfId="2711" xr:uid="{00000000-0005-0000-0000-0000FD0A0000}"/>
    <cellStyle name="Currency 3 2 3" xfId="182" xr:uid="{00000000-0005-0000-0000-0000FE0A0000}"/>
    <cellStyle name="Currency 3 2 3 10" xfId="4637" xr:uid="{00000000-0005-0000-0000-0000FF0A0000}"/>
    <cellStyle name="Currency 3 2 3 10 2" xfId="21520" xr:uid="{834F1FE9-2984-4D9C-8D0A-BF35D6EFBB16}"/>
    <cellStyle name="Currency 3 2 3 10 3" xfId="29966" xr:uid="{EFCF6691-C346-461F-B4E4-44163184320B}"/>
    <cellStyle name="Currency 3 2 3 10 4" xfId="13079" xr:uid="{8C32D01B-F899-4F5C-8301-142C1316D7A3}"/>
    <cellStyle name="Currency 3 2 3 11" xfId="17302" xr:uid="{21AC8397-3C60-409F-97C9-BC9CF5A9C627}"/>
    <cellStyle name="Currency 3 2 3 12" xfId="25745" xr:uid="{0B7BFED8-A926-4FC9-B7DC-2338C7690FEA}"/>
    <cellStyle name="Currency 3 2 3 13" xfId="8861" xr:uid="{A5424C03-4F50-4FC8-976D-8B917B4222DA}"/>
    <cellStyle name="Currency 3 2 3 2" xfId="183" xr:uid="{00000000-0005-0000-0000-0000000B0000}"/>
    <cellStyle name="Currency 3 2 3 2 10" xfId="17303" xr:uid="{12E2FE91-1F42-4191-BDF9-AA88BA567D29}"/>
    <cellStyle name="Currency 3 2 3 2 11" xfId="25746" xr:uid="{65F477FA-5D34-4A82-A78B-C2B1E922054F}"/>
    <cellStyle name="Currency 3 2 3 2 12" xfId="8862" xr:uid="{22982774-BA4F-4BAE-9653-43FB94FFE5DA}"/>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24080" xr:uid="{40C34A96-87F5-4AD6-94B1-B890157668FB}"/>
    <cellStyle name="Currency 3 2 3 2 2 2 2 3" xfId="32526" xr:uid="{8C3E4B6C-486C-43D2-9A11-288963CCB2B2}"/>
    <cellStyle name="Currency 3 2 3 2 2 2 2 4" xfId="15639" xr:uid="{8BC0D312-2F92-4445-8628-0634C3AD8A3D}"/>
    <cellStyle name="Currency 3 2 3 2 2 2 3" xfId="19862" xr:uid="{47259026-0B89-4A28-B9B9-A7E1EA80C555}"/>
    <cellStyle name="Currency 3 2 3 2 2 2 4" xfId="28309" xr:uid="{A9FF7AB4-9177-43CC-98DA-73866AC265D2}"/>
    <cellStyle name="Currency 3 2 3 2 2 2 5" xfId="11421" xr:uid="{6CF20303-9248-4E07-A0F1-9E10B2301B6C}"/>
    <cellStyle name="Currency 3 2 3 2 2 3" xfId="5052" xr:uid="{00000000-0005-0000-0000-0000040B0000}"/>
    <cellStyle name="Currency 3 2 3 2 2 3 2" xfId="21935" xr:uid="{F3EB2FE1-15A5-4464-A0BC-CACF9DBB8857}"/>
    <cellStyle name="Currency 3 2 3 2 2 3 3" xfId="30381" xr:uid="{0D25281C-7029-4DBB-844B-79B9D1942F7C}"/>
    <cellStyle name="Currency 3 2 3 2 2 3 4" xfId="13494" xr:uid="{E6656629-5C6C-4DDD-99A1-51720A9ECAF4}"/>
    <cellStyle name="Currency 3 2 3 2 2 4" xfId="17717" xr:uid="{FD6FB4EB-6070-48CD-B241-39D5D2FDAC9D}"/>
    <cellStyle name="Currency 3 2 3 2 2 5" xfId="26162" xr:uid="{8FADB7F2-C2B6-4A7B-9E9C-7EB93FC3A6F3}"/>
    <cellStyle name="Currency 3 2 3 2 2 6" xfId="9276" xr:uid="{8CE1A819-F299-4991-81F5-807DAAB68759}"/>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24493" xr:uid="{2994AA6E-FFB6-47FA-85C2-4119378F6502}"/>
    <cellStyle name="Currency 3 2 3 2 3 2 2 3" xfId="32939" xr:uid="{9151845B-1AF0-45C1-BD11-68C7924A1D58}"/>
    <cellStyle name="Currency 3 2 3 2 3 2 2 4" xfId="16052" xr:uid="{5A916A1D-2A7C-4625-B9E8-1DD5DD2A837D}"/>
    <cellStyle name="Currency 3 2 3 2 3 2 3" xfId="20275" xr:uid="{91502A56-191F-4FEE-A8D3-F5AF5090DE79}"/>
    <cellStyle name="Currency 3 2 3 2 3 2 4" xfId="28722" xr:uid="{43A5268E-A708-4324-9920-4E7F9B1D0188}"/>
    <cellStyle name="Currency 3 2 3 2 3 2 5" xfId="11834" xr:uid="{8A736A30-BFA8-43C2-A8B3-F0B37950C26B}"/>
    <cellStyle name="Currency 3 2 3 2 3 3" xfId="5465" xr:uid="{00000000-0005-0000-0000-0000080B0000}"/>
    <cellStyle name="Currency 3 2 3 2 3 3 2" xfId="22348" xr:uid="{77E527C5-805B-44BA-A4E8-7F5D9D734692}"/>
    <cellStyle name="Currency 3 2 3 2 3 3 3" xfId="30794" xr:uid="{6566EB01-C900-43F1-8D48-EC8770B4BD39}"/>
    <cellStyle name="Currency 3 2 3 2 3 3 4" xfId="13907" xr:uid="{EA0CE9EC-17B4-4C48-BD12-ED03D5ABC439}"/>
    <cellStyle name="Currency 3 2 3 2 3 4" xfId="18130" xr:uid="{82F870DB-344E-4858-A306-FD2D24BC8762}"/>
    <cellStyle name="Currency 3 2 3 2 3 5" xfId="26575" xr:uid="{C6D7B63E-CEA5-4AFC-A781-BAEA7F5982CA}"/>
    <cellStyle name="Currency 3 2 3 2 3 6" xfId="9689" xr:uid="{9A221F6B-2AF4-4AE7-9F3B-7E53E073FCDF}"/>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24906" xr:uid="{8CE5B7DC-96A7-44E8-9D83-F4A9163968FB}"/>
    <cellStyle name="Currency 3 2 3 2 4 2 2 3" xfId="33352" xr:uid="{66E83BAD-0FB5-4B1A-8723-7A5B91840DD7}"/>
    <cellStyle name="Currency 3 2 3 2 4 2 2 4" xfId="16465" xr:uid="{18673E00-2140-4AE6-9547-A000C4EFB08D}"/>
    <cellStyle name="Currency 3 2 3 2 4 2 3" xfId="20688" xr:uid="{846F53C1-D2FC-404D-87EA-21D7DB7BB6A7}"/>
    <cellStyle name="Currency 3 2 3 2 4 2 4" xfId="29135" xr:uid="{3A9F4B90-CECA-4F33-A485-78CC43777E1B}"/>
    <cellStyle name="Currency 3 2 3 2 4 2 5" xfId="12247" xr:uid="{51D83F30-3577-46FE-9758-CD61DB15C1B4}"/>
    <cellStyle name="Currency 3 2 3 2 4 3" xfId="5878" xr:uid="{00000000-0005-0000-0000-00000C0B0000}"/>
    <cellStyle name="Currency 3 2 3 2 4 3 2" xfId="22761" xr:uid="{E735FCE0-9D77-440A-988E-55D0FEB45B17}"/>
    <cellStyle name="Currency 3 2 3 2 4 3 3" xfId="31207" xr:uid="{29224726-5615-4225-BC2A-F5CD8C96BC25}"/>
    <cellStyle name="Currency 3 2 3 2 4 3 4" xfId="14320" xr:uid="{F57EA220-748E-4351-85FC-C927AD4A21F4}"/>
    <cellStyle name="Currency 3 2 3 2 4 4" xfId="18543" xr:uid="{F3A35F88-0A55-4702-A941-75BFC3E0B157}"/>
    <cellStyle name="Currency 3 2 3 2 4 5" xfId="26988" xr:uid="{B5E616A5-8529-4CC4-8B45-2E7C0A6E86E5}"/>
    <cellStyle name="Currency 3 2 3 2 4 6" xfId="10102" xr:uid="{F0394FDE-0EC5-4FC3-80C4-73196F61860C}"/>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25319" xr:uid="{18CC112C-08DF-4DB5-8F97-3BB579AA8647}"/>
    <cellStyle name="Currency 3 2 3 2 5 2 2 3" xfId="33765" xr:uid="{5CA94D3D-84CD-474D-8746-E4E66BA544F3}"/>
    <cellStyle name="Currency 3 2 3 2 5 2 2 4" xfId="16878" xr:uid="{1C5A41FA-3036-4CD3-9A22-1176034EDBD1}"/>
    <cellStyle name="Currency 3 2 3 2 5 2 3" xfId="21101" xr:uid="{C407E8D0-3F58-4F98-94AC-684F9D426A7F}"/>
    <cellStyle name="Currency 3 2 3 2 5 2 4" xfId="29548" xr:uid="{B7454A92-8093-4CA9-B863-61AB2BBCABB1}"/>
    <cellStyle name="Currency 3 2 3 2 5 2 5" xfId="12660" xr:uid="{B3D1E9D7-60B2-4582-A155-3F63F7A79E34}"/>
    <cellStyle name="Currency 3 2 3 2 5 3" xfId="6291" xr:uid="{00000000-0005-0000-0000-0000100B0000}"/>
    <cellStyle name="Currency 3 2 3 2 5 3 2" xfId="23174" xr:uid="{BB458484-D608-413E-9FEC-9E5E9ADA550B}"/>
    <cellStyle name="Currency 3 2 3 2 5 3 3" xfId="31620" xr:uid="{1D2DC3FD-4F01-4E2C-9A59-B54B4531EA25}"/>
    <cellStyle name="Currency 3 2 3 2 5 3 4" xfId="14733" xr:uid="{0D91155F-3755-45C7-BC65-1E69CB360D93}"/>
    <cellStyle name="Currency 3 2 3 2 5 4" xfId="18956" xr:uid="{7A10AC57-6D66-4CA8-A804-8CD0A2096500}"/>
    <cellStyle name="Currency 3 2 3 2 5 5" xfId="27401" xr:uid="{AB02F147-F4F8-4121-910D-CF5694D2FFDF}"/>
    <cellStyle name="Currency 3 2 3 2 5 6" xfId="10515" xr:uid="{7B23F30E-F410-4584-9262-1A7FC07B6695}"/>
    <cellStyle name="Currency 3 2 3 2 6" xfId="2419" xr:uid="{00000000-0005-0000-0000-0000110B0000}"/>
    <cellStyle name="Currency 3 2 3 2 6 2" xfId="6704" xr:uid="{00000000-0005-0000-0000-0000120B0000}"/>
    <cellStyle name="Currency 3 2 3 2 6 2 2" xfId="23587" xr:uid="{5438E029-86BF-41B9-ACF9-86AF9E907F03}"/>
    <cellStyle name="Currency 3 2 3 2 6 2 3" xfId="32033" xr:uid="{E8EEF466-671E-4A9B-8C6E-21B7B6BA7DE9}"/>
    <cellStyle name="Currency 3 2 3 2 6 2 4" xfId="15146" xr:uid="{3EDFEC36-4F8D-4BBC-B23B-F810D9A04FF6}"/>
    <cellStyle name="Currency 3 2 3 2 6 3" xfId="19369" xr:uid="{F0AFF7FD-BA16-49BE-A9A1-F51D41E2E64A}"/>
    <cellStyle name="Currency 3 2 3 2 6 4" xfId="27814" xr:uid="{B5BC5EF9-36DE-46AB-8FFE-93A999F0D995}"/>
    <cellStyle name="Currency 3 2 3 2 6 5" xfId="10928" xr:uid="{211AD2B3-A361-4256-BED8-755526CDFA90}"/>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23904" xr:uid="{EEF34834-5C1F-42C3-B5D0-9FC180C0F95E}"/>
    <cellStyle name="Currency 3 2 3 2 8 2 3" xfId="32350" xr:uid="{39AB3A2C-DA45-491F-98F9-9DB2A0EBD5A5}"/>
    <cellStyle name="Currency 3 2 3 2 8 2 4" xfId="15463" xr:uid="{FD4993BF-7889-4937-BD03-7E8B292F54D6}"/>
    <cellStyle name="Currency 3 2 3 2 8 3" xfId="19686" xr:uid="{4F3ADB07-25CF-40FF-BE4F-7D6766FBC7FC}"/>
    <cellStyle name="Currency 3 2 3 2 8 4" xfId="28133" xr:uid="{91F69D3F-DBF7-47BD-9064-581C069B5A84}"/>
    <cellStyle name="Currency 3 2 3 2 8 5" xfId="11245" xr:uid="{44692D2B-A1CC-469B-AD60-B5F914DF95AB}"/>
    <cellStyle name="Currency 3 2 3 2 9" xfId="4638" xr:uid="{00000000-0005-0000-0000-0000160B0000}"/>
    <cellStyle name="Currency 3 2 3 2 9 2" xfId="21521" xr:uid="{A78DB202-8D5D-4BDA-BDA9-76DDB4BCB573}"/>
    <cellStyle name="Currency 3 2 3 2 9 3" xfId="29967" xr:uid="{E1F8AED2-C7F9-434E-977F-1F290A9AA193}"/>
    <cellStyle name="Currency 3 2 3 2 9 4" xfId="13080" xr:uid="{01751F77-47C2-4C23-888F-1B4480EFA4B0}"/>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24079" xr:uid="{760D9A6A-6324-4B50-9A62-0DC1A7497DAB}"/>
    <cellStyle name="Currency 3 2 3 3 2 2 3" xfId="32525" xr:uid="{724751E4-36D5-47F5-BCA6-D02C9CB5015D}"/>
    <cellStyle name="Currency 3 2 3 3 2 2 4" xfId="15638" xr:uid="{3318F893-A8D1-44E7-801D-E5FAB1A8539C}"/>
    <cellStyle name="Currency 3 2 3 3 2 3" xfId="19861" xr:uid="{06055598-A712-47D9-ACBB-C1FCCEBF7312}"/>
    <cellStyle name="Currency 3 2 3 3 2 4" xfId="28308" xr:uid="{DCE12EBE-85B8-4942-909B-7987E39C8882}"/>
    <cellStyle name="Currency 3 2 3 3 2 5" xfId="11420" xr:uid="{8F16ABEE-D939-4345-97F0-68800969662A}"/>
    <cellStyle name="Currency 3 2 3 3 3" xfId="5051" xr:uid="{00000000-0005-0000-0000-00001A0B0000}"/>
    <cellStyle name="Currency 3 2 3 3 3 2" xfId="21934" xr:uid="{76E4FAE4-F667-48DC-9F9A-6C7918DAA597}"/>
    <cellStyle name="Currency 3 2 3 3 3 3" xfId="30380" xr:uid="{F0DC48D3-115D-4E3D-BD44-2BC91C5210BB}"/>
    <cellStyle name="Currency 3 2 3 3 3 4" xfId="13493" xr:uid="{E833AEAE-8697-46AE-99B8-072E3FF1B26D}"/>
    <cellStyle name="Currency 3 2 3 3 4" xfId="17716" xr:uid="{E8E33C88-ED59-4D97-925C-7A71CB48B3B8}"/>
    <cellStyle name="Currency 3 2 3 3 5" xfId="26161" xr:uid="{9CDF2A27-299C-4143-A227-B240761997D8}"/>
    <cellStyle name="Currency 3 2 3 3 6" xfId="9275" xr:uid="{83E5F92B-CD2D-4657-83D5-909B7FD4DA37}"/>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24492" xr:uid="{791FCBB8-EB1E-43FA-8072-529B1DF03417}"/>
    <cellStyle name="Currency 3 2 3 4 2 2 3" xfId="32938" xr:uid="{63C140C6-2740-4947-AF22-B7269181334D}"/>
    <cellStyle name="Currency 3 2 3 4 2 2 4" xfId="16051" xr:uid="{DF377091-8319-46C5-8DD0-7EF6D8377735}"/>
    <cellStyle name="Currency 3 2 3 4 2 3" xfId="20274" xr:uid="{084067D7-86D3-4709-A255-87040DC4DFCC}"/>
    <cellStyle name="Currency 3 2 3 4 2 4" xfId="28721" xr:uid="{E7E6E4BC-9217-4106-B2F9-47B2C80CB940}"/>
    <cellStyle name="Currency 3 2 3 4 2 5" xfId="11833" xr:uid="{652275F6-E95F-42B1-9E9A-19639CEEF9C3}"/>
    <cellStyle name="Currency 3 2 3 4 3" xfId="5464" xr:uid="{00000000-0005-0000-0000-00001E0B0000}"/>
    <cellStyle name="Currency 3 2 3 4 3 2" xfId="22347" xr:uid="{3C2A1F80-D8C3-4BE7-98DB-4294E5A87F47}"/>
    <cellStyle name="Currency 3 2 3 4 3 3" xfId="30793" xr:uid="{9F336931-19FB-4FC8-9279-5AA077D30D0E}"/>
    <cellStyle name="Currency 3 2 3 4 3 4" xfId="13906" xr:uid="{B15A0D15-6201-42CB-9612-6E136C82B446}"/>
    <cellStyle name="Currency 3 2 3 4 4" xfId="18129" xr:uid="{9877853F-24F2-40E4-923C-96A88A09831F}"/>
    <cellStyle name="Currency 3 2 3 4 5" xfId="26574" xr:uid="{6754B155-C05B-441A-B954-A3877C857B53}"/>
    <cellStyle name="Currency 3 2 3 4 6" xfId="9688" xr:uid="{F72ABE8E-B6AD-425B-B7B9-9C7C22EDA7DD}"/>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24905" xr:uid="{BAB2A8C4-3573-4D34-AB4D-A128C4152119}"/>
    <cellStyle name="Currency 3 2 3 5 2 2 3" xfId="33351" xr:uid="{DCA5F8C8-A444-4D7A-A61E-9357145A9D8F}"/>
    <cellStyle name="Currency 3 2 3 5 2 2 4" xfId="16464" xr:uid="{76CCFDAC-AE6E-444C-A67F-9E8FACE73949}"/>
    <cellStyle name="Currency 3 2 3 5 2 3" xfId="20687" xr:uid="{D853EE0D-0293-4BB9-8451-C98004FD3B67}"/>
    <cellStyle name="Currency 3 2 3 5 2 4" xfId="29134" xr:uid="{B2ECBE96-0C62-4AB4-8AE2-27372A8188C6}"/>
    <cellStyle name="Currency 3 2 3 5 2 5" xfId="12246" xr:uid="{C084D1C3-DABB-4105-A421-E2F42C31754D}"/>
    <cellStyle name="Currency 3 2 3 5 3" xfId="5877" xr:uid="{00000000-0005-0000-0000-0000220B0000}"/>
    <cellStyle name="Currency 3 2 3 5 3 2" xfId="22760" xr:uid="{21FE0AE7-61DB-4493-86ED-71E2FB21981D}"/>
    <cellStyle name="Currency 3 2 3 5 3 3" xfId="31206" xr:uid="{A5E0A87A-6AEE-4326-8BA4-4A855202A4A5}"/>
    <cellStyle name="Currency 3 2 3 5 3 4" xfId="14319" xr:uid="{007D7446-CA82-4251-B465-CE22C497D470}"/>
    <cellStyle name="Currency 3 2 3 5 4" xfId="18542" xr:uid="{81A26DD0-842F-4B70-8E56-B71C10C445D5}"/>
    <cellStyle name="Currency 3 2 3 5 5" xfId="26987" xr:uid="{A2E5DECE-54AB-4793-8B9D-DAB86A349709}"/>
    <cellStyle name="Currency 3 2 3 5 6" xfId="10101" xr:uid="{356AFB23-D922-414A-873C-2AB2D8CCFBF6}"/>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25318" xr:uid="{08B0FD8A-4CB7-4EC9-B0A2-A8F2344FF6B6}"/>
    <cellStyle name="Currency 3 2 3 6 2 2 3" xfId="33764" xr:uid="{A92BAD49-1C30-444E-8CD0-A7A1775DA224}"/>
    <cellStyle name="Currency 3 2 3 6 2 2 4" xfId="16877" xr:uid="{5C0116FB-1D53-46A8-A8E8-A57538BBA986}"/>
    <cellStyle name="Currency 3 2 3 6 2 3" xfId="21100" xr:uid="{EB4A9235-38A6-4D70-B357-7DEAFE78ED59}"/>
    <cellStyle name="Currency 3 2 3 6 2 4" xfId="29547" xr:uid="{CBD664F1-AB8E-4ED9-9C82-658E0347EB71}"/>
    <cellStyle name="Currency 3 2 3 6 2 5" xfId="12659" xr:uid="{48635685-9108-4C60-B160-94D1D2170D32}"/>
    <cellStyle name="Currency 3 2 3 6 3" xfId="6290" xr:uid="{00000000-0005-0000-0000-0000260B0000}"/>
    <cellStyle name="Currency 3 2 3 6 3 2" xfId="23173" xr:uid="{44555DF8-E617-4148-B3D7-15F27EC40061}"/>
    <cellStyle name="Currency 3 2 3 6 3 3" xfId="31619" xr:uid="{13A72162-FF09-4BC8-8096-991FF3DB7DE0}"/>
    <cellStyle name="Currency 3 2 3 6 3 4" xfId="14732" xr:uid="{86752C06-27DF-44AD-9C0E-A78EDD333CE0}"/>
    <cellStyle name="Currency 3 2 3 6 4" xfId="18955" xr:uid="{E1679478-3EE4-45A1-B3FD-0740C535E583}"/>
    <cellStyle name="Currency 3 2 3 6 5" xfId="27400" xr:uid="{EA07A9C8-6FF2-4BC7-A7FF-E6FCE59686F7}"/>
    <cellStyle name="Currency 3 2 3 6 6" xfId="10514" xr:uid="{670B2F61-FE50-42F0-A1F9-A6B2E3D70BF1}"/>
    <cellStyle name="Currency 3 2 3 7" xfId="2418" xr:uid="{00000000-0005-0000-0000-0000270B0000}"/>
    <cellStyle name="Currency 3 2 3 7 2" xfId="6703" xr:uid="{00000000-0005-0000-0000-0000280B0000}"/>
    <cellStyle name="Currency 3 2 3 7 2 2" xfId="23586" xr:uid="{BC437FFB-8EBE-4ECC-A2C2-C7138C6AB05A}"/>
    <cellStyle name="Currency 3 2 3 7 2 3" xfId="32032" xr:uid="{E08E5C92-65FC-49E0-A826-69576073CDED}"/>
    <cellStyle name="Currency 3 2 3 7 2 4" xfId="15145" xr:uid="{71AAE67B-6BE1-432F-8FD2-C5A48A944E31}"/>
    <cellStyle name="Currency 3 2 3 7 3" xfId="19368" xr:uid="{EE1C34BE-4F7C-4653-B986-3F5DBCBB740E}"/>
    <cellStyle name="Currency 3 2 3 7 4" xfId="27813" xr:uid="{EE23D9C0-A2E8-4B35-9BD9-99C331896268}"/>
    <cellStyle name="Currency 3 2 3 7 5" xfId="10927" xr:uid="{1EE3B342-FB57-4675-A61C-0E7079823ED4}"/>
    <cellStyle name="Currency 3 2 3 8" xfId="2715" xr:uid="{00000000-0005-0000-0000-0000290B0000}"/>
    <cellStyle name="Currency 3 2 3 9" xfId="2796" xr:uid="{00000000-0005-0000-0000-00002A0B0000}"/>
    <cellStyle name="Currency 3 2 3 9 2" xfId="7020" xr:uid="{00000000-0005-0000-0000-00002B0B0000}"/>
    <cellStyle name="Currency 3 2 3 9 2 2" xfId="23903" xr:uid="{67CE384C-C80B-4EAF-A37E-254160DD21CD}"/>
    <cellStyle name="Currency 3 2 3 9 2 3" xfId="32349" xr:uid="{09E0DE0F-08B1-4842-9549-0D0E23504ABE}"/>
    <cellStyle name="Currency 3 2 3 9 2 4" xfId="15462" xr:uid="{C10104CA-C557-4601-8E8C-63A76DA46F3C}"/>
    <cellStyle name="Currency 3 2 3 9 3" xfId="19685" xr:uid="{0B9FA3A4-EDF0-4BBA-9E43-31F5D9220E1F}"/>
    <cellStyle name="Currency 3 2 3 9 4" xfId="28132" xr:uid="{2806FABE-62D3-47AE-BABF-B19796D34EDF}"/>
    <cellStyle name="Currency 3 2 3 9 5" xfId="11244" xr:uid="{6BF7716A-B47B-4645-810A-86FE4B83A47B}"/>
    <cellStyle name="Currency 3 2 4" xfId="184" xr:uid="{00000000-0005-0000-0000-00002C0B0000}"/>
    <cellStyle name="Currency 3 2 4 10" xfId="17304" xr:uid="{4B5E8427-3DFC-4B10-A6CC-C215D8A952AF}"/>
    <cellStyle name="Currency 3 2 4 11" xfId="25747" xr:uid="{0F031083-A6C7-4BDE-BE80-C4D68FA9E94A}"/>
    <cellStyle name="Currency 3 2 4 12" xfId="8863" xr:uid="{112A8D29-BDDC-4CD6-A74C-644BE5B57E1A}"/>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24081" xr:uid="{3BD9E8CE-74FF-4E89-9830-3C27E5E65C18}"/>
    <cellStyle name="Currency 3 2 4 2 2 2 3" xfId="32527" xr:uid="{05B9D65B-195C-4C40-8BFF-6761F7C1C2B0}"/>
    <cellStyle name="Currency 3 2 4 2 2 2 4" xfId="15640" xr:uid="{0E26BA0D-2060-4233-B5CB-0D86BB53956E}"/>
    <cellStyle name="Currency 3 2 4 2 2 3" xfId="19863" xr:uid="{757453A4-FA3B-41E1-B5B7-7A3D65EC8FFC}"/>
    <cellStyle name="Currency 3 2 4 2 2 4" xfId="28310" xr:uid="{C0969E09-BDA1-44C2-8FF4-0CC791032952}"/>
    <cellStyle name="Currency 3 2 4 2 2 5" xfId="11422" xr:uid="{ABE2FD4E-B843-4C56-9A9A-FBBC74F72ADF}"/>
    <cellStyle name="Currency 3 2 4 2 3" xfId="5053" xr:uid="{00000000-0005-0000-0000-0000300B0000}"/>
    <cellStyle name="Currency 3 2 4 2 3 2" xfId="21936" xr:uid="{B34C91E4-C70D-4FD1-8F8D-66F6D908690B}"/>
    <cellStyle name="Currency 3 2 4 2 3 3" xfId="30382" xr:uid="{C9FB89E6-7A38-4353-A5F2-42C930DB4C40}"/>
    <cellStyle name="Currency 3 2 4 2 3 4" xfId="13495" xr:uid="{71725E51-FA46-470D-8F92-A456CFDBC889}"/>
    <cellStyle name="Currency 3 2 4 2 4" xfId="17718" xr:uid="{40005ACF-00B6-4A90-99E5-F07557932560}"/>
    <cellStyle name="Currency 3 2 4 2 5" xfId="26163" xr:uid="{577910AC-406B-4737-B339-E094C92EC6DD}"/>
    <cellStyle name="Currency 3 2 4 2 6" xfId="9277" xr:uid="{911EED81-7896-4CB2-8B4B-EEC3DC1A519F}"/>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24494" xr:uid="{D2AAD017-C5B4-4600-B7FC-4F8C326253D5}"/>
    <cellStyle name="Currency 3 2 4 3 2 2 3" xfId="32940" xr:uid="{47BC4F4B-3DBD-4468-84DF-8B720609AEB9}"/>
    <cellStyle name="Currency 3 2 4 3 2 2 4" xfId="16053" xr:uid="{67D87386-CD83-48D9-A2B8-FD0BBE41AF86}"/>
    <cellStyle name="Currency 3 2 4 3 2 3" xfId="20276" xr:uid="{FC45AEBD-F73D-4D5F-8001-AD53BF3CA1D6}"/>
    <cellStyle name="Currency 3 2 4 3 2 4" xfId="28723" xr:uid="{EBEEBBEF-20E4-4037-8828-08BE55645460}"/>
    <cellStyle name="Currency 3 2 4 3 2 5" xfId="11835" xr:uid="{A4501C3D-6C64-4B3E-8BDE-0AFF1ECEC35B}"/>
    <cellStyle name="Currency 3 2 4 3 3" xfId="5466" xr:uid="{00000000-0005-0000-0000-0000340B0000}"/>
    <cellStyle name="Currency 3 2 4 3 3 2" xfId="22349" xr:uid="{292BCBF6-017F-4390-A7B6-D4014FB87F1E}"/>
    <cellStyle name="Currency 3 2 4 3 3 3" xfId="30795" xr:uid="{7140D0C4-4E71-4AB8-9C5A-5E585AC41711}"/>
    <cellStyle name="Currency 3 2 4 3 3 4" xfId="13908" xr:uid="{772A8D78-70BB-484C-B510-23FFAEAC20BE}"/>
    <cellStyle name="Currency 3 2 4 3 4" xfId="18131" xr:uid="{05CF7737-0917-4557-B043-6E76D8FF2292}"/>
    <cellStyle name="Currency 3 2 4 3 5" xfId="26576" xr:uid="{8D693D27-5264-4CF5-8789-38ACA60224B1}"/>
    <cellStyle name="Currency 3 2 4 3 6" xfId="9690" xr:uid="{E5F92923-7B5A-4B31-BF02-B09902976E05}"/>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24907" xr:uid="{B6F82409-F5A8-4B7A-BB12-A518E101DC08}"/>
    <cellStyle name="Currency 3 2 4 4 2 2 3" xfId="33353" xr:uid="{207B7DD4-70A5-44FE-857F-E81C856DFF25}"/>
    <cellStyle name="Currency 3 2 4 4 2 2 4" xfId="16466" xr:uid="{C84680D1-7B04-4E5A-9DE2-BF61BF870DD6}"/>
    <cellStyle name="Currency 3 2 4 4 2 3" xfId="20689" xr:uid="{263B58B2-6629-4ACA-BA1E-52A7625326EC}"/>
    <cellStyle name="Currency 3 2 4 4 2 4" xfId="29136" xr:uid="{A98FCF81-1669-4FFF-8804-BE2E43AEE286}"/>
    <cellStyle name="Currency 3 2 4 4 2 5" xfId="12248" xr:uid="{E6C2CED2-FB26-427D-BFA9-D7E64BECD063}"/>
    <cellStyle name="Currency 3 2 4 4 3" xfId="5879" xr:uid="{00000000-0005-0000-0000-0000380B0000}"/>
    <cellStyle name="Currency 3 2 4 4 3 2" xfId="22762" xr:uid="{38A1940D-99B0-4A7F-B8C4-360A96C5B2E6}"/>
    <cellStyle name="Currency 3 2 4 4 3 3" xfId="31208" xr:uid="{CAC2A5E3-AFD0-4A12-87CC-56C608BAE53A}"/>
    <cellStyle name="Currency 3 2 4 4 3 4" xfId="14321" xr:uid="{CE58C51D-7CA0-4794-9D8C-8AEF3A65B3DF}"/>
    <cellStyle name="Currency 3 2 4 4 4" xfId="18544" xr:uid="{85508262-F71F-40EE-985F-A3B858D5A198}"/>
    <cellStyle name="Currency 3 2 4 4 5" xfId="26989" xr:uid="{E1749905-BC32-49CA-9A2C-96271906DB76}"/>
    <cellStyle name="Currency 3 2 4 4 6" xfId="10103" xr:uid="{8E043D43-B7C0-4BD5-985C-1EF37CEBFF7F}"/>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25320" xr:uid="{4CD236A7-C348-4008-9D68-870199503C54}"/>
    <cellStyle name="Currency 3 2 4 5 2 2 3" xfId="33766" xr:uid="{FF50C0B7-3DCE-4C6B-B5D0-916A1AAF034B}"/>
    <cellStyle name="Currency 3 2 4 5 2 2 4" xfId="16879" xr:uid="{FB42912B-F0FF-47F6-8098-2C9A0BEFEA79}"/>
    <cellStyle name="Currency 3 2 4 5 2 3" xfId="21102" xr:uid="{665824B6-52EF-46F8-A6FC-2E214463B562}"/>
    <cellStyle name="Currency 3 2 4 5 2 4" xfId="29549" xr:uid="{7A3FA454-BD07-4180-805A-03790F3D8B83}"/>
    <cellStyle name="Currency 3 2 4 5 2 5" xfId="12661" xr:uid="{4ABCBD04-635C-4485-9767-BA646A80A88A}"/>
    <cellStyle name="Currency 3 2 4 5 3" xfId="6292" xr:uid="{00000000-0005-0000-0000-00003C0B0000}"/>
    <cellStyle name="Currency 3 2 4 5 3 2" xfId="23175" xr:uid="{7D28623F-70E9-4EC6-BB6C-3C6D6936AB83}"/>
    <cellStyle name="Currency 3 2 4 5 3 3" xfId="31621" xr:uid="{170B7A03-8917-4599-A18D-D4FA27C0501D}"/>
    <cellStyle name="Currency 3 2 4 5 3 4" xfId="14734" xr:uid="{CA187E22-5D67-4DDE-B335-FCED3AC825A2}"/>
    <cellStyle name="Currency 3 2 4 5 4" xfId="18957" xr:uid="{CFB7808F-59B5-471D-BE41-81D449CC34D1}"/>
    <cellStyle name="Currency 3 2 4 5 5" xfId="27402" xr:uid="{03D086D1-1433-4F6E-8B9B-440860E0F324}"/>
    <cellStyle name="Currency 3 2 4 5 6" xfId="10516" xr:uid="{6F015D0B-84EE-40E2-8E05-B08DD3A5A053}"/>
    <cellStyle name="Currency 3 2 4 6" xfId="2420" xr:uid="{00000000-0005-0000-0000-00003D0B0000}"/>
    <cellStyle name="Currency 3 2 4 6 2" xfId="6705" xr:uid="{00000000-0005-0000-0000-00003E0B0000}"/>
    <cellStyle name="Currency 3 2 4 6 2 2" xfId="23588" xr:uid="{916DC719-F368-4E84-8835-63B6E94350AE}"/>
    <cellStyle name="Currency 3 2 4 6 2 3" xfId="32034" xr:uid="{AE9B4AF9-9396-4713-9485-26ABC07B9D1A}"/>
    <cellStyle name="Currency 3 2 4 6 2 4" xfId="15147" xr:uid="{CE48C005-FE32-4002-989E-4BC73F8769C3}"/>
    <cellStyle name="Currency 3 2 4 6 3" xfId="19370" xr:uid="{F7F04435-6730-4AE7-8075-EC39BFC9911B}"/>
    <cellStyle name="Currency 3 2 4 6 4" xfId="27815" xr:uid="{5E0BA090-37ED-4E46-A2B6-C4F5BEE90296}"/>
    <cellStyle name="Currency 3 2 4 6 5" xfId="10929" xr:uid="{CB89FA0B-BE5A-4B9B-B414-C1848A818E6B}"/>
    <cellStyle name="Currency 3 2 4 7" xfId="2717" xr:uid="{00000000-0005-0000-0000-00003F0B0000}"/>
    <cellStyle name="Currency 3 2 4 8" xfId="2798" xr:uid="{00000000-0005-0000-0000-0000400B0000}"/>
    <cellStyle name="Currency 3 2 4 8 2" xfId="7022" xr:uid="{00000000-0005-0000-0000-0000410B0000}"/>
    <cellStyle name="Currency 3 2 4 8 2 2" xfId="23905" xr:uid="{30927BE6-1729-4ED4-8CEB-52BADFDC5759}"/>
    <cellStyle name="Currency 3 2 4 8 2 3" xfId="32351" xr:uid="{F8D3FF40-6172-4596-85C8-C17482D21CD0}"/>
    <cellStyle name="Currency 3 2 4 8 2 4" xfId="15464" xr:uid="{78885B6C-694F-4356-A092-126F95C2262F}"/>
    <cellStyle name="Currency 3 2 4 8 3" xfId="19687" xr:uid="{D83BA025-116E-44EA-908D-30C2A2E980A0}"/>
    <cellStyle name="Currency 3 2 4 8 4" xfId="28134" xr:uid="{4B3A616D-605E-4254-B7B9-C0AAB563D434}"/>
    <cellStyle name="Currency 3 2 4 8 5" xfId="11246" xr:uid="{71CDA7ED-56C7-4480-98DA-3441C574465D}"/>
    <cellStyle name="Currency 3 2 4 9" xfId="4639" xr:uid="{00000000-0005-0000-0000-0000420B0000}"/>
    <cellStyle name="Currency 3 2 4 9 2" xfId="21522" xr:uid="{1D474AFA-3331-4E46-AC4A-D7D8992F2F69}"/>
    <cellStyle name="Currency 3 2 4 9 3" xfId="29968" xr:uid="{F8A2B4C5-4A2D-498E-B34A-68E1A2680654}"/>
    <cellStyle name="Currency 3 2 4 9 4" xfId="13081" xr:uid="{47242084-995F-4CE7-B020-92E446A9E009}"/>
    <cellStyle name="Currency 3 2 5" xfId="185" xr:uid="{00000000-0005-0000-0000-0000430B0000}"/>
    <cellStyle name="Currency 3 2 5 10" xfId="17305" xr:uid="{5104027D-E725-4CF9-8132-8FE66CFAC341}"/>
    <cellStyle name="Currency 3 2 5 11" xfId="25748" xr:uid="{B45705B1-6DBF-49ED-B024-01F893E173EE}"/>
    <cellStyle name="Currency 3 2 5 12" xfId="8864" xr:uid="{4EFE7CCD-BB04-4419-AEB5-B6DCE03228EC}"/>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24082" xr:uid="{B7A9A136-3C8E-4995-A9CF-462543766223}"/>
    <cellStyle name="Currency 3 2 5 2 2 2 3" xfId="32528" xr:uid="{DF395CE9-F506-40E9-9255-7F7E059C260B}"/>
    <cellStyle name="Currency 3 2 5 2 2 2 4" xfId="15641" xr:uid="{CEB486B8-E02E-4952-A9BD-68CEA8872CAA}"/>
    <cellStyle name="Currency 3 2 5 2 2 3" xfId="19864" xr:uid="{6A8B413B-053D-4E78-8F12-A8FB09A8EBDA}"/>
    <cellStyle name="Currency 3 2 5 2 2 4" xfId="28311" xr:uid="{63AC4F63-4504-4D85-863B-D14DEDEFE355}"/>
    <cellStyle name="Currency 3 2 5 2 2 5" xfId="11423" xr:uid="{6092C8C7-0F03-4D8E-AFF9-3E7DCF687E91}"/>
    <cellStyle name="Currency 3 2 5 2 3" xfId="5054" xr:uid="{00000000-0005-0000-0000-0000470B0000}"/>
    <cellStyle name="Currency 3 2 5 2 3 2" xfId="21937" xr:uid="{0618591C-7576-4023-8617-2D78875A88F2}"/>
    <cellStyle name="Currency 3 2 5 2 3 3" xfId="30383" xr:uid="{8D6C15A1-ADA0-4E0D-9AD8-2AC66CDE7F9A}"/>
    <cellStyle name="Currency 3 2 5 2 3 4" xfId="13496" xr:uid="{B694B2E4-5805-491C-A116-1AC2D6A348D0}"/>
    <cellStyle name="Currency 3 2 5 2 4" xfId="17719" xr:uid="{5BE8E289-5578-41D7-A36E-B51371F2288A}"/>
    <cellStyle name="Currency 3 2 5 2 5" xfId="26164" xr:uid="{51377B6C-61DF-483F-A08F-446511792968}"/>
    <cellStyle name="Currency 3 2 5 2 6" xfId="9278" xr:uid="{67E8CEE9-FE08-4BCE-8688-2DA09D0D7927}"/>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24495" xr:uid="{D221E0C1-3337-4D04-86AD-058DB4F9F1D1}"/>
    <cellStyle name="Currency 3 2 5 3 2 2 3" xfId="32941" xr:uid="{B20F16CF-4375-4D36-A3DE-8CF4EE428B61}"/>
    <cellStyle name="Currency 3 2 5 3 2 2 4" xfId="16054" xr:uid="{1EAD81E4-6387-4C3A-919F-C48825511232}"/>
    <cellStyle name="Currency 3 2 5 3 2 3" xfId="20277" xr:uid="{0634DD32-8F9B-45E8-A2C6-86208668B5C6}"/>
    <cellStyle name="Currency 3 2 5 3 2 4" xfId="28724" xr:uid="{0D861D0A-B5B5-48FE-8405-D9E39E4E2376}"/>
    <cellStyle name="Currency 3 2 5 3 2 5" xfId="11836" xr:uid="{9CA68268-1A97-4150-8A16-CE9138C1CE6C}"/>
    <cellStyle name="Currency 3 2 5 3 3" xfId="5467" xr:uid="{00000000-0005-0000-0000-00004B0B0000}"/>
    <cellStyle name="Currency 3 2 5 3 3 2" xfId="22350" xr:uid="{C97AE1B2-A812-43AB-B3B4-0222109B1592}"/>
    <cellStyle name="Currency 3 2 5 3 3 3" xfId="30796" xr:uid="{E24BB3E4-2296-49A8-A7A2-5EA1AA78AC96}"/>
    <cellStyle name="Currency 3 2 5 3 3 4" xfId="13909" xr:uid="{F4026F0B-EC86-4D9E-B7F6-AA7F1B10D28F}"/>
    <cellStyle name="Currency 3 2 5 3 4" xfId="18132" xr:uid="{356B00AF-FF63-42CD-A3ED-3C5381106900}"/>
    <cellStyle name="Currency 3 2 5 3 5" xfId="26577" xr:uid="{E4F6FC0A-8706-49EB-8F24-89690F762334}"/>
    <cellStyle name="Currency 3 2 5 3 6" xfId="9691" xr:uid="{DCF4202E-8D0F-43D5-8954-51265D0782F4}"/>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24908" xr:uid="{B06A5FCA-35F7-4C8D-B31B-935D600B0BA6}"/>
    <cellStyle name="Currency 3 2 5 4 2 2 3" xfId="33354" xr:uid="{A01B31D1-AC5A-44FD-A474-1AD665D18CC5}"/>
    <cellStyle name="Currency 3 2 5 4 2 2 4" xfId="16467" xr:uid="{B0D8A333-A15A-4303-A4D2-7B55FE0DDAF9}"/>
    <cellStyle name="Currency 3 2 5 4 2 3" xfId="20690" xr:uid="{DBB4CD21-7DC9-4529-9B95-93FF577D39D8}"/>
    <cellStyle name="Currency 3 2 5 4 2 4" xfId="29137" xr:uid="{250AAC03-C483-4523-A63C-7BF970668B44}"/>
    <cellStyle name="Currency 3 2 5 4 2 5" xfId="12249" xr:uid="{37A437A9-BB48-4077-82AE-7170FC00E2DF}"/>
    <cellStyle name="Currency 3 2 5 4 3" xfId="5880" xr:uid="{00000000-0005-0000-0000-00004F0B0000}"/>
    <cellStyle name="Currency 3 2 5 4 3 2" xfId="22763" xr:uid="{B7A7F722-ECCF-406A-B16C-80319A6C3655}"/>
    <cellStyle name="Currency 3 2 5 4 3 3" xfId="31209" xr:uid="{AB14A4B7-8BD4-4C0D-B6D8-4DE8FF13200B}"/>
    <cellStyle name="Currency 3 2 5 4 3 4" xfId="14322" xr:uid="{0AA09DA7-A929-40AE-B28E-AF478812AB27}"/>
    <cellStyle name="Currency 3 2 5 4 4" xfId="18545" xr:uid="{0CDEFEB3-874F-41AE-8D9D-81B6CBD2ADFF}"/>
    <cellStyle name="Currency 3 2 5 4 5" xfId="26990" xr:uid="{7721D001-2F2A-43C4-BC99-636FE3C88FC8}"/>
    <cellStyle name="Currency 3 2 5 4 6" xfId="10104" xr:uid="{0E9E61FD-DF8F-4C2D-94EF-39B456734584}"/>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25321" xr:uid="{089639AB-BD73-4ABC-925E-92F9D03E9AD3}"/>
    <cellStyle name="Currency 3 2 5 5 2 2 3" xfId="33767" xr:uid="{D8C338B9-37A3-4D6D-AFF5-225CB45B0961}"/>
    <cellStyle name="Currency 3 2 5 5 2 2 4" xfId="16880" xr:uid="{0161A537-6923-4A71-B30B-BEE0DEB8ACBB}"/>
    <cellStyle name="Currency 3 2 5 5 2 3" xfId="21103" xr:uid="{4D93CDA0-6201-4EFF-BA9F-4CE2D735D6AB}"/>
    <cellStyle name="Currency 3 2 5 5 2 4" xfId="29550" xr:uid="{C18F114B-9E73-43A2-AE92-EB4BDE710DF7}"/>
    <cellStyle name="Currency 3 2 5 5 2 5" xfId="12662" xr:uid="{EEFFA7C7-D89F-4EB9-8C9D-0F536FA5859E}"/>
    <cellStyle name="Currency 3 2 5 5 3" xfId="6293" xr:uid="{00000000-0005-0000-0000-0000530B0000}"/>
    <cellStyle name="Currency 3 2 5 5 3 2" xfId="23176" xr:uid="{69E65333-FEDB-4AC2-AB5B-422283FA4F79}"/>
    <cellStyle name="Currency 3 2 5 5 3 3" xfId="31622" xr:uid="{2DF9F944-C24B-4373-AD02-E0D83F3BCC03}"/>
    <cellStyle name="Currency 3 2 5 5 3 4" xfId="14735" xr:uid="{CB05EF6A-2DDD-4F86-9FC2-C82D96D2FAA2}"/>
    <cellStyle name="Currency 3 2 5 5 4" xfId="18958" xr:uid="{458EDB8E-A568-49D6-AAB8-1FAC38676EF0}"/>
    <cellStyle name="Currency 3 2 5 5 5" xfId="27403" xr:uid="{4DDEDD36-7108-4582-B721-99289D036D12}"/>
    <cellStyle name="Currency 3 2 5 5 6" xfId="10517" xr:uid="{353469F8-552A-42CD-B659-223B5E14340D}"/>
    <cellStyle name="Currency 3 2 5 6" xfId="2421" xr:uid="{00000000-0005-0000-0000-0000540B0000}"/>
    <cellStyle name="Currency 3 2 5 6 2" xfId="6706" xr:uid="{00000000-0005-0000-0000-0000550B0000}"/>
    <cellStyle name="Currency 3 2 5 6 2 2" xfId="23589" xr:uid="{3713D71A-93B9-42A5-BF7B-9722F4733673}"/>
    <cellStyle name="Currency 3 2 5 6 2 3" xfId="32035" xr:uid="{D5D6D0D4-3743-43B0-83AA-788639F79F69}"/>
    <cellStyle name="Currency 3 2 5 6 2 4" xfId="15148" xr:uid="{1CA89DB5-50E5-4647-96DE-BEDEA4F6583A}"/>
    <cellStyle name="Currency 3 2 5 6 3" xfId="19371" xr:uid="{907AEB3D-CEB2-4359-B136-84CC0AB26FAF}"/>
    <cellStyle name="Currency 3 2 5 6 4" xfId="27816" xr:uid="{A24E7036-1B58-4A63-B6EF-3DB2A1C81543}"/>
    <cellStyle name="Currency 3 2 5 6 5" xfId="10930" xr:uid="{F09FAF9D-FCE0-48C0-8264-A78C1EB6F55A}"/>
    <cellStyle name="Currency 3 2 5 7" xfId="2718" xr:uid="{00000000-0005-0000-0000-0000560B0000}"/>
    <cellStyle name="Currency 3 2 5 8" xfId="2799" xr:uid="{00000000-0005-0000-0000-0000570B0000}"/>
    <cellStyle name="Currency 3 2 5 8 2" xfId="7023" xr:uid="{00000000-0005-0000-0000-0000580B0000}"/>
    <cellStyle name="Currency 3 2 5 8 2 2" xfId="23906" xr:uid="{A09C5720-A95F-4761-B3D0-AF3CAB03C754}"/>
    <cellStyle name="Currency 3 2 5 8 2 3" xfId="32352" xr:uid="{9DEA3775-0644-4D7C-AE43-6EAADE0900AE}"/>
    <cellStyle name="Currency 3 2 5 8 2 4" xfId="15465" xr:uid="{E8264456-18DF-476E-A07B-F8C40B92013E}"/>
    <cellStyle name="Currency 3 2 5 8 3" xfId="19688" xr:uid="{E0C36BDE-B830-405A-B8AB-17420F437290}"/>
    <cellStyle name="Currency 3 2 5 8 4" xfId="28135" xr:uid="{4C853BD7-CCBB-4D00-A2BE-2A295DB0F9ED}"/>
    <cellStyle name="Currency 3 2 5 8 5" xfId="11247" xr:uid="{280516E2-0663-4157-B044-42C7721A9F7D}"/>
    <cellStyle name="Currency 3 2 5 9" xfId="4640" xr:uid="{00000000-0005-0000-0000-0000590B0000}"/>
    <cellStyle name="Currency 3 2 5 9 2" xfId="21523" xr:uid="{095C2E84-6A1F-4218-856B-CEB28FE2A893}"/>
    <cellStyle name="Currency 3 2 5 9 3" xfId="29969" xr:uid="{895E6248-50B6-4300-8A02-01498A4884B1}"/>
    <cellStyle name="Currency 3 2 5 9 4" xfId="13082" xr:uid="{40D91FBF-C8B5-45FD-91B7-B4ECAE1F701D}"/>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23907" xr:uid="{3591887D-D2B7-45B0-B180-312700F7CB43}"/>
    <cellStyle name="Currency 5 2 2 2 10 2 3" xfId="32353" xr:uid="{1205DD5E-4A2B-4EB2-9695-DD32EC2D9E20}"/>
    <cellStyle name="Currency 5 2 2 2 10 2 4" xfId="15466" xr:uid="{C8D47E9E-1C61-479D-B35A-9DFE05ECB142}"/>
    <cellStyle name="Currency 5 2 2 2 10 3" xfId="19689" xr:uid="{E5EA06C3-5614-4FDB-99F4-21DC7A926A2A}"/>
    <cellStyle name="Currency 5 2 2 2 10 4" xfId="28136" xr:uid="{EEFD1058-E595-4257-8CAB-61C24E1AB030}"/>
    <cellStyle name="Currency 5 2 2 2 10 5" xfId="11248" xr:uid="{43DC091D-FC9A-4EC7-9DEA-5BE5A62C5A2A}"/>
    <cellStyle name="Currency 5 2 2 2 11" xfId="4641" xr:uid="{00000000-0005-0000-0000-00006C0B0000}"/>
    <cellStyle name="Currency 5 2 2 2 11 2" xfId="21524" xr:uid="{1977EB7E-3ECA-421B-8BB5-74AA0C0EFA3B}"/>
    <cellStyle name="Currency 5 2 2 2 11 3" xfId="29970" xr:uid="{36B2DF5E-2066-4349-8C22-6F8EB88B5A84}"/>
    <cellStyle name="Currency 5 2 2 2 11 4" xfId="13083" xr:uid="{04024A85-E88B-4F8A-9DD0-BA5F52CEDA1D}"/>
    <cellStyle name="Currency 5 2 2 2 12" xfId="17306" xr:uid="{960ADAB0-0EF5-46D8-A452-4A86B50BDB95}"/>
    <cellStyle name="Currency 5 2 2 2 13" xfId="25749" xr:uid="{9FC0A09F-3C1C-469A-AD74-AE25E56318FA}"/>
    <cellStyle name="Currency 5 2 2 2 14" xfId="8865" xr:uid="{84C082A9-4246-42B3-A7AB-980BD5C2189A}"/>
    <cellStyle name="Currency 5 2 2 2 2" xfId="197" xr:uid="{00000000-0005-0000-0000-00006D0B0000}"/>
    <cellStyle name="Currency 5 2 2 2 2 10" xfId="4642" xr:uid="{00000000-0005-0000-0000-00006E0B0000}"/>
    <cellStyle name="Currency 5 2 2 2 2 10 2" xfId="21525" xr:uid="{98478D9C-69ED-439C-906B-594C5A182ED0}"/>
    <cellStyle name="Currency 5 2 2 2 2 10 3" xfId="29971" xr:uid="{DD3A06FB-5DEE-4048-8642-CB810C94BABA}"/>
    <cellStyle name="Currency 5 2 2 2 2 10 4" xfId="13084" xr:uid="{80D82DA9-8C78-41E6-B875-4B96233147A5}"/>
    <cellStyle name="Currency 5 2 2 2 2 11" xfId="17307" xr:uid="{DBE17C90-F4D9-493A-A44A-DDCB17495F0B}"/>
    <cellStyle name="Currency 5 2 2 2 2 12" xfId="25750" xr:uid="{FD0D69B2-3AC2-48EC-9BF2-521FCE14F3CD}"/>
    <cellStyle name="Currency 5 2 2 2 2 13" xfId="8866" xr:uid="{D68168AD-25D4-4FDE-83F4-8B1889EE69C7}"/>
    <cellStyle name="Currency 5 2 2 2 2 2" xfId="198" xr:uid="{00000000-0005-0000-0000-00006F0B0000}"/>
    <cellStyle name="Currency 5 2 2 2 2 2 10" xfId="17308" xr:uid="{75BE7A0B-7671-4B43-A9FA-58CC65F41679}"/>
    <cellStyle name="Currency 5 2 2 2 2 2 11" xfId="25751" xr:uid="{8CAACB03-A864-4FBD-894B-1992DEBE0B2E}"/>
    <cellStyle name="Currency 5 2 2 2 2 2 12" xfId="8867" xr:uid="{4345C3CD-6663-4639-9F9C-73544E4EAE16}"/>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24085" xr:uid="{0041DCAF-1190-4AF2-8DC4-EC7DC4209750}"/>
    <cellStyle name="Currency 5 2 2 2 2 2 2 2 2 3" xfId="32531" xr:uid="{1338535D-12D2-4FCB-8AC3-5E1263F9B8D6}"/>
    <cellStyle name="Currency 5 2 2 2 2 2 2 2 2 4" xfId="15644" xr:uid="{9854F59A-79E5-4380-B129-7AFBD43B2C3C}"/>
    <cellStyle name="Currency 5 2 2 2 2 2 2 2 3" xfId="19867" xr:uid="{876EEB1E-3DF5-4F4D-8D05-C1645B90ADC3}"/>
    <cellStyle name="Currency 5 2 2 2 2 2 2 2 4" xfId="28314" xr:uid="{AF6145CB-8C93-4E1A-843F-00EC6AAD7012}"/>
    <cellStyle name="Currency 5 2 2 2 2 2 2 2 5" xfId="11426" xr:uid="{E3F2433E-F4B1-45D5-9FF6-696EB63ACC8B}"/>
    <cellStyle name="Currency 5 2 2 2 2 2 2 3" xfId="5057" xr:uid="{00000000-0005-0000-0000-0000730B0000}"/>
    <cellStyle name="Currency 5 2 2 2 2 2 2 3 2" xfId="21940" xr:uid="{8081439A-48ED-40EC-A925-29C21B31771D}"/>
    <cellStyle name="Currency 5 2 2 2 2 2 2 3 3" xfId="30386" xr:uid="{EF565FFA-4D77-40B5-97A8-CAC267188D77}"/>
    <cellStyle name="Currency 5 2 2 2 2 2 2 3 4" xfId="13499" xr:uid="{9067067F-0772-4733-B26A-2BC281EF13ED}"/>
    <cellStyle name="Currency 5 2 2 2 2 2 2 4" xfId="17722" xr:uid="{477AE9CD-FFAC-43C6-8091-3691E5646383}"/>
    <cellStyle name="Currency 5 2 2 2 2 2 2 5" xfId="26167" xr:uid="{0B9094CE-9FE3-456C-8B89-845A45789103}"/>
    <cellStyle name="Currency 5 2 2 2 2 2 2 6" xfId="9281" xr:uid="{DBE688BB-61E8-48FF-8B1E-59FEA7CCA1B7}"/>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24498" xr:uid="{59943203-5F43-44AE-94E8-C52FAA901135}"/>
    <cellStyle name="Currency 5 2 2 2 2 2 3 2 2 3" xfId="32944" xr:uid="{2EF8FAD4-AD9F-4AC8-99CD-D0D82B38121D}"/>
    <cellStyle name="Currency 5 2 2 2 2 2 3 2 2 4" xfId="16057" xr:uid="{A4D04756-E83B-489D-A6A4-6FF1C7F2840C}"/>
    <cellStyle name="Currency 5 2 2 2 2 2 3 2 3" xfId="20280" xr:uid="{AA6F90AC-A30D-4ECB-B7A0-5A5D0F61EF5A}"/>
    <cellStyle name="Currency 5 2 2 2 2 2 3 2 4" xfId="28727" xr:uid="{30159039-95FA-4DE5-9418-7A82A66D95F0}"/>
    <cellStyle name="Currency 5 2 2 2 2 2 3 2 5" xfId="11839" xr:uid="{816CACDE-4D74-4DF1-9C69-1B5A6DD6DAA4}"/>
    <cellStyle name="Currency 5 2 2 2 2 2 3 3" xfId="5470" xr:uid="{00000000-0005-0000-0000-0000770B0000}"/>
    <cellStyle name="Currency 5 2 2 2 2 2 3 3 2" xfId="22353" xr:uid="{F390BA2D-9557-4F3E-8202-252F8AFED980}"/>
    <cellStyle name="Currency 5 2 2 2 2 2 3 3 3" xfId="30799" xr:uid="{9A9C0F47-0B99-478D-BB24-5059D965D371}"/>
    <cellStyle name="Currency 5 2 2 2 2 2 3 3 4" xfId="13912" xr:uid="{B2C26F22-3029-474A-B49E-DAD026E1C879}"/>
    <cellStyle name="Currency 5 2 2 2 2 2 3 4" xfId="18135" xr:uid="{AEDBFE79-453E-4867-9A40-070DFA1A0657}"/>
    <cellStyle name="Currency 5 2 2 2 2 2 3 5" xfId="26580" xr:uid="{B9F8DF2C-793D-44AF-9175-1420E59B5D4A}"/>
    <cellStyle name="Currency 5 2 2 2 2 2 3 6" xfId="9694" xr:uid="{8BEC910B-F922-4D35-AC30-31F9B8F0C3E9}"/>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24911" xr:uid="{1BEBCCC0-6705-4757-B989-B98393492884}"/>
    <cellStyle name="Currency 5 2 2 2 2 2 4 2 2 3" xfId="33357" xr:uid="{EDB89199-4E6D-4D1D-B6D6-6DFC688E78EB}"/>
    <cellStyle name="Currency 5 2 2 2 2 2 4 2 2 4" xfId="16470" xr:uid="{CD8EED6C-B7B6-4151-A838-03CB52D6E00C}"/>
    <cellStyle name="Currency 5 2 2 2 2 2 4 2 3" xfId="20693" xr:uid="{D204C67F-0F47-4EAF-A0E8-B7C8741C7690}"/>
    <cellStyle name="Currency 5 2 2 2 2 2 4 2 4" xfId="29140" xr:uid="{E6A04F8D-9966-4A31-9BE9-D69178734272}"/>
    <cellStyle name="Currency 5 2 2 2 2 2 4 2 5" xfId="12252" xr:uid="{41F373C9-AEE5-4642-903D-93199B6DD450}"/>
    <cellStyle name="Currency 5 2 2 2 2 2 4 3" xfId="5883" xr:uid="{00000000-0005-0000-0000-00007B0B0000}"/>
    <cellStyle name="Currency 5 2 2 2 2 2 4 3 2" xfId="22766" xr:uid="{86313188-D831-4CAC-947A-1C9E13AB0608}"/>
    <cellStyle name="Currency 5 2 2 2 2 2 4 3 3" xfId="31212" xr:uid="{EA1525E7-CFF2-4D36-9714-47263BA695F7}"/>
    <cellStyle name="Currency 5 2 2 2 2 2 4 3 4" xfId="14325" xr:uid="{5D94670E-3236-49BD-903A-B10070060D5F}"/>
    <cellStyle name="Currency 5 2 2 2 2 2 4 4" xfId="18548" xr:uid="{06B0280C-F4DE-4A0F-9E58-70C86587A5DE}"/>
    <cellStyle name="Currency 5 2 2 2 2 2 4 5" xfId="26993" xr:uid="{9F191B53-3CDD-4D68-A17A-B9B280897781}"/>
    <cellStyle name="Currency 5 2 2 2 2 2 4 6" xfId="10107" xr:uid="{AB9FA38D-3EE0-4243-AD84-8FDFF8207358}"/>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25324" xr:uid="{1859BE91-73B8-470D-9E8F-489191BFFB4D}"/>
    <cellStyle name="Currency 5 2 2 2 2 2 5 2 2 3" xfId="33770" xr:uid="{8D2A723A-6DC4-449D-A46E-98BF530430BD}"/>
    <cellStyle name="Currency 5 2 2 2 2 2 5 2 2 4" xfId="16883" xr:uid="{4A91ECBD-9B25-4FD9-929C-D57685A52CCA}"/>
    <cellStyle name="Currency 5 2 2 2 2 2 5 2 3" xfId="21106" xr:uid="{04EFA894-9511-4F4D-B5D0-83997D569A78}"/>
    <cellStyle name="Currency 5 2 2 2 2 2 5 2 4" xfId="29553" xr:uid="{723D2BFC-2981-450C-9768-D2D5758DA2BF}"/>
    <cellStyle name="Currency 5 2 2 2 2 2 5 2 5" xfId="12665" xr:uid="{762BB215-8EC2-486D-88D4-A6C5A9D1FA59}"/>
    <cellStyle name="Currency 5 2 2 2 2 2 5 3" xfId="6296" xr:uid="{00000000-0005-0000-0000-00007F0B0000}"/>
    <cellStyle name="Currency 5 2 2 2 2 2 5 3 2" xfId="23179" xr:uid="{3FC1AD8A-9DAB-4E95-8686-7BD9A35B34AB}"/>
    <cellStyle name="Currency 5 2 2 2 2 2 5 3 3" xfId="31625" xr:uid="{905916F3-4AB5-4661-BFB0-D77391387E34}"/>
    <cellStyle name="Currency 5 2 2 2 2 2 5 3 4" xfId="14738" xr:uid="{FB084E29-FE10-425B-AE70-849E09D5E6A3}"/>
    <cellStyle name="Currency 5 2 2 2 2 2 5 4" xfId="18961" xr:uid="{D38A115E-C6B5-474A-A0A9-D837143D4792}"/>
    <cellStyle name="Currency 5 2 2 2 2 2 5 5" xfId="27406" xr:uid="{240A88AE-2F9B-4928-8735-CA1F61546AC3}"/>
    <cellStyle name="Currency 5 2 2 2 2 2 5 6" xfId="10520" xr:uid="{6B377E3B-A39B-4566-BC2F-7B81B6D516DA}"/>
    <cellStyle name="Currency 5 2 2 2 2 2 6" xfId="2424" xr:uid="{00000000-0005-0000-0000-0000800B0000}"/>
    <cellStyle name="Currency 5 2 2 2 2 2 6 2" xfId="6709" xr:uid="{00000000-0005-0000-0000-0000810B0000}"/>
    <cellStyle name="Currency 5 2 2 2 2 2 6 2 2" xfId="23592" xr:uid="{52C929B5-363C-4B5C-A6E3-402196B55AF2}"/>
    <cellStyle name="Currency 5 2 2 2 2 2 6 2 3" xfId="32038" xr:uid="{E500D38B-B165-4F1D-A46A-5EF0C199C579}"/>
    <cellStyle name="Currency 5 2 2 2 2 2 6 2 4" xfId="15151" xr:uid="{2EA0D2D5-5A96-4986-98D4-FBEFEC7BF2DB}"/>
    <cellStyle name="Currency 5 2 2 2 2 2 6 3" xfId="19374" xr:uid="{686BDA93-7979-4240-978A-443D96BB8419}"/>
    <cellStyle name="Currency 5 2 2 2 2 2 6 4" xfId="27819" xr:uid="{EE6DC851-23AF-4AF9-BE67-CCF530451191}"/>
    <cellStyle name="Currency 5 2 2 2 2 2 6 5" xfId="10933" xr:uid="{F129503D-B868-4805-97CB-B0BD57590BA1}"/>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23909" xr:uid="{8E362943-656D-485F-8862-647731C02D6D}"/>
    <cellStyle name="Currency 5 2 2 2 2 2 8 2 3" xfId="32355" xr:uid="{CF4CF66E-8D0D-47F3-92C7-347CC04DAC26}"/>
    <cellStyle name="Currency 5 2 2 2 2 2 8 2 4" xfId="15468" xr:uid="{CDF29B48-20C8-45C9-A3BE-96BF9B2B70D3}"/>
    <cellStyle name="Currency 5 2 2 2 2 2 8 3" xfId="19691" xr:uid="{4333AF3B-A595-43E5-BDEE-AA032F1909B7}"/>
    <cellStyle name="Currency 5 2 2 2 2 2 8 4" xfId="28138" xr:uid="{49C31E8F-03FB-48E7-8500-A3D8AB86EC75}"/>
    <cellStyle name="Currency 5 2 2 2 2 2 8 5" xfId="11250" xr:uid="{3A2FE02A-C692-4CEC-903C-60E51F65D23A}"/>
    <cellStyle name="Currency 5 2 2 2 2 2 9" xfId="4643" xr:uid="{00000000-0005-0000-0000-0000850B0000}"/>
    <cellStyle name="Currency 5 2 2 2 2 2 9 2" xfId="21526" xr:uid="{2DBDC729-9F32-479F-95D9-095D1D943B4A}"/>
    <cellStyle name="Currency 5 2 2 2 2 2 9 3" xfId="29972" xr:uid="{0B02A077-7EF0-44DF-A4BF-31608BF70812}"/>
    <cellStyle name="Currency 5 2 2 2 2 2 9 4" xfId="13085" xr:uid="{36642FD5-5E27-48A0-9A23-209E1B0081C2}"/>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24084" xr:uid="{D432A4B0-9376-4A2D-9738-3BCA0E9B3BBC}"/>
    <cellStyle name="Currency 5 2 2 2 2 3 2 2 3" xfId="32530" xr:uid="{F6173674-0D2B-43C8-B5C0-0BC3E17FA1F6}"/>
    <cellStyle name="Currency 5 2 2 2 2 3 2 2 4" xfId="15643" xr:uid="{D2ECAF28-EA0F-414D-81A1-BA28F55B39E3}"/>
    <cellStyle name="Currency 5 2 2 2 2 3 2 3" xfId="19866" xr:uid="{006C3B7F-8357-4F8E-BCA0-3A4E57382C69}"/>
    <cellStyle name="Currency 5 2 2 2 2 3 2 4" xfId="28313" xr:uid="{7F26597B-42D3-4575-AC95-8E24F465DCF9}"/>
    <cellStyle name="Currency 5 2 2 2 2 3 2 5" xfId="11425" xr:uid="{DCC69313-960C-42E0-B060-6F55062911EF}"/>
    <cellStyle name="Currency 5 2 2 2 2 3 3" xfId="5056" xr:uid="{00000000-0005-0000-0000-0000890B0000}"/>
    <cellStyle name="Currency 5 2 2 2 2 3 3 2" xfId="21939" xr:uid="{560FE3F2-2172-4F6A-8C1C-093F7E51696A}"/>
    <cellStyle name="Currency 5 2 2 2 2 3 3 3" xfId="30385" xr:uid="{EF4A42AC-7BEB-4E3C-A155-7620F5FB4FAE}"/>
    <cellStyle name="Currency 5 2 2 2 2 3 3 4" xfId="13498" xr:uid="{F67D6780-4E39-4773-81D6-8B97495A8F38}"/>
    <cellStyle name="Currency 5 2 2 2 2 3 4" xfId="17721" xr:uid="{18501AD9-83F9-4045-B8D1-BD58EF4EE8DB}"/>
    <cellStyle name="Currency 5 2 2 2 2 3 5" xfId="26166" xr:uid="{8986198E-E098-4E57-85E7-68A9EBF7912A}"/>
    <cellStyle name="Currency 5 2 2 2 2 3 6" xfId="9280" xr:uid="{7EBB65EC-C9A9-4BEE-9E6C-4B7E29EDAC8A}"/>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24497" xr:uid="{06662CC6-0F88-42F6-A105-80A6321B7427}"/>
    <cellStyle name="Currency 5 2 2 2 2 4 2 2 3" xfId="32943" xr:uid="{FF893B13-6C18-4906-B383-4A07A57BEB58}"/>
    <cellStyle name="Currency 5 2 2 2 2 4 2 2 4" xfId="16056" xr:uid="{9A61DD41-87A1-42FF-BCD4-D96091E2A794}"/>
    <cellStyle name="Currency 5 2 2 2 2 4 2 3" xfId="20279" xr:uid="{A734748E-9656-43C2-9839-D73E0E746413}"/>
    <cellStyle name="Currency 5 2 2 2 2 4 2 4" xfId="28726" xr:uid="{F5236BC3-7333-4A42-B073-BC0D7C3B26E8}"/>
    <cellStyle name="Currency 5 2 2 2 2 4 2 5" xfId="11838" xr:uid="{DEA6A82B-4412-4C1C-9C60-BDB61FFC2EB2}"/>
    <cellStyle name="Currency 5 2 2 2 2 4 3" xfId="5469" xr:uid="{00000000-0005-0000-0000-00008D0B0000}"/>
    <cellStyle name="Currency 5 2 2 2 2 4 3 2" xfId="22352" xr:uid="{D3806583-B7D9-4C2B-AFC2-CD0A044B590E}"/>
    <cellStyle name="Currency 5 2 2 2 2 4 3 3" xfId="30798" xr:uid="{6CE022E3-92A3-43AE-9E9C-6E3CB2424CF5}"/>
    <cellStyle name="Currency 5 2 2 2 2 4 3 4" xfId="13911" xr:uid="{E67E83A4-103F-45DE-B809-0EF2E61CC3DE}"/>
    <cellStyle name="Currency 5 2 2 2 2 4 4" xfId="18134" xr:uid="{A6726B86-6BF7-4723-95C7-0FF0D85FA970}"/>
    <cellStyle name="Currency 5 2 2 2 2 4 5" xfId="26579" xr:uid="{1A434096-C777-45AA-9369-44A837385F1D}"/>
    <cellStyle name="Currency 5 2 2 2 2 4 6" xfId="9693" xr:uid="{66A8A695-CF48-4C26-A957-6B0097E33356}"/>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24910" xr:uid="{86B1231D-3293-4715-B4A2-DF5399C531B2}"/>
    <cellStyle name="Currency 5 2 2 2 2 5 2 2 3" xfId="33356" xr:uid="{FEE9EB8E-5034-43AD-B87E-685C9583A380}"/>
    <cellStyle name="Currency 5 2 2 2 2 5 2 2 4" xfId="16469" xr:uid="{47757398-2F17-4741-BBF9-CBA0C5ACABD8}"/>
    <cellStyle name="Currency 5 2 2 2 2 5 2 3" xfId="20692" xr:uid="{435A493A-F119-4C95-B0ED-DCCA40A57DD7}"/>
    <cellStyle name="Currency 5 2 2 2 2 5 2 4" xfId="29139" xr:uid="{C942A827-5E70-42DA-A0F5-EBEC6ADD2608}"/>
    <cellStyle name="Currency 5 2 2 2 2 5 2 5" xfId="12251" xr:uid="{E8957424-2FAD-4BCD-89A8-A662B016FEC7}"/>
    <cellStyle name="Currency 5 2 2 2 2 5 3" xfId="5882" xr:uid="{00000000-0005-0000-0000-0000910B0000}"/>
    <cellStyle name="Currency 5 2 2 2 2 5 3 2" xfId="22765" xr:uid="{A62FA59D-A01B-47B1-AE05-3FEA0E4498B1}"/>
    <cellStyle name="Currency 5 2 2 2 2 5 3 3" xfId="31211" xr:uid="{400B02C0-80C5-4F8B-BB68-08010516AD0B}"/>
    <cellStyle name="Currency 5 2 2 2 2 5 3 4" xfId="14324" xr:uid="{080A8B58-500D-472B-BB3F-D04002D89706}"/>
    <cellStyle name="Currency 5 2 2 2 2 5 4" xfId="18547" xr:uid="{4968ED29-92E2-4971-87CF-C658B182094B}"/>
    <cellStyle name="Currency 5 2 2 2 2 5 5" xfId="26992" xr:uid="{93F6136F-3E58-463D-8A6D-9C49EF15A341}"/>
    <cellStyle name="Currency 5 2 2 2 2 5 6" xfId="10106" xr:uid="{BD3FBC73-5EB8-45E5-AD62-A0C73E419BD5}"/>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25323" xr:uid="{9F4DCBFC-2688-4855-A3F9-79FC42FEB48A}"/>
    <cellStyle name="Currency 5 2 2 2 2 6 2 2 3" xfId="33769" xr:uid="{93831ACE-40B7-40F3-8701-E456CC8A3B6E}"/>
    <cellStyle name="Currency 5 2 2 2 2 6 2 2 4" xfId="16882" xr:uid="{17AADEC8-1FF8-495F-834B-647908502F75}"/>
    <cellStyle name="Currency 5 2 2 2 2 6 2 3" xfId="21105" xr:uid="{8937ADBF-E896-45E7-96F8-2505C695EF60}"/>
    <cellStyle name="Currency 5 2 2 2 2 6 2 4" xfId="29552" xr:uid="{B358B32B-EA83-4CDC-903E-353AB5655B8F}"/>
    <cellStyle name="Currency 5 2 2 2 2 6 2 5" xfId="12664" xr:uid="{07537B37-8D53-4093-813C-C270F7B45A39}"/>
    <cellStyle name="Currency 5 2 2 2 2 6 3" xfId="6295" xr:uid="{00000000-0005-0000-0000-0000950B0000}"/>
    <cellStyle name="Currency 5 2 2 2 2 6 3 2" xfId="23178" xr:uid="{2A568CCD-23BD-4C87-B180-0D1708EEC8B2}"/>
    <cellStyle name="Currency 5 2 2 2 2 6 3 3" xfId="31624" xr:uid="{61341B55-30A7-40B8-BF65-D6FA15E3ED64}"/>
    <cellStyle name="Currency 5 2 2 2 2 6 3 4" xfId="14737" xr:uid="{1DA7159C-3B57-4C15-85FC-3476D2A79889}"/>
    <cellStyle name="Currency 5 2 2 2 2 6 4" xfId="18960" xr:uid="{558FBBE0-C513-4ECF-B635-C156857A89D0}"/>
    <cellStyle name="Currency 5 2 2 2 2 6 5" xfId="27405" xr:uid="{87DEAFC4-916F-4B68-A10B-CF2746431439}"/>
    <cellStyle name="Currency 5 2 2 2 2 6 6" xfId="10519" xr:uid="{1C7694DD-64FE-49B2-AF85-7C77E0B70DB1}"/>
    <cellStyle name="Currency 5 2 2 2 2 7" xfId="2423" xr:uid="{00000000-0005-0000-0000-0000960B0000}"/>
    <cellStyle name="Currency 5 2 2 2 2 7 2" xfId="6708" xr:uid="{00000000-0005-0000-0000-0000970B0000}"/>
    <cellStyle name="Currency 5 2 2 2 2 7 2 2" xfId="23591" xr:uid="{39D0BE0F-083A-443C-BA79-0C1F5C3D0453}"/>
    <cellStyle name="Currency 5 2 2 2 2 7 2 3" xfId="32037" xr:uid="{847B570A-6BA6-42CC-AC5D-E02074F330C6}"/>
    <cellStyle name="Currency 5 2 2 2 2 7 2 4" xfId="15150" xr:uid="{50F1810B-CBCF-43AE-9DAD-2E61B935AD96}"/>
    <cellStyle name="Currency 5 2 2 2 2 7 3" xfId="19373" xr:uid="{92982720-A37C-4D41-BE7E-387267DD72AF}"/>
    <cellStyle name="Currency 5 2 2 2 2 7 4" xfId="27818" xr:uid="{00588584-EA9D-40E9-862D-CD264D086560}"/>
    <cellStyle name="Currency 5 2 2 2 2 7 5" xfId="10932" xr:uid="{193076FA-94FA-4AC8-8AF0-9A184CBB50B8}"/>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23908" xr:uid="{C794F69C-C158-4BB7-ADFD-47D450E82CFB}"/>
    <cellStyle name="Currency 5 2 2 2 2 9 2 3" xfId="32354" xr:uid="{C276E212-50DA-4E84-B62A-FDC9F8533ACB}"/>
    <cellStyle name="Currency 5 2 2 2 2 9 2 4" xfId="15467" xr:uid="{251B6E3C-AC23-4DE5-86FD-07A7DEE1A093}"/>
    <cellStyle name="Currency 5 2 2 2 2 9 3" xfId="19690" xr:uid="{B7E30F55-40AE-4AEE-8295-F69762F43924}"/>
    <cellStyle name="Currency 5 2 2 2 2 9 4" xfId="28137" xr:uid="{EDD060C0-8571-461D-8038-AC57C5D88D41}"/>
    <cellStyle name="Currency 5 2 2 2 2 9 5" xfId="11249" xr:uid="{4BDB60D4-5AD3-4ACB-9CA1-4A008B058E9E}"/>
    <cellStyle name="Currency 5 2 2 2 3" xfId="199" xr:uid="{00000000-0005-0000-0000-00009B0B0000}"/>
    <cellStyle name="Currency 5 2 2 2 3 10" xfId="17309" xr:uid="{557B6950-736C-47A1-97BA-84B0DF062B5B}"/>
    <cellStyle name="Currency 5 2 2 2 3 11" xfId="25752" xr:uid="{3FE68918-B066-4C6B-B998-2110C8A44BD6}"/>
    <cellStyle name="Currency 5 2 2 2 3 12" xfId="8868" xr:uid="{4CCDF055-B755-401B-A737-6852C6F2D295}"/>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24086" xr:uid="{7C258D26-62EC-4D32-9C90-6FCA71B12A61}"/>
    <cellStyle name="Currency 5 2 2 2 3 2 2 2 3" xfId="32532" xr:uid="{6B7212BF-1AB2-46C7-8051-8C8427D6842E}"/>
    <cellStyle name="Currency 5 2 2 2 3 2 2 2 4" xfId="15645" xr:uid="{18F69AF5-9ECF-40A7-8FA0-34B00995203B}"/>
    <cellStyle name="Currency 5 2 2 2 3 2 2 3" xfId="19868" xr:uid="{52ED8967-0782-4C8C-8B23-091DDBF62D8D}"/>
    <cellStyle name="Currency 5 2 2 2 3 2 2 4" xfId="28315" xr:uid="{1269173E-E963-45B4-9FDF-C4448EC35F8F}"/>
    <cellStyle name="Currency 5 2 2 2 3 2 2 5" xfId="11427" xr:uid="{F1E819D8-8E10-4F29-B7F1-544E9AF2182F}"/>
    <cellStyle name="Currency 5 2 2 2 3 2 3" xfId="5058" xr:uid="{00000000-0005-0000-0000-00009F0B0000}"/>
    <cellStyle name="Currency 5 2 2 2 3 2 3 2" xfId="21941" xr:uid="{B1DDF2E8-CA9A-4DCA-AD2D-71E89D70ADFD}"/>
    <cellStyle name="Currency 5 2 2 2 3 2 3 3" xfId="30387" xr:uid="{04AA6A5A-AD10-4AAE-89C3-905400D532F6}"/>
    <cellStyle name="Currency 5 2 2 2 3 2 3 4" xfId="13500" xr:uid="{78898801-A9A8-4861-8CD8-25248C0EC3A5}"/>
    <cellStyle name="Currency 5 2 2 2 3 2 4" xfId="17723" xr:uid="{4393CCF9-8FAC-438B-883F-76EF49A82D57}"/>
    <cellStyle name="Currency 5 2 2 2 3 2 5" xfId="26168" xr:uid="{D53A8348-7FC7-4322-ABF2-6FA83A36508D}"/>
    <cellStyle name="Currency 5 2 2 2 3 2 6" xfId="9282" xr:uid="{8D367F76-42E9-48D0-8C3F-F9969816B4C8}"/>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24499" xr:uid="{B3BF89E6-0690-4D53-AFB4-D1FA384A627F}"/>
    <cellStyle name="Currency 5 2 2 2 3 3 2 2 3" xfId="32945" xr:uid="{939D77D8-7FC5-48B8-A2DA-6D1C6A9FE79E}"/>
    <cellStyle name="Currency 5 2 2 2 3 3 2 2 4" xfId="16058" xr:uid="{42DA4174-A5D7-47C5-9D1A-E785FC0B0DB3}"/>
    <cellStyle name="Currency 5 2 2 2 3 3 2 3" xfId="20281" xr:uid="{9C884E4E-FE36-4E52-8D0B-EA498D21BFEE}"/>
    <cellStyle name="Currency 5 2 2 2 3 3 2 4" xfId="28728" xr:uid="{366689F7-BFB1-41EF-896F-1AE5F300EF55}"/>
    <cellStyle name="Currency 5 2 2 2 3 3 2 5" xfId="11840" xr:uid="{36D788D9-497A-43D8-BE83-408E02B1C5B2}"/>
    <cellStyle name="Currency 5 2 2 2 3 3 3" xfId="5471" xr:uid="{00000000-0005-0000-0000-0000A30B0000}"/>
    <cellStyle name="Currency 5 2 2 2 3 3 3 2" xfId="22354" xr:uid="{8CE63DC6-87F8-404C-A23C-DE483418D306}"/>
    <cellStyle name="Currency 5 2 2 2 3 3 3 3" xfId="30800" xr:uid="{C57119B2-4A38-4E64-B45A-7215E9561543}"/>
    <cellStyle name="Currency 5 2 2 2 3 3 3 4" xfId="13913" xr:uid="{9B8E9024-ED85-4233-B071-ED1AE15470B5}"/>
    <cellStyle name="Currency 5 2 2 2 3 3 4" xfId="18136" xr:uid="{A07DE8A5-6F25-4BCC-AB34-918F75E20F51}"/>
    <cellStyle name="Currency 5 2 2 2 3 3 5" xfId="26581" xr:uid="{BE8FD871-D26E-4A5B-8563-CB75FF943AA3}"/>
    <cellStyle name="Currency 5 2 2 2 3 3 6" xfId="9695" xr:uid="{275FE61C-6B56-4113-9B57-5A3966054F6A}"/>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24912" xr:uid="{41F5E79E-B959-4B35-AAF8-9175FE33D835}"/>
    <cellStyle name="Currency 5 2 2 2 3 4 2 2 3" xfId="33358" xr:uid="{7A458610-A5C5-4622-86E3-00BA5674D256}"/>
    <cellStyle name="Currency 5 2 2 2 3 4 2 2 4" xfId="16471" xr:uid="{97E07B33-2E3D-418C-87A1-C952ADA01010}"/>
    <cellStyle name="Currency 5 2 2 2 3 4 2 3" xfId="20694" xr:uid="{221264D5-2000-491F-A7A2-876C757E6438}"/>
    <cellStyle name="Currency 5 2 2 2 3 4 2 4" xfId="29141" xr:uid="{FF6615DF-FBED-4B6C-A486-9E9C6F8050B6}"/>
    <cellStyle name="Currency 5 2 2 2 3 4 2 5" xfId="12253" xr:uid="{16ACEAF7-B8AE-457D-BCC1-07EB7BDB0A5C}"/>
    <cellStyle name="Currency 5 2 2 2 3 4 3" xfId="5884" xr:uid="{00000000-0005-0000-0000-0000A70B0000}"/>
    <cellStyle name="Currency 5 2 2 2 3 4 3 2" xfId="22767" xr:uid="{A0148ED3-EE58-41E5-AE4B-8E3603F61846}"/>
    <cellStyle name="Currency 5 2 2 2 3 4 3 3" xfId="31213" xr:uid="{D247A3A4-5751-4758-954C-205994D591A5}"/>
    <cellStyle name="Currency 5 2 2 2 3 4 3 4" xfId="14326" xr:uid="{8BDCD572-D584-4E0D-9638-F02F3759F642}"/>
    <cellStyle name="Currency 5 2 2 2 3 4 4" xfId="18549" xr:uid="{331EB998-D20D-4D2F-8433-5C0236140184}"/>
    <cellStyle name="Currency 5 2 2 2 3 4 5" xfId="26994" xr:uid="{6C361843-BF2E-48F7-AC87-027BCBFC63C9}"/>
    <cellStyle name="Currency 5 2 2 2 3 4 6" xfId="10108" xr:uid="{C235D976-C9FB-42B1-874C-87B43939BA22}"/>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25325" xr:uid="{96F4F676-33F7-44E8-9695-D33D39D595B5}"/>
    <cellStyle name="Currency 5 2 2 2 3 5 2 2 3" xfId="33771" xr:uid="{840A3044-B7C4-4A5F-A1CD-F89C18DC2C78}"/>
    <cellStyle name="Currency 5 2 2 2 3 5 2 2 4" xfId="16884" xr:uid="{CE594C78-3A2C-4F98-94DD-5161D628F565}"/>
    <cellStyle name="Currency 5 2 2 2 3 5 2 3" xfId="21107" xr:uid="{F5D2283F-C988-4D68-981A-73AC2B2F5E82}"/>
    <cellStyle name="Currency 5 2 2 2 3 5 2 4" xfId="29554" xr:uid="{B1BAA999-EB62-4478-9468-66415DDED7BD}"/>
    <cellStyle name="Currency 5 2 2 2 3 5 2 5" xfId="12666" xr:uid="{94F52C9F-C547-4502-9852-6E2652FF3B74}"/>
    <cellStyle name="Currency 5 2 2 2 3 5 3" xfId="6297" xr:uid="{00000000-0005-0000-0000-0000AB0B0000}"/>
    <cellStyle name="Currency 5 2 2 2 3 5 3 2" xfId="23180" xr:uid="{B414F591-6CDB-4E67-8CB1-070C245072B1}"/>
    <cellStyle name="Currency 5 2 2 2 3 5 3 3" xfId="31626" xr:uid="{8532E414-AA54-430F-B4BA-443C4AF74CCC}"/>
    <cellStyle name="Currency 5 2 2 2 3 5 3 4" xfId="14739" xr:uid="{38436AE1-510D-4338-8B0E-BB3132519128}"/>
    <cellStyle name="Currency 5 2 2 2 3 5 4" xfId="18962" xr:uid="{8AF06916-CD6E-463C-A0F8-799A1F7DA598}"/>
    <cellStyle name="Currency 5 2 2 2 3 5 5" xfId="27407" xr:uid="{B6A0A88D-5511-4F1A-947F-D3D7878C2EEE}"/>
    <cellStyle name="Currency 5 2 2 2 3 5 6" xfId="10521" xr:uid="{D0598337-6FF1-4D18-8CE6-C792AD13B356}"/>
    <cellStyle name="Currency 5 2 2 2 3 6" xfId="2425" xr:uid="{00000000-0005-0000-0000-0000AC0B0000}"/>
    <cellStyle name="Currency 5 2 2 2 3 6 2" xfId="6710" xr:uid="{00000000-0005-0000-0000-0000AD0B0000}"/>
    <cellStyle name="Currency 5 2 2 2 3 6 2 2" xfId="23593" xr:uid="{E4E1EE6C-4A71-42EA-840C-8D4459D8266A}"/>
    <cellStyle name="Currency 5 2 2 2 3 6 2 3" xfId="32039" xr:uid="{3C2AF267-2729-466B-9904-C47051A0FC8A}"/>
    <cellStyle name="Currency 5 2 2 2 3 6 2 4" xfId="15152" xr:uid="{AB3765B6-F591-464B-8468-9A609ADF7947}"/>
    <cellStyle name="Currency 5 2 2 2 3 6 3" xfId="19375" xr:uid="{DE8A6989-CD48-42A3-8992-7F04A3C36181}"/>
    <cellStyle name="Currency 5 2 2 2 3 6 4" xfId="27820" xr:uid="{32AA5DEA-E78A-48B2-8C2F-82460BB58FDE}"/>
    <cellStyle name="Currency 5 2 2 2 3 6 5" xfId="10934" xr:uid="{792ABC17-FC20-4D0F-8048-6258E9689078}"/>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23910" xr:uid="{69072D4A-A100-4D40-9101-CFB02C59446C}"/>
    <cellStyle name="Currency 5 2 2 2 3 8 2 3" xfId="32356" xr:uid="{BB6D4EF7-6E90-49E0-BC06-CBB25DE33FA7}"/>
    <cellStyle name="Currency 5 2 2 2 3 8 2 4" xfId="15469" xr:uid="{0122ED80-2D1F-4A9E-BAE9-F82474653A35}"/>
    <cellStyle name="Currency 5 2 2 2 3 8 3" xfId="19692" xr:uid="{9C015C51-7433-477A-AC71-20EB167C157A}"/>
    <cellStyle name="Currency 5 2 2 2 3 8 4" xfId="28139" xr:uid="{1E0EEDB6-6840-40E5-80AB-4F6B95341399}"/>
    <cellStyle name="Currency 5 2 2 2 3 8 5" xfId="11251" xr:uid="{66928BC0-9312-4838-8D1F-6B17E2F3C106}"/>
    <cellStyle name="Currency 5 2 2 2 3 9" xfId="4644" xr:uid="{00000000-0005-0000-0000-0000B10B0000}"/>
    <cellStyle name="Currency 5 2 2 2 3 9 2" xfId="21527" xr:uid="{D6CE9BA7-AF4E-4DBA-AC08-396436195C28}"/>
    <cellStyle name="Currency 5 2 2 2 3 9 3" xfId="29973" xr:uid="{17038563-0C10-4BC2-BFB1-F6DEB1820E16}"/>
    <cellStyle name="Currency 5 2 2 2 3 9 4" xfId="13086" xr:uid="{B5EE3948-B8AF-4689-AF79-63F54C21194D}"/>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24083" xr:uid="{80844F18-4A8B-4F76-BC36-D90017DB8E86}"/>
    <cellStyle name="Currency 5 2 2 2 4 2 2 3" xfId="32529" xr:uid="{E30890F2-0068-4A54-9AE1-BBEE0A1CAE0F}"/>
    <cellStyle name="Currency 5 2 2 2 4 2 2 4" xfId="15642" xr:uid="{43FCD478-E7CC-4E4D-8ED1-FDA4D0EC9DD1}"/>
    <cellStyle name="Currency 5 2 2 2 4 2 3" xfId="19865" xr:uid="{F77977C8-B006-4593-BBA5-C49E2CD6B82D}"/>
    <cellStyle name="Currency 5 2 2 2 4 2 4" xfId="28312" xr:uid="{06A3F10B-A782-4A64-B852-3D6B4CA70840}"/>
    <cellStyle name="Currency 5 2 2 2 4 2 5" xfId="11424" xr:uid="{D90B5C06-CD6D-4691-94BB-DD9162B49663}"/>
    <cellStyle name="Currency 5 2 2 2 4 3" xfId="5055" xr:uid="{00000000-0005-0000-0000-0000B50B0000}"/>
    <cellStyle name="Currency 5 2 2 2 4 3 2" xfId="21938" xr:uid="{BC7748F5-D8A6-4A56-BFF5-4DD88E53ED16}"/>
    <cellStyle name="Currency 5 2 2 2 4 3 3" xfId="30384" xr:uid="{2D722095-6082-4218-B192-8874DC5D09A5}"/>
    <cellStyle name="Currency 5 2 2 2 4 3 4" xfId="13497" xr:uid="{2E102628-FC3B-434E-97AE-F97A1C252605}"/>
    <cellStyle name="Currency 5 2 2 2 4 4" xfId="17720" xr:uid="{77C4F901-59BE-40EE-85C1-F41611B960C8}"/>
    <cellStyle name="Currency 5 2 2 2 4 5" xfId="26165" xr:uid="{8DC448F0-BA29-4F4C-8939-BF88FEA21E14}"/>
    <cellStyle name="Currency 5 2 2 2 4 6" xfId="9279" xr:uid="{7BB34B3C-E3D6-4C37-81F3-5E83D1E3E0E6}"/>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24496" xr:uid="{B5A96AF8-957B-4E38-AC50-E992A66FF11B}"/>
    <cellStyle name="Currency 5 2 2 2 5 2 2 3" xfId="32942" xr:uid="{F4EE037F-50A1-4DBA-8906-284CBCF97443}"/>
    <cellStyle name="Currency 5 2 2 2 5 2 2 4" xfId="16055" xr:uid="{01F32255-ECB1-4B7B-8B2A-77D9D656B3F8}"/>
    <cellStyle name="Currency 5 2 2 2 5 2 3" xfId="20278" xr:uid="{DEF1BBAC-FE78-4F20-B33A-4AB81B80D874}"/>
    <cellStyle name="Currency 5 2 2 2 5 2 4" xfId="28725" xr:uid="{90363A46-A0E4-4CA0-9C2C-44649F1A7CEB}"/>
    <cellStyle name="Currency 5 2 2 2 5 2 5" xfId="11837" xr:uid="{B8CD9272-EFFA-4574-A3E5-780FC5EB13FA}"/>
    <cellStyle name="Currency 5 2 2 2 5 3" xfId="5468" xr:uid="{00000000-0005-0000-0000-0000B90B0000}"/>
    <cellStyle name="Currency 5 2 2 2 5 3 2" xfId="22351" xr:uid="{ADB8B8A0-7AE0-4937-80A8-D6E9957B5ADA}"/>
    <cellStyle name="Currency 5 2 2 2 5 3 3" xfId="30797" xr:uid="{9E327725-C17A-4209-A504-156FAD02C0CA}"/>
    <cellStyle name="Currency 5 2 2 2 5 3 4" xfId="13910" xr:uid="{AE9D38D6-A6FF-4769-9472-319FED9D6704}"/>
    <cellStyle name="Currency 5 2 2 2 5 4" xfId="18133" xr:uid="{F074A0C2-E1C4-470F-BB09-250A3EF9CF63}"/>
    <cellStyle name="Currency 5 2 2 2 5 5" xfId="26578" xr:uid="{709F8ED9-C9B9-4DB5-80DC-B6F447DC23F0}"/>
    <cellStyle name="Currency 5 2 2 2 5 6" xfId="9692" xr:uid="{45D82F3C-DA7A-4547-85D0-015255D38E2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24909" xr:uid="{96C781D6-90F1-49C4-8325-76E8B9D7D35E}"/>
    <cellStyle name="Currency 5 2 2 2 6 2 2 3" xfId="33355" xr:uid="{9B9AF6B2-A606-4C9D-B40D-EB918B78CAC9}"/>
    <cellStyle name="Currency 5 2 2 2 6 2 2 4" xfId="16468" xr:uid="{084ACD33-BB8C-4527-991B-DA3CBFC280C3}"/>
    <cellStyle name="Currency 5 2 2 2 6 2 3" xfId="20691" xr:uid="{0C0BB481-1ACE-4D07-9AEE-2F163D4AD843}"/>
    <cellStyle name="Currency 5 2 2 2 6 2 4" xfId="29138" xr:uid="{B7552939-F371-4CA1-8B25-A41D508904BE}"/>
    <cellStyle name="Currency 5 2 2 2 6 2 5" xfId="12250" xr:uid="{856B4643-E9C9-43E2-A4EB-C4B3556BB5F5}"/>
    <cellStyle name="Currency 5 2 2 2 6 3" xfId="5881" xr:uid="{00000000-0005-0000-0000-0000BD0B0000}"/>
    <cellStyle name="Currency 5 2 2 2 6 3 2" xfId="22764" xr:uid="{EDCD3EA4-0BAD-4312-AEA9-A0034AB88E4F}"/>
    <cellStyle name="Currency 5 2 2 2 6 3 3" xfId="31210" xr:uid="{1CBC924E-AE6B-4553-8D54-0BE6BA906D0B}"/>
    <cellStyle name="Currency 5 2 2 2 6 3 4" xfId="14323" xr:uid="{465198DD-724C-44BD-930F-053EB030873C}"/>
    <cellStyle name="Currency 5 2 2 2 6 4" xfId="18546" xr:uid="{54D7C233-2B1E-4975-BD80-D057D2D5DE03}"/>
    <cellStyle name="Currency 5 2 2 2 6 5" xfId="26991" xr:uid="{DCE8A542-4DBA-475C-9D43-97B97382DD99}"/>
    <cellStyle name="Currency 5 2 2 2 6 6" xfId="10105" xr:uid="{47447028-719F-48ED-A7FD-054F33BA2C1E}"/>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25322" xr:uid="{21C9C4A1-6B48-4FF7-A133-22BA1137D668}"/>
    <cellStyle name="Currency 5 2 2 2 7 2 2 3" xfId="33768" xr:uid="{BF36CDB4-5CFA-423D-8723-F12F778108B4}"/>
    <cellStyle name="Currency 5 2 2 2 7 2 2 4" xfId="16881" xr:uid="{3EF6A8B1-D931-4121-833C-DA0AE1DB25DB}"/>
    <cellStyle name="Currency 5 2 2 2 7 2 3" xfId="21104" xr:uid="{1718305C-6198-4F43-8AFA-5F6359FB761A}"/>
    <cellStyle name="Currency 5 2 2 2 7 2 4" xfId="29551" xr:uid="{9735F7B3-4DDE-4010-9E5B-4A6AE56312EB}"/>
    <cellStyle name="Currency 5 2 2 2 7 2 5" xfId="12663" xr:uid="{DAB4782D-0C2B-4EA6-9FBA-F6244720415E}"/>
    <cellStyle name="Currency 5 2 2 2 7 3" xfId="6294" xr:uid="{00000000-0005-0000-0000-0000C10B0000}"/>
    <cellStyle name="Currency 5 2 2 2 7 3 2" xfId="23177" xr:uid="{7593957F-D9D5-4A19-AD18-0579A7D59667}"/>
    <cellStyle name="Currency 5 2 2 2 7 3 3" xfId="31623" xr:uid="{C706894F-9245-4B89-8B53-8C304DBA8CD4}"/>
    <cellStyle name="Currency 5 2 2 2 7 3 4" xfId="14736" xr:uid="{42EC9599-F62E-429A-9097-43937BEF854A}"/>
    <cellStyle name="Currency 5 2 2 2 7 4" xfId="18959" xr:uid="{61C2BAAB-201C-432C-B53B-EDA014C19746}"/>
    <cellStyle name="Currency 5 2 2 2 7 5" xfId="27404" xr:uid="{A6009BBC-2957-47D4-8391-1503D8CB002B}"/>
    <cellStyle name="Currency 5 2 2 2 7 6" xfId="10518" xr:uid="{B7AD3B84-EDD8-4F29-BB9B-D88905FCD245}"/>
    <cellStyle name="Currency 5 2 2 2 8" xfId="2422" xr:uid="{00000000-0005-0000-0000-0000C20B0000}"/>
    <cellStyle name="Currency 5 2 2 2 8 2" xfId="6707" xr:uid="{00000000-0005-0000-0000-0000C30B0000}"/>
    <cellStyle name="Currency 5 2 2 2 8 2 2" xfId="23590" xr:uid="{4672A64B-F8AA-452B-9E8A-B0C99A02AC34}"/>
    <cellStyle name="Currency 5 2 2 2 8 2 3" xfId="32036" xr:uid="{C86B4E0F-FEAD-42C3-82D2-D1110DF447D3}"/>
    <cellStyle name="Currency 5 2 2 2 8 2 4" xfId="15149" xr:uid="{D9135876-EA24-4200-A86D-3D7F139F9BD9}"/>
    <cellStyle name="Currency 5 2 2 2 8 3" xfId="19372" xr:uid="{4EA618A0-3905-49BA-8B53-2FDC7ACBD524}"/>
    <cellStyle name="Currency 5 2 2 2 8 4" xfId="27817" xr:uid="{CE0BF6F9-4227-4893-9CED-79FECB8BAD4F}"/>
    <cellStyle name="Currency 5 2 2 2 8 5" xfId="10931" xr:uid="{1D74F6A8-4DDC-4252-8C0D-201B69911E06}"/>
    <cellStyle name="Currency 5 2 2 2 9" xfId="2719" xr:uid="{00000000-0005-0000-0000-0000C40B0000}"/>
    <cellStyle name="Currency 5 2 2 3" xfId="200" xr:uid="{00000000-0005-0000-0000-0000C50B0000}"/>
    <cellStyle name="Currency 5 2 2 3 10" xfId="4645" xr:uid="{00000000-0005-0000-0000-0000C60B0000}"/>
    <cellStyle name="Currency 5 2 2 3 10 2" xfId="21528" xr:uid="{981214FE-4DEF-4969-B5AC-8E769599C0B6}"/>
    <cellStyle name="Currency 5 2 2 3 10 3" xfId="29974" xr:uid="{508AECB8-548B-4F21-9D6C-2071910649A1}"/>
    <cellStyle name="Currency 5 2 2 3 10 4" xfId="13087" xr:uid="{4E8BA8F8-4546-4EFA-8B70-46AB295E2FF3}"/>
    <cellStyle name="Currency 5 2 2 3 11" xfId="17310" xr:uid="{89CAE07E-277E-4069-88DC-23ACD2068F78}"/>
    <cellStyle name="Currency 5 2 2 3 12" xfId="25753" xr:uid="{CB250EDF-E0F7-4810-9271-E2E0827A578F}"/>
    <cellStyle name="Currency 5 2 2 3 13" xfId="8869" xr:uid="{61111000-8382-4D1E-B129-9D461FF28220}"/>
    <cellStyle name="Currency 5 2 2 3 2" xfId="201" xr:uid="{00000000-0005-0000-0000-0000C70B0000}"/>
    <cellStyle name="Currency 5 2 2 3 2 10" xfId="17311" xr:uid="{D841E3C0-AEED-4E8D-9124-92020B503026}"/>
    <cellStyle name="Currency 5 2 2 3 2 11" xfId="25754" xr:uid="{8A1620F1-2077-4682-B0C0-2A396B37CFDB}"/>
    <cellStyle name="Currency 5 2 2 3 2 12" xfId="8870" xr:uid="{F5DDC0CA-645C-4A42-ACAE-66E12F6BAA5D}"/>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24088" xr:uid="{42E53ED4-97A8-4FF4-84C9-3FFDCD5D9C04}"/>
    <cellStyle name="Currency 5 2 2 3 2 2 2 2 3" xfId="32534" xr:uid="{03B8ED4A-74F2-4F9F-AD97-4925E43CEE02}"/>
    <cellStyle name="Currency 5 2 2 3 2 2 2 2 4" xfId="15647" xr:uid="{FC925D22-AF83-44EF-8C0D-8D846E9D7DC4}"/>
    <cellStyle name="Currency 5 2 2 3 2 2 2 3" xfId="19870" xr:uid="{2F6C0B20-A3A1-4A9D-A7D6-92EE37385435}"/>
    <cellStyle name="Currency 5 2 2 3 2 2 2 4" xfId="28317" xr:uid="{D65FCBF9-9671-4C11-AE20-BCD952C0ACA3}"/>
    <cellStyle name="Currency 5 2 2 3 2 2 2 5" xfId="11429" xr:uid="{5AB522C1-0B85-4423-A2C6-897E0A5C076B}"/>
    <cellStyle name="Currency 5 2 2 3 2 2 3" xfId="5060" xr:uid="{00000000-0005-0000-0000-0000CB0B0000}"/>
    <cellStyle name="Currency 5 2 2 3 2 2 3 2" xfId="21943" xr:uid="{48063A61-6E2C-4B2F-8E97-B4BBA6D43FBF}"/>
    <cellStyle name="Currency 5 2 2 3 2 2 3 3" xfId="30389" xr:uid="{FEEE4180-F083-475A-BB4A-4002BDFFE26B}"/>
    <cellStyle name="Currency 5 2 2 3 2 2 3 4" xfId="13502" xr:uid="{F4F365F8-4BB4-4FE1-993F-971A11931E78}"/>
    <cellStyle name="Currency 5 2 2 3 2 2 4" xfId="17725" xr:uid="{4392071F-69FF-4703-9618-F89DBA5F2E1A}"/>
    <cellStyle name="Currency 5 2 2 3 2 2 5" xfId="26170" xr:uid="{F6402AB7-12D3-4FAF-AE50-91D88B9D91A2}"/>
    <cellStyle name="Currency 5 2 2 3 2 2 6" xfId="9284" xr:uid="{8A282F0D-3044-4AD1-A54D-3E1D24D0A0E6}"/>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24501" xr:uid="{626E908D-8298-497B-B36C-006D32B40C56}"/>
    <cellStyle name="Currency 5 2 2 3 2 3 2 2 3" xfId="32947" xr:uid="{A1C7A2C1-9A68-41D4-A8B6-6C77813233DD}"/>
    <cellStyle name="Currency 5 2 2 3 2 3 2 2 4" xfId="16060" xr:uid="{79858429-82C7-4B2A-8746-83A41D55A4F0}"/>
    <cellStyle name="Currency 5 2 2 3 2 3 2 3" xfId="20283" xr:uid="{7DCF8C81-8691-4AFB-AEBB-A42E2CD9025D}"/>
    <cellStyle name="Currency 5 2 2 3 2 3 2 4" xfId="28730" xr:uid="{20432BFA-41ED-4D20-924B-32DFCAD3582B}"/>
    <cellStyle name="Currency 5 2 2 3 2 3 2 5" xfId="11842" xr:uid="{723DB04D-6F18-4703-819C-EDDE14DED2A9}"/>
    <cellStyle name="Currency 5 2 2 3 2 3 3" xfId="5473" xr:uid="{00000000-0005-0000-0000-0000CF0B0000}"/>
    <cellStyle name="Currency 5 2 2 3 2 3 3 2" xfId="22356" xr:uid="{DAA66680-5D44-499C-9FA8-3C02F3AD324E}"/>
    <cellStyle name="Currency 5 2 2 3 2 3 3 3" xfId="30802" xr:uid="{604C6501-F73A-4F3D-B659-7FB1F8B94740}"/>
    <cellStyle name="Currency 5 2 2 3 2 3 3 4" xfId="13915" xr:uid="{6363E65F-C643-498F-9B97-906FBB2921A5}"/>
    <cellStyle name="Currency 5 2 2 3 2 3 4" xfId="18138" xr:uid="{D1AC5D31-E969-407C-A027-DA068036DD58}"/>
    <cellStyle name="Currency 5 2 2 3 2 3 5" xfId="26583" xr:uid="{E332BB44-915C-40AC-80AE-7F31D4B0D4DA}"/>
    <cellStyle name="Currency 5 2 2 3 2 3 6" xfId="9697" xr:uid="{AE7F3875-596E-4046-B3BB-8A8E9720AEF1}"/>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24914" xr:uid="{F32AC3BA-2FA5-4839-BF30-F49A61EA2870}"/>
    <cellStyle name="Currency 5 2 2 3 2 4 2 2 3" xfId="33360" xr:uid="{855E2842-848A-46D9-ABA6-F57930CF3DE5}"/>
    <cellStyle name="Currency 5 2 2 3 2 4 2 2 4" xfId="16473" xr:uid="{D8D892E6-60D5-4F6C-A92E-2A9970674422}"/>
    <cellStyle name="Currency 5 2 2 3 2 4 2 3" xfId="20696" xr:uid="{5E45096C-CD66-4856-AE19-B1CE6A6C076A}"/>
    <cellStyle name="Currency 5 2 2 3 2 4 2 4" xfId="29143" xr:uid="{FC2A2DA6-3547-46A4-B29C-16ABC2661532}"/>
    <cellStyle name="Currency 5 2 2 3 2 4 2 5" xfId="12255" xr:uid="{7AE60F76-FB70-4D3C-8268-903D06FC9B97}"/>
    <cellStyle name="Currency 5 2 2 3 2 4 3" xfId="5886" xr:uid="{00000000-0005-0000-0000-0000D30B0000}"/>
    <cellStyle name="Currency 5 2 2 3 2 4 3 2" xfId="22769" xr:uid="{8C1708C3-F8A7-495C-B574-C88F1F476E39}"/>
    <cellStyle name="Currency 5 2 2 3 2 4 3 3" xfId="31215" xr:uid="{9727A3F4-903C-47EB-AE78-850A472C2C85}"/>
    <cellStyle name="Currency 5 2 2 3 2 4 3 4" xfId="14328" xr:uid="{45D22C98-71E7-48A5-85E6-A7D294C1ACBE}"/>
    <cellStyle name="Currency 5 2 2 3 2 4 4" xfId="18551" xr:uid="{352C1C88-EC6A-4DFA-B3C2-6EEE63849DB3}"/>
    <cellStyle name="Currency 5 2 2 3 2 4 5" xfId="26996" xr:uid="{12B57B8E-F304-4B95-BCB3-5FF8B728CC8A}"/>
    <cellStyle name="Currency 5 2 2 3 2 4 6" xfId="10110" xr:uid="{0A39CC5B-2CD9-4E12-9147-D899E3F5CDAF}"/>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25327" xr:uid="{0B5CC5AE-1500-468F-A280-679C444F99C8}"/>
    <cellStyle name="Currency 5 2 2 3 2 5 2 2 3" xfId="33773" xr:uid="{16111F38-2172-4108-BAA8-7A608094C718}"/>
    <cellStyle name="Currency 5 2 2 3 2 5 2 2 4" xfId="16886" xr:uid="{F021FEFB-D95B-4565-8A57-67F6101501C1}"/>
    <cellStyle name="Currency 5 2 2 3 2 5 2 3" xfId="21109" xr:uid="{5358126C-3F56-44E5-89B4-52138120237C}"/>
    <cellStyle name="Currency 5 2 2 3 2 5 2 4" xfId="29556" xr:uid="{50D07B49-13B5-44B4-ABA2-49F5BC1C6F78}"/>
    <cellStyle name="Currency 5 2 2 3 2 5 2 5" xfId="12668" xr:uid="{1A9A5076-11B2-4F96-9CD9-A45190E3B848}"/>
    <cellStyle name="Currency 5 2 2 3 2 5 3" xfId="6299" xr:uid="{00000000-0005-0000-0000-0000D70B0000}"/>
    <cellStyle name="Currency 5 2 2 3 2 5 3 2" xfId="23182" xr:uid="{3080E120-7D0A-4877-93B9-22EE2BCBDCC1}"/>
    <cellStyle name="Currency 5 2 2 3 2 5 3 3" xfId="31628" xr:uid="{F5C085C1-B06F-4F24-8A1F-9D9E329C1525}"/>
    <cellStyle name="Currency 5 2 2 3 2 5 3 4" xfId="14741" xr:uid="{6E45D890-FE45-40A8-A45E-525130CAEABC}"/>
    <cellStyle name="Currency 5 2 2 3 2 5 4" xfId="18964" xr:uid="{7CD36087-BFFE-4111-94C8-42F4692F6AA5}"/>
    <cellStyle name="Currency 5 2 2 3 2 5 5" xfId="27409" xr:uid="{066B26D2-DEC5-43C7-B413-F6AC312B4451}"/>
    <cellStyle name="Currency 5 2 2 3 2 5 6" xfId="10523" xr:uid="{388A1E33-687C-442C-B820-565E651FFB08}"/>
    <cellStyle name="Currency 5 2 2 3 2 6" xfId="2427" xr:uid="{00000000-0005-0000-0000-0000D80B0000}"/>
    <cellStyle name="Currency 5 2 2 3 2 6 2" xfId="6712" xr:uid="{00000000-0005-0000-0000-0000D90B0000}"/>
    <cellStyle name="Currency 5 2 2 3 2 6 2 2" xfId="23595" xr:uid="{99A8A24C-8F76-4C6B-A3D9-87B5013557B3}"/>
    <cellStyle name="Currency 5 2 2 3 2 6 2 3" xfId="32041" xr:uid="{429488CA-385B-4AB7-87DC-F9BE3F47BB1E}"/>
    <cellStyle name="Currency 5 2 2 3 2 6 2 4" xfId="15154" xr:uid="{D32965C7-EC75-41AE-AFE8-EC6D0F82CC27}"/>
    <cellStyle name="Currency 5 2 2 3 2 6 3" xfId="19377" xr:uid="{78C310BA-28F7-4031-A9E0-153B3B07B933}"/>
    <cellStyle name="Currency 5 2 2 3 2 6 4" xfId="27822" xr:uid="{7F08BC15-41C4-4229-968D-52514CA51D0A}"/>
    <cellStyle name="Currency 5 2 2 3 2 6 5" xfId="10936" xr:uid="{0B6ACE67-2690-48CC-8D71-AD853CCD11A4}"/>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23912" xr:uid="{C916C9A1-F420-444E-B84E-25859AFC0D6E}"/>
    <cellStyle name="Currency 5 2 2 3 2 8 2 3" xfId="32358" xr:uid="{91E492C6-851A-4A27-9406-FBD6D6DF2B7D}"/>
    <cellStyle name="Currency 5 2 2 3 2 8 2 4" xfId="15471" xr:uid="{2BE88EDA-97EA-4F97-91A5-0D0164613B5D}"/>
    <cellStyle name="Currency 5 2 2 3 2 8 3" xfId="19694" xr:uid="{BA12BECE-F162-4541-9D5E-977851752680}"/>
    <cellStyle name="Currency 5 2 2 3 2 8 4" xfId="28141" xr:uid="{95654EC5-C136-4A47-94C5-8E6EA793B695}"/>
    <cellStyle name="Currency 5 2 2 3 2 8 5" xfId="11253" xr:uid="{6BAEB390-823A-4EDA-97BD-0BBFF315C568}"/>
    <cellStyle name="Currency 5 2 2 3 2 9" xfId="4646" xr:uid="{00000000-0005-0000-0000-0000DD0B0000}"/>
    <cellStyle name="Currency 5 2 2 3 2 9 2" xfId="21529" xr:uid="{B74674D7-83E5-456A-847D-780A0DDA8134}"/>
    <cellStyle name="Currency 5 2 2 3 2 9 3" xfId="29975" xr:uid="{E3812706-D442-468F-8CAE-9253A440A447}"/>
    <cellStyle name="Currency 5 2 2 3 2 9 4" xfId="13088" xr:uid="{E81AAFF8-3C09-4340-9418-6FD460DDAD48}"/>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24087" xr:uid="{5A5FC5C5-6A18-4B52-97A9-9A9DE91CEE79}"/>
    <cellStyle name="Currency 5 2 2 3 3 2 2 3" xfId="32533" xr:uid="{7D06E4AA-C8B7-4D50-94B7-815835033F80}"/>
    <cellStyle name="Currency 5 2 2 3 3 2 2 4" xfId="15646" xr:uid="{14DFA5B2-0F10-4097-B5A5-1453FF85D1BA}"/>
    <cellStyle name="Currency 5 2 2 3 3 2 3" xfId="19869" xr:uid="{207565A7-8C7D-4EA4-8800-EBB5C6E08689}"/>
    <cellStyle name="Currency 5 2 2 3 3 2 4" xfId="28316" xr:uid="{8FBA4F95-8EEB-4E07-9EE4-43CDF1CF7349}"/>
    <cellStyle name="Currency 5 2 2 3 3 2 5" xfId="11428" xr:uid="{46A84109-95D2-4B3B-97D9-3E07CAC58262}"/>
    <cellStyle name="Currency 5 2 2 3 3 3" xfId="5059" xr:uid="{00000000-0005-0000-0000-0000E10B0000}"/>
    <cellStyle name="Currency 5 2 2 3 3 3 2" xfId="21942" xr:uid="{5F9F0E48-E9D3-4191-A70F-1B15ADBC8FAE}"/>
    <cellStyle name="Currency 5 2 2 3 3 3 3" xfId="30388" xr:uid="{559CEFB5-61FC-43B9-95E9-9D63DC65B9DA}"/>
    <cellStyle name="Currency 5 2 2 3 3 3 4" xfId="13501" xr:uid="{D4A9E68C-1421-47C7-BC4B-C85FC3D41E30}"/>
    <cellStyle name="Currency 5 2 2 3 3 4" xfId="17724" xr:uid="{3BDABFBC-9E05-478A-BAB2-26DDF5AA03C3}"/>
    <cellStyle name="Currency 5 2 2 3 3 5" xfId="26169" xr:uid="{89D45824-B2CA-42EB-A6D0-E89A2078B738}"/>
    <cellStyle name="Currency 5 2 2 3 3 6" xfId="9283" xr:uid="{3D2AB644-72F1-44C2-93F6-BFA69A13DAB5}"/>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24500" xr:uid="{93764B5D-00DF-4128-B5C6-CCF3F288440A}"/>
    <cellStyle name="Currency 5 2 2 3 4 2 2 3" xfId="32946" xr:uid="{5A99DF13-766B-427F-8871-899336280F6B}"/>
    <cellStyle name="Currency 5 2 2 3 4 2 2 4" xfId="16059" xr:uid="{8E42476B-83DC-4667-B466-823CB72A4D9B}"/>
    <cellStyle name="Currency 5 2 2 3 4 2 3" xfId="20282" xr:uid="{D1632F8F-881D-4297-A0F9-7F407CA59B56}"/>
    <cellStyle name="Currency 5 2 2 3 4 2 4" xfId="28729" xr:uid="{0BD9B2B2-C93F-4452-A085-5FD825A9C18F}"/>
    <cellStyle name="Currency 5 2 2 3 4 2 5" xfId="11841" xr:uid="{2A363926-D120-4DDE-AEA9-04382B44D362}"/>
    <cellStyle name="Currency 5 2 2 3 4 3" xfId="5472" xr:uid="{00000000-0005-0000-0000-0000E50B0000}"/>
    <cellStyle name="Currency 5 2 2 3 4 3 2" xfId="22355" xr:uid="{99C795BC-3B37-493E-A9FD-976C0AB457BE}"/>
    <cellStyle name="Currency 5 2 2 3 4 3 3" xfId="30801" xr:uid="{A68FBF6A-1FB9-4D82-8A15-493F09F23C21}"/>
    <cellStyle name="Currency 5 2 2 3 4 3 4" xfId="13914" xr:uid="{06999B3A-84B5-4091-B81C-F98873C9A5BC}"/>
    <cellStyle name="Currency 5 2 2 3 4 4" xfId="18137" xr:uid="{14856D03-0829-443D-9A7E-7903541AE393}"/>
    <cellStyle name="Currency 5 2 2 3 4 5" xfId="26582" xr:uid="{07360E34-E969-4F99-9833-486DE90E06ED}"/>
    <cellStyle name="Currency 5 2 2 3 4 6" xfId="9696" xr:uid="{A1FC0FF3-A34F-4577-9028-05C2FE32E5AE}"/>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24913" xr:uid="{5E40A241-441D-45B5-89DB-2ECC705B02BC}"/>
    <cellStyle name="Currency 5 2 2 3 5 2 2 3" xfId="33359" xr:uid="{8BBE5968-F66F-4B87-A697-AE398B8900D5}"/>
    <cellStyle name="Currency 5 2 2 3 5 2 2 4" xfId="16472" xr:uid="{997FE8F8-BC49-4378-9599-B533C0D49117}"/>
    <cellStyle name="Currency 5 2 2 3 5 2 3" xfId="20695" xr:uid="{E58398F2-1344-4283-A61F-78F50CAD9E30}"/>
    <cellStyle name="Currency 5 2 2 3 5 2 4" xfId="29142" xr:uid="{786AD765-D4C2-48CA-AB62-51EF96EEAF7C}"/>
    <cellStyle name="Currency 5 2 2 3 5 2 5" xfId="12254" xr:uid="{14DFEB3B-0EA5-4BE4-B335-42866E25184B}"/>
    <cellStyle name="Currency 5 2 2 3 5 3" xfId="5885" xr:uid="{00000000-0005-0000-0000-0000E90B0000}"/>
    <cellStyle name="Currency 5 2 2 3 5 3 2" xfId="22768" xr:uid="{FBB71DA9-B332-4812-86C1-CF67BA4BE182}"/>
    <cellStyle name="Currency 5 2 2 3 5 3 3" xfId="31214" xr:uid="{00E0DB01-86E1-4FE9-8C6F-7EDF272700D9}"/>
    <cellStyle name="Currency 5 2 2 3 5 3 4" xfId="14327" xr:uid="{AC7D9274-78A1-4844-BEE7-B59E5BF31686}"/>
    <cellStyle name="Currency 5 2 2 3 5 4" xfId="18550" xr:uid="{9C5B2862-F375-4327-929D-12A3C1EB6FA1}"/>
    <cellStyle name="Currency 5 2 2 3 5 5" xfId="26995" xr:uid="{5D4A48DB-CA53-4007-998D-2DE6EB4DD80D}"/>
    <cellStyle name="Currency 5 2 2 3 5 6" xfId="10109" xr:uid="{948B2637-2D39-411D-B700-37F17FA61D58}"/>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25326" xr:uid="{6CBB490F-AAE2-4E09-8A64-CD32732D6ED4}"/>
    <cellStyle name="Currency 5 2 2 3 6 2 2 3" xfId="33772" xr:uid="{BD1A8174-220C-423D-B9B4-6D811C7231C0}"/>
    <cellStyle name="Currency 5 2 2 3 6 2 2 4" xfId="16885" xr:uid="{7E242C5D-97DC-4ECC-8ADC-363853D7FCBB}"/>
    <cellStyle name="Currency 5 2 2 3 6 2 3" xfId="21108" xr:uid="{E477F0F1-F4C4-46F7-ABBD-CD80E6888191}"/>
    <cellStyle name="Currency 5 2 2 3 6 2 4" xfId="29555" xr:uid="{278D5DE3-ABB7-4F7E-837B-75A3CDCF27D7}"/>
    <cellStyle name="Currency 5 2 2 3 6 2 5" xfId="12667" xr:uid="{1466FCF3-A6A1-4E93-BCDF-E5378FF74674}"/>
    <cellStyle name="Currency 5 2 2 3 6 3" xfId="6298" xr:uid="{00000000-0005-0000-0000-0000ED0B0000}"/>
    <cellStyle name="Currency 5 2 2 3 6 3 2" xfId="23181" xr:uid="{39F634FB-FCD3-497C-9BA4-1263CD959AB3}"/>
    <cellStyle name="Currency 5 2 2 3 6 3 3" xfId="31627" xr:uid="{D3B25F35-112B-4DFD-9A01-BF8AA6C3BAFF}"/>
    <cellStyle name="Currency 5 2 2 3 6 3 4" xfId="14740" xr:uid="{E42BA10D-ACF0-49E4-97D4-663EC311F4A6}"/>
    <cellStyle name="Currency 5 2 2 3 6 4" xfId="18963" xr:uid="{37A4AA9C-A364-4C5A-B154-A9930C69598F}"/>
    <cellStyle name="Currency 5 2 2 3 6 5" xfId="27408" xr:uid="{C5C725BC-F1CD-44EE-88DA-E7016672B113}"/>
    <cellStyle name="Currency 5 2 2 3 6 6" xfId="10522" xr:uid="{9D78C23E-743A-475D-BCAE-6FBF5DC523E0}"/>
    <cellStyle name="Currency 5 2 2 3 7" xfId="2426" xr:uid="{00000000-0005-0000-0000-0000EE0B0000}"/>
    <cellStyle name="Currency 5 2 2 3 7 2" xfId="6711" xr:uid="{00000000-0005-0000-0000-0000EF0B0000}"/>
    <cellStyle name="Currency 5 2 2 3 7 2 2" xfId="23594" xr:uid="{DC63D373-111C-4E0A-A3BB-3AB9A4A94403}"/>
    <cellStyle name="Currency 5 2 2 3 7 2 3" xfId="32040" xr:uid="{0B840481-6A29-46F5-A1E1-A87919BD914A}"/>
    <cellStyle name="Currency 5 2 2 3 7 2 4" xfId="15153" xr:uid="{8A3C515E-D49E-4A7F-9C6B-F3D62B8CFC36}"/>
    <cellStyle name="Currency 5 2 2 3 7 3" xfId="19376" xr:uid="{E31FECD9-40BF-4781-ABA3-21119DB25DB9}"/>
    <cellStyle name="Currency 5 2 2 3 7 4" xfId="27821" xr:uid="{5C5C7BF3-8174-4064-B164-2B0AE9FA5160}"/>
    <cellStyle name="Currency 5 2 2 3 7 5" xfId="10935" xr:uid="{71DD16C9-8F21-4913-BBD4-DF255AAE49E1}"/>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23911" xr:uid="{472E57EC-F00F-483D-BC20-138372F0E3E8}"/>
    <cellStyle name="Currency 5 2 2 3 9 2 3" xfId="32357" xr:uid="{BEFBA625-5D95-48C9-9A87-149A166EC084}"/>
    <cellStyle name="Currency 5 2 2 3 9 2 4" xfId="15470" xr:uid="{5CE7E760-E296-42F9-9DE6-3C6C768C6DA9}"/>
    <cellStyle name="Currency 5 2 2 3 9 3" xfId="19693" xr:uid="{A66D5B08-E9B8-4A7B-BA74-770547258957}"/>
    <cellStyle name="Currency 5 2 2 3 9 4" xfId="28140" xr:uid="{B9234213-33C2-4DAD-94A7-4AF7147FC6B6}"/>
    <cellStyle name="Currency 5 2 2 3 9 5" xfId="11252" xr:uid="{A33C5C6A-7CC0-48C7-AD4E-5837BB817265}"/>
    <cellStyle name="Currency 5 2 2 4" xfId="202" xr:uid="{00000000-0005-0000-0000-0000F30B0000}"/>
    <cellStyle name="Currency 5 2 2 4 10" xfId="17312" xr:uid="{387A4BD8-33A0-4715-8961-8C2508CBF4DA}"/>
    <cellStyle name="Currency 5 2 2 4 11" xfId="25755" xr:uid="{35F4B272-335E-4DD7-A1E7-47EB02E6A527}"/>
    <cellStyle name="Currency 5 2 2 4 12" xfId="8871" xr:uid="{DD49FE17-5D87-47DC-9FA2-45A5C129034C}"/>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24089" xr:uid="{B0F25B4D-1A53-4C5B-9BC9-10BFF2DD135C}"/>
    <cellStyle name="Currency 5 2 2 4 2 2 2 3" xfId="32535" xr:uid="{52F5BA01-6736-4571-8859-33F67C342D4D}"/>
    <cellStyle name="Currency 5 2 2 4 2 2 2 4" xfId="15648" xr:uid="{9343CE99-1E3B-476C-8F38-B0798F3070B0}"/>
    <cellStyle name="Currency 5 2 2 4 2 2 3" xfId="19871" xr:uid="{91909794-63DC-41DD-86D5-609CC474A8A7}"/>
    <cellStyle name="Currency 5 2 2 4 2 2 4" xfId="28318" xr:uid="{D8E3137D-F4E1-4431-81AF-7C177FE9B35F}"/>
    <cellStyle name="Currency 5 2 2 4 2 2 5" xfId="11430" xr:uid="{4353EB50-9E7F-40D3-AE91-70B59723ED2E}"/>
    <cellStyle name="Currency 5 2 2 4 2 3" xfId="5061" xr:uid="{00000000-0005-0000-0000-0000F70B0000}"/>
    <cellStyle name="Currency 5 2 2 4 2 3 2" xfId="21944" xr:uid="{E1CE5C1A-0DD0-423D-980D-59346A0348BD}"/>
    <cellStyle name="Currency 5 2 2 4 2 3 3" xfId="30390" xr:uid="{396663FC-77E0-4ECB-88E4-0ACAAFE288F4}"/>
    <cellStyle name="Currency 5 2 2 4 2 3 4" xfId="13503" xr:uid="{E0B85E65-1B9F-4228-BA33-218C81C94D88}"/>
    <cellStyle name="Currency 5 2 2 4 2 4" xfId="17726" xr:uid="{54475C17-1FAA-4469-ABEF-75346978F4C8}"/>
    <cellStyle name="Currency 5 2 2 4 2 5" xfId="26171" xr:uid="{6EA7EFE5-7A9E-4764-B085-9C664413B7A8}"/>
    <cellStyle name="Currency 5 2 2 4 2 6" xfId="9285" xr:uid="{B21F4C34-BDBE-4D27-B1BD-946A1F7E9A75}"/>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24502" xr:uid="{BC00EF2B-8CEC-41E6-A334-A68886317346}"/>
    <cellStyle name="Currency 5 2 2 4 3 2 2 3" xfId="32948" xr:uid="{1A47AFD0-FCC2-41E3-8028-62F2007E8666}"/>
    <cellStyle name="Currency 5 2 2 4 3 2 2 4" xfId="16061" xr:uid="{6A81EA8A-03A9-4043-BE09-C033C013E1D1}"/>
    <cellStyle name="Currency 5 2 2 4 3 2 3" xfId="20284" xr:uid="{E06A6E9B-3473-4A9A-902F-FCF574B3E54A}"/>
    <cellStyle name="Currency 5 2 2 4 3 2 4" xfId="28731" xr:uid="{340AF9B2-2D75-4E43-B796-38B65CC6296D}"/>
    <cellStyle name="Currency 5 2 2 4 3 2 5" xfId="11843" xr:uid="{CF0FEC35-5A3D-4E14-97E6-5B7ED543E508}"/>
    <cellStyle name="Currency 5 2 2 4 3 3" xfId="5474" xr:uid="{00000000-0005-0000-0000-0000FB0B0000}"/>
    <cellStyle name="Currency 5 2 2 4 3 3 2" xfId="22357" xr:uid="{185E4726-5E92-4C40-BDDD-9808F744D1C6}"/>
    <cellStyle name="Currency 5 2 2 4 3 3 3" xfId="30803" xr:uid="{D28A8FF3-B57F-48B7-941A-27C1C533EAF3}"/>
    <cellStyle name="Currency 5 2 2 4 3 3 4" xfId="13916" xr:uid="{5FA01C98-062A-4BD0-9D94-EC4F401967D4}"/>
    <cellStyle name="Currency 5 2 2 4 3 4" xfId="18139" xr:uid="{3366CA1E-9156-480C-9C52-BC19291DE3DC}"/>
    <cellStyle name="Currency 5 2 2 4 3 5" xfId="26584" xr:uid="{38306D08-E861-433D-8CA1-EF5F469C24A9}"/>
    <cellStyle name="Currency 5 2 2 4 3 6" xfId="9698" xr:uid="{01CEF7EA-E138-4302-80EC-05291A9A6CF3}"/>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24915" xr:uid="{18014994-5012-444B-B620-2FE1AAD0C631}"/>
    <cellStyle name="Currency 5 2 2 4 4 2 2 3" xfId="33361" xr:uid="{94A2BB02-B6B2-49D2-893C-8E3B21B59AB6}"/>
    <cellStyle name="Currency 5 2 2 4 4 2 2 4" xfId="16474" xr:uid="{04092DBC-2918-4A4C-9213-6BEF58CDE659}"/>
    <cellStyle name="Currency 5 2 2 4 4 2 3" xfId="20697" xr:uid="{55EFFCC1-E195-473B-B19D-E0802B725334}"/>
    <cellStyle name="Currency 5 2 2 4 4 2 4" xfId="29144" xr:uid="{BEAFF8B7-0075-436D-8A0D-EDC632257480}"/>
    <cellStyle name="Currency 5 2 2 4 4 2 5" xfId="12256" xr:uid="{D8196689-8368-4E88-B82D-D131F674A1DF}"/>
    <cellStyle name="Currency 5 2 2 4 4 3" xfId="5887" xr:uid="{00000000-0005-0000-0000-0000FF0B0000}"/>
    <cellStyle name="Currency 5 2 2 4 4 3 2" xfId="22770" xr:uid="{558EEFCF-CAE4-42F8-BC22-D1D494F5DCA6}"/>
    <cellStyle name="Currency 5 2 2 4 4 3 3" xfId="31216" xr:uid="{3BD5C537-E252-4A2E-A309-CB4BCB42BECD}"/>
    <cellStyle name="Currency 5 2 2 4 4 3 4" xfId="14329" xr:uid="{4CF483AF-2376-42A0-A622-A4B32075EABF}"/>
    <cellStyle name="Currency 5 2 2 4 4 4" xfId="18552" xr:uid="{226EE07B-BCC0-4BB3-916A-AD621392331A}"/>
    <cellStyle name="Currency 5 2 2 4 4 5" xfId="26997" xr:uid="{320A063F-1518-4B56-910D-7DC919098436}"/>
    <cellStyle name="Currency 5 2 2 4 4 6" xfId="10111" xr:uid="{C93310E2-C9BF-4722-A0DB-38AD2F2A2AC9}"/>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25328" xr:uid="{660F56CA-B33E-4D0A-B807-2CB74501C225}"/>
    <cellStyle name="Currency 5 2 2 4 5 2 2 3" xfId="33774" xr:uid="{7D77CF11-104B-4D40-94FC-1EFAF54AB47C}"/>
    <cellStyle name="Currency 5 2 2 4 5 2 2 4" xfId="16887" xr:uid="{8FE6A843-E0F3-45CD-80DA-E5209C9DB720}"/>
    <cellStyle name="Currency 5 2 2 4 5 2 3" xfId="21110" xr:uid="{8F948D46-A973-4820-BBC5-06577EC1FA5F}"/>
    <cellStyle name="Currency 5 2 2 4 5 2 4" xfId="29557" xr:uid="{BDD679FD-1A47-4B9D-8F3E-BDA3BDEDB1AB}"/>
    <cellStyle name="Currency 5 2 2 4 5 2 5" xfId="12669" xr:uid="{C06E17E0-2140-4927-B2B1-308E19F2825B}"/>
    <cellStyle name="Currency 5 2 2 4 5 3" xfId="6300" xr:uid="{00000000-0005-0000-0000-0000030C0000}"/>
    <cellStyle name="Currency 5 2 2 4 5 3 2" xfId="23183" xr:uid="{6217695F-273C-46E4-A06A-C73FB6D9F9F5}"/>
    <cellStyle name="Currency 5 2 2 4 5 3 3" xfId="31629" xr:uid="{73359A92-3359-4915-AEC8-3EE218B75B0B}"/>
    <cellStyle name="Currency 5 2 2 4 5 3 4" xfId="14742" xr:uid="{1E039442-F80C-4D75-88D7-B3AEF9FE8CDB}"/>
    <cellStyle name="Currency 5 2 2 4 5 4" xfId="18965" xr:uid="{7A85FE86-ED21-4E16-A5A0-2F9A058486DF}"/>
    <cellStyle name="Currency 5 2 2 4 5 5" xfId="27410" xr:uid="{10E6C73C-7435-43E4-A61C-6BDDD98D299E}"/>
    <cellStyle name="Currency 5 2 2 4 5 6" xfId="10524" xr:uid="{239F5D0C-09DB-480B-8661-6830C8797CC4}"/>
    <cellStyle name="Currency 5 2 2 4 6" xfId="2428" xr:uid="{00000000-0005-0000-0000-0000040C0000}"/>
    <cellStyle name="Currency 5 2 2 4 6 2" xfId="6713" xr:uid="{00000000-0005-0000-0000-0000050C0000}"/>
    <cellStyle name="Currency 5 2 2 4 6 2 2" xfId="23596" xr:uid="{9695A4DE-CD6C-4F75-A5E6-F011AD2F52D7}"/>
    <cellStyle name="Currency 5 2 2 4 6 2 3" xfId="32042" xr:uid="{751E04DA-7390-4411-A355-4C68DC7F0AAC}"/>
    <cellStyle name="Currency 5 2 2 4 6 2 4" xfId="15155" xr:uid="{68802E2D-D183-461A-9F5A-F51A0ED4941F}"/>
    <cellStyle name="Currency 5 2 2 4 6 3" xfId="19378" xr:uid="{41737BAC-1AF6-4D8E-81A9-619DE28B0E9B}"/>
    <cellStyle name="Currency 5 2 2 4 6 4" xfId="27823" xr:uid="{AE66A59C-5292-4ED6-BA55-797F24DAC5A7}"/>
    <cellStyle name="Currency 5 2 2 4 6 5" xfId="10937" xr:uid="{037CB34C-DB13-4A04-9A60-9DA010D5DC57}"/>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23913" xr:uid="{D759B431-FEA1-489C-B86E-DECD5FFF6B71}"/>
    <cellStyle name="Currency 5 2 2 4 8 2 3" xfId="32359" xr:uid="{3D8BBF64-666C-4664-84B0-CC6294F0468C}"/>
    <cellStyle name="Currency 5 2 2 4 8 2 4" xfId="15472" xr:uid="{76946116-C857-41E3-B51C-03622BEDABF8}"/>
    <cellStyle name="Currency 5 2 2 4 8 3" xfId="19695" xr:uid="{26069400-0ECC-45E3-BB93-CDE580C1C95F}"/>
    <cellStyle name="Currency 5 2 2 4 8 4" xfId="28142" xr:uid="{2DF26647-9469-4A69-9A1C-3674A6D83884}"/>
    <cellStyle name="Currency 5 2 2 4 8 5" xfId="11254" xr:uid="{3D906F90-D4D6-42BC-902C-9EDEDDB59D8B}"/>
    <cellStyle name="Currency 5 2 2 4 9" xfId="4647" xr:uid="{00000000-0005-0000-0000-0000090C0000}"/>
    <cellStyle name="Currency 5 2 2 4 9 2" xfId="21530" xr:uid="{88268835-3114-4E59-840C-0B3AD59BF2FD}"/>
    <cellStyle name="Currency 5 2 2 4 9 3" xfId="29976" xr:uid="{D0B90C2A-93BE-4689-BB48-056AC33436CB}"/>
    <cellStyle name="Currency 5 2 2 4 9 4" xfId="13089" xr:uid="{1D02860F-0658-4788-850B-577942AFA58D}"/>
    <cellStyle name="Currency 5 2 2 5" xfId="203" xr:uid="{00000000-0005-0000-0000-00000A0C0000}"/>
    <cellStyle name="Currency 5 2 2 5 10" xfId="17313" xr:uid="{214F1001-E39B-4F7B-8046-0FDA6A7F888E}"/>
    <cellStyle name="Currency 5 2 2 5 11" xfId="25756" xr:uid="{541FC95F-4019-41CB-8783-C0D8373B712A}"/>
    <cellStyle name="Currency 5 2 2 5 12" xfId="8872" xr:uid="{24D35FFC-36DB-4342-8433-11017DC0B069}"/>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24090" xr:uid="{427669E5-CD50-45B5-82ED-69498EDE4C12}"/>
    <cellStyle name="Currency 5 2 2 5 2 2 2 3" xfId="32536" xr:uid="{6431A741-D001-4016-9134-E29D4B889946}"/>
    <cellStyle name="Currency 5 2 2 5 2 2 2 4" xfId="15649" xr:uid="{C040046E-D559-4473-91CF-E417CC7BBCCF}"/>
    <cellStyle name="Currency 5 2 2 5 2 2 3" xfId="19872" xr:uid="{FC8869FC-F4DA-4B98-9018-49C3FE7F30CA}"/>
    <cellStyle name="Currency 5 2 2 5 2 2 4" xfId="28319" xr:uid="{87EDC8E2-DE76-467E-9A87-5065B1423936}"/>
    <cellStyle name="Currency 5 2 2 5 2 2 5" xfId="11431" xr:uid="{C77B80FC-62DE-4F49-B3D6-45EDFBBBA180}"/>
    <cellStyle name="Currency 5 2 2 5 2 3" xfId="5062" xr:uid="{00000000-0005-0000-0000-00000E0C0000}"/>
    <cellStyle name="Currency 5 2 2 5 2 3 2" xfId="21945" xr:uid="{E9B3E87F-3797-4131-B01B-62C57AD23B24}"/>
    <cellStyle name="Currency 5 2 2 5 2 3 3" xfId="30391" xr:uid="{7CF3A4AC-C1E0-49E2-A705-A712166741ED}"/>
    <cellStyle name="Currency 5 2 2 5 2 3 4" xfId="13504" xr:uid="{A52B89D6-E462-4985-8461-5F460EC453BC}"/>
    <cellStyle name="Currency 5 2 2 5 2 4" xfId="17727" xr:uid="{78D36E8A-3575-484A-BE21-B4A13C06A177}"/>
    <cellStyle name="Currency 5 2 2 5 2 5" xfId="26172" xr:uid="{E1FF760F-7890-4662-A049-3706D01614AA}"/>
    <cellStyle name="Currency 5 2 2 5 2 6" xfId="9286" xr:uid="{86D2FC85-7C6B-4E4D-9F13-99309FE1A948}"/>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24503" xr:uid="{DEDACD8D-D4C3-4F7D-AFAE-D62BEF79290C}"/>
    <cellStyle name="Currency 5 2 2 5 3 2 2 3" xfId="32949" xr:uid="{C80EE522-2DA7-4027-AE9B-087A2A6B249F}"/>
    <cellStyle name="Currency 5 2 2 5 3 2 2 4" xfId="16062" xr:uid="{C736FBFA-CF4F-49CF-9872-71F02559BB51}"/>
    <cellStyle name="Currency 5 2 2 5 3 2 3" xfId="20285" xr:uid="{4AC493AE-7090-4936-8E01-166EC5B8F4C0}"/>
    <cellStyle name="Currency 5 2 2 5 3 2 4" xfId="28732" xr:uid="{DDA3C0DB-7BDD-4B0F-94C4-F9965F07C5C0}"/>
    <cellStyle name="Currency 5 2 2 5 3 2 5" xfId="11844" xr:uid="{5B99BE5C-67A3-4F5B-915C-2CA2820B11E6}"/>
    <cellStyle name="Currency 5 2 2 5 3 3" xfId="5475" xr:uid="{00000000-0005-0000-0000-0000120C0000}"/>
    <cellStyle name="Currency 5 2 2 5 3 3 2" xfId="22358" xr:uid="{6A8DE180-E31B-4B27-A3E3-35028EC94BFF}"/>
    <cellStyle name="Currency 5 2 2 5 3 3 3" xfId="30804" xr:uid="{97A3F141-44B6-4817-9042-F83A68DC04FB}"/>
    <cellStyle name="Currency 5 2 2 5 3 3 4" xfId="13917" xr:uid="{3D77B58B-6ADE-4F18-8D8E-CC428B02450A}"/>
    <cellStyle name="Currency 5 2 2 5 3 4" xfId="18140" xr:uid="{D52B2C98-227D-4C5E-B555-9BFB3932F0AF}"/>
    <cellStyle name="Currency 5 2 2 5 3 5" xfId="26585" xr:uid="{77C0648E-DD07-4CB7-A47E-CE8C64B07599}"/>
    <cellStyle name="Currency 5 2 2 5 3 6" xfId="9699" xr:uid="{762A4761-F8F8-427B-BA67-CC53A49CE449}"/>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24916" xr:uid="{34270681-2456-40C4-B802-9F27A7383A2C}"/>
    <cellStyle name="Currency 5 2 2 5 4 2 2 3" xfId="33362" xr:uid="{DACC18EA-7EE7-4A39-8FF9-5530BF480EEC}"/>
    <cellStyle name="Currency 5 2 2 5 4 2 2 4" xfId="16475" xr:uid="{49773E87-4CC1-456C-BBDB-D9EC06C5AD4E}"/>
    <cellStyle name="Currency 5 2 2 5 4 2 3" xfId="20698" xr:uid="{7F128F50-B699-4399-9234-F345FC61F905}"/>
    <cellStyle name="Currency 5 2 2 5 4 2 4" xfId="29145" xr:uid="{62B6644F-9873-4387-A9F9-0407D7C6BED5}"/>
    <cellStyle name="Currency 5 2 2 5 4 2 5" xfId="12257" xr:uid="{3880FECB-D58B-4106-829C-4B2558BE3D2D}"/>
    <cellStyle name="Currency 5 2 2 5 4 3" xfId="5888" xr:uid="{00000000-0005-0000-0000-0000160C0000}"/>
    <cellStyle name="Currency 5 2 2 5 4 3 2" xfId="22771" xr:uid="{2214195D-8C36-4948-A384-D88CD14FF101}"/>
    <cellStyle name="Currency 5 2 2 5 4 3 3" xfId="31217" xr:uid="{59487043-2B53-4A78-B986-110F6FAC7290}"/>
    <cellStyle name="Currency 5 2 2 5 4 3 4" xfId="14330" xr:uid="{66594C3E-30BC-4083-93C4-7735AA71E2D7}"/>
    <cellStyle name="Currency 5 2 2 5 4 4" xfId="18553" xr:uid="{F0AD862E-AA94-4075-80D4-B1B603B55148}"/>
    <cellStyle name="Currency 5 2 2 5 4 5" xfId="26998" xr:uid="{268C7DBB-CD71-4C9D-A616-99D4D90DD92F}"/>
    <cellStyle name="Currency 5 2 2 5 4 6" xfId="10112" xr:uid="{29B495DC-66FE-466D-AD64-4F731E64F561}"/>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25329" xr:uid="{D99035C3-CB08-42AA-8DEF-3EF9B0ED96C0}"/>
    <cellStyle name="Currency 5 2 2 5 5 2 2 3" xfId="33775" xr:uid="{EA643833-C0BD-4AEC-918B-AA9EEA772892}"/>
    <cellStyle name="Currency 5 2 2 5 5 2 2 4" xfId="16888" xr:uid="{708AC9C0-711A-4164-A09A-30E14E8C5074}"/>
    <cellStyle name="Currency 5 2 2 5 5 2 3" xfId="21111" xr:uid="{95120071-D871-497B-B725-B1E8D0B42245}"/>
    <cellStyle name="Currency 5 2 2 5 5 2 4" xfId="29558" xr:uid="{49BBEDBC-A2AE-4E7D-AC83-CF480F204A0A}"/>
    <cellStyle name="Currency 5 2 2 5 5 2 5" xfId="12670" xr:uid="{9D3328EE-BC1A-4675-A5D3-BF4C795813C9}"/>
    <cellStyle name="Currency 5 2 2 5 5 3" xfId="6301" xr:uid="{00000000-0005-0000-0000-00001A0C0000}"/>
    <cellStyle name="Currency 5 2 2 5 5 3 2" xfId="23184" xr:uid="{A4DB07C6-130C-4974-8604-73A561E98940}"/>
    <cellStyle name="Currency 5 2 2 5 5 3 3" xfId="31630" xr:uid="{575B38AA-19DA-4F38-BE50-CBD7E26706D6}"/>
    <cellStyle name="Currency 5 2 2 5 5 3 4" xfId="14743" xr:uid="{BE16857A-F78D-4BA8-981E-B2A2B604696B}"/>
    <cellStyle name="Currency 5 2 2 5 5 4" xfId="18966" xr:uid="{93E9A78A-854F-40D3-AAE6-7D958521FE06}"/>
    <cellStyle name="Currency 5 2 2 5 5 5" xfId="27411" xr:uid="{52CDD4F4-AC01-416E-808C-2EAD8AC8B44C}"/>
    <cellStyle name="Currency 5 2 2 5 5 6" xfId="10525" xr:uid="{CDB862FF-AE05-4C25-A0C6-39881B89E008}"/>
    <cellStyle name="Currency 5 2 2 5 6" xfId="2429" xr:uid="{00000000-0005-0000-0000-00001B0C0000}"/>
    <cellStyle name="Currency 5 2 2 5 6 2" xfId="6714" xr:uid="{00000000-0005-0000-0000-00001C0C0000}"/>
    <cellStyle name="Currency 5 2 2 5 6 2 2" xfId="23597" xr:uid="{0D847CE5-6A02-42AB-AB8C-0776C6FCFA2C}"/>
    <cellStyle name="Currency 5 2 2 5 6 2 3" xfId="32043" xr:uid="{7114EAD3-2AFB-46A4-A8B7-85E981458024}"/>
    <cellStyle name="Currency 5 2 2 5 6 2 4" xfId="15156" xr:uid="{665AADD1-AF15-4591-B603-6410FB273B06}"/>
    <cellStyle name="Currency 5 2 2 5 6 3" xfId="19379" xr:uid="{4566E874-885D-403A-9BE1-C4141E24FFA3}"/>
    <cellStyle name="Currency 5 2 2 5 6 4" xfId="27824" xr:uid="{F3AE1C8F-EE00-44DF-94A2-D7EB1E0A3611}"/>
    <cellStyle name="Currency 5 2 2 5 6 5" xfId="10938" xr:uid="{02C65F03-4C68-4193-A075-994C2D69C00C}"/>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23914" xr:uid="{2C79A0EF-BA2A-4411-A15E-AC38712FEFAC}"/>
    <cellStyle name="Currency 5 2 2 5 8 2 3" xfId="32360" xr:uid="{170C3AAF-4605-474E-8B6D-F8347D5CC091}"/>
    <cellStyle name="Currency 5 2 2 5 8 2 4" xfId="15473" xr:uid="{925C3B03-2B4E-4DD9-9220-B0C09E5C3730}"/>
    <cellStyle name="Currency 5 2 2 5 8 3" xfId="19696" xr:uid="{08CDD677-CA52-4B67-81AD-5931DA7D3B0C}"/>
    <cellStyle name="Currency 5 2 2 5 8 4" xfId="28143" xr:uid="{84C4F27A-88B4-456E-84EE-64F77A454F72}"/>
    <cellStyle name="Currency 5 2 2 5 8 5" xfId="11255" xr:uid="{1398648C-456E-4A23-B757-38F2AA51B02C}"/>
    <cellStyle name="Currency 5 2 2 5 9" xfId="4648" xr:uid="{00000000-0005-0000-0000-0000200C0000}"/>
    <cellStyle name="Currency 5 2 2 5 9 2" xfId="21531" xr:uid="{1BE140D2-1766-4BF9-A91A-AB9E96AFA3DB}"/>
    <cellStyle name="Currency 5 2 2 5 9 3" xfId="29977" xr:uid="{B55E7B6F-9006-4FD1-9819-C0C5C43DB9DE}"/>
    <cellStyle name="Currency 5 2 2 5 9 4" xfId="13090" xr:uid="{3F2030D7-BB49-468F-A0EB-07C22B67000B}"/>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21532" xr:uid="{5AFA7E05-9275-4671-B355-91B92197E4A4}"/>
    <cellStyle name="Currency 5 2 4 10 3" xfId="29978" xr:uid="{BBA0DA42-3C37-460C-88F1-2F6FE497D863}"/>
    <cellStyle name="Currency 5 2 4 10 4" xfId="13091" xr:uid="{F9C11FA2-B0F4-44E0-8643-B43CFEFA1808}"/>
    <cellStyle name="Currency 5 2 4 11" xfId="17314" xr:uid="{05E28D7E-4F23-425C-AEF5-774CDFABAA6D}"/>
    <cellStyle name="Currency 5 2 4 12" xfId="25757" xr:uid="{2DF1EB6E-4179-4B8B-8BB9-A0CB925DBCF8}"/>
    <cellStyle name="Currency 5 2 4 13" xfId="8873" xr:uid="{0FAB5B12-48F1-4F1D-9DC7-8D8DA0A5F761}"/>
    <cellStyle name="Currency 5 2 4 2" xfId="206" xr:uid="{00000000-0005-0000-0000-0000250C0000}"/>
    <cellStyle name="Currency 5 2 4 2 10" xfId="17315" xr:uid="{670AF997-2BD6-498E-BCA0-24E8F9CD178F}"/>
    <cellStyle name="Currency 5 2 4 2 11" xfId="25758" xr:uid="{C540D4DE-F3F9-40E2-BE3F-4F3E22A105B0}"/>
    <cellStyle name="Currency 5 2 4 2 12" xfId="8874" xr:uid="{E80B26DE-6AAC-4122-A6AB-60A5A2E1804D}"/>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24092" xr:uid="{C97288C3-A718-45DB-BB95-12C2C8991BA0}"/>
    <cellStyle name="Currency 5 2 4 2 2 2 2 3" xfId="32538" xr:uid="{DB605F71-BC51-4799-B0B5-0B05BBB20C63}"/>
    <cellStyle name="Currency 5 2 4 2 2 2 2 4" xfId="15651" xr:uid="{66CA2CBA-D213-403F-8225-F19A08F2DC27}"/>
    <cellStyle name="Currency 5 2 4 2 2 2 3" xfId="19874" xr:uid="{DEE8186C-6885-41FF-8EB8-9B155F304151}"/>
    <cellStyle name="Currency 5 2 4 2 2 2 4" xfId="28321" xr:uid="{1144D877-6679-448B-80F4-9571F8FE8009}"/>
    <cellStyle name="Currency 5 2 4 2 2 2 5" xfId="11433" xr:uid="{476F0552-0AA1-43CE-B441-C5F4FCE92900}"/>
    <cellStyle name="Currency 5 2 4 2 2 3" xfId="5064" xr:uid="{00000000-0005-0000-0000-0000290C0000}"/>
    <cellStyle name="Currency 5 2 4 2 2 3 2" xfId="21947" xr:uid="{665D2CCA-D83F-499E-85E1-379990A76175}"/>
    <cellStyle name="Currency 5 2 4 2 2 3 3" xfId="30393" xr:uid="{601F8E36-6F3F-457C-84C9-584788782820}"/>
    <cellStyle name="Currency 5 2 4 2 2 3 4" xfId="13506" xr:uid="{F3244BAC-76FF-4112-922F-16B48CC2940B}"/>
    <cellStyle name="Currency 5 2 4 2 2 4" xfId="17729" xr:uid="{3D06ED3E-32E7-4E8E-A2BB-87665BE4EEC6}"/>
    <cellStyle name="Currency 5 2 4 2 2 5" xfId="26174" xr:uid="{297F7CA8-D13E-4B9A-A0B2-50A46EC2568A}"/>
    <cellStyle name="Currency 5 2 4 2 2 6" xfId="9288" xr:uid="{F2D8663A-0A90-417A-938B-50E15CBBCF16}"/>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24505" xr:uid="{ED57CEBC-5840-4E37-AAF8-C2A1BBC953CF}"/>
    <cellStyle name="Currency 5 2 4 2 3 2 2 3" xfId="32951" xr:uid="{0AC204AF-BEC2-4046-B3B2-4DEA09B317DB}"/>
    <cellStyle name="Currency 5 2 4 2 3 2 2 4" xfId="16064" xr:uid="{53845971-38B7-4A35-9494-8D3974FA90EF}"/>
    <cellStyle name="Currency 5 2 4 2 3 2 3" xfId="20287" xr:uid="{632EB121-0989-4539-9B7F-789E03C74A6A}"/>
    <cellStyle name="Currency 5 2 4 2 3 2 4" xfId="28734" xr:uid="{4C08215D-D4EC-486A-885D-7470966C3B30}"/>
    <cellStyle name="Currency 5 2 4 2 3 2 5" xfId="11846" xr:uid="{E8661BE7-3139-4EA3-A0B6-370426DF752E}"/>
    <cellStyle name="Currency 5 2 4 2 3 3" xfId="5477" xr:uid="{00000000-0005-0000-0000-00002D0C0000}"/>
    <cellStyle name="Currency 5 2 4 2 3 3 2" xfId="22360" xr:uid="{EF8DA3A5-B45E-420C-9CAE-991F0B2F2A6B}"/>
    <cellStyle name="Currency 5 2 4 2 3 3 3" xfId="30806" xr:uid="{E526E2E6-6892-4752-94F4-6212601887C2}"/>
    <cellStyle name="Currency 5 2 4 2 3 3 4" xfId="13919" xr:uid="{96268629-770D-4A45-9468-F360CA1098EB}"/>
    <cellStyle name="Currency 5 2 4 2 3 4" xfId="18142" xr:uid="{08B6BD6A-0321-40E8-9AB1-9200BB7DCF78}"/>
    <cellStyle name="Currency 5 2 4 2 3 5" xfId="26587" xr:uid="{1D3ADCFD-B537-45AB-B4E8-4B00977689CC}"/>
    <cellStyle name="Currency 5 2 4 2 3 6" xfId="9701" xr:uid="{576E3BB0-FE84-45C4-8599-234ADBE9C221}"/>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24918" xr:uid="{32051647-FEA6-4991-8A1F-BDFB9D21820B}"/>
    <cellStyle name="Currency 5 2 4 2 4 2 2 3" xfId="33364" xr:uid="{721DD075-EDE8-4628-8786-7084A3DDFF33}"/>
    <cellStyle name="Currency 5 2 4 2 4 2 2 4" xfId="16477" xr:uid="{49CF0625-2004-4206-A5C1-A27C3E57BDF0}"/>
    <cellStyle name="Currency 5 2 4 2 4 2 3" xfId="20700" xr:uid="{FCEDFE2E-4EBD-4B32-A944-52AAB534EA19}"/>
    <cellStyle name="Currency 5 2 4 2 4 2 4" xfId="29147" xr:uid="{6401290E-434F-4F83-B120-39ADBFAA3535}"/>
    <cellStyle name="Currency 5 2 4 2 4 2 5" xfId="12259" xr:uid="{5476409F-0FC3-4E0B-B929-E0ECA779F98E}"/>
    <cellStyle name="Currency 5 2 4 2 4 3" xfId="5890" xr:uid="{00000000-0005-0000-0000-0000310C0000}"/>
    <cellStyle name="Currency 5 2 4 2 4 3 2" xfId="22773" xr:uid="{A641028A-CBFD-424F-8F8E-12779810E419}"/>
    <cellStyle name="Currency 5 2 4 2 4 3 3" xfId="31219" xr:uid="{7B681B31-F211-4E62-BD2D-285CAAE4FE73}"/>
    <cellStyle name="Currency 5 2 4 2 4 3 4" xfId="14332" xr:uid="{984AD2EC-02C9-49AB-9713-51078C458124}"/>
    <cellStyle name="Currency 5 2 4 2 4 4" xfId="18555" xr:uid="{FEE6F8A8-C47C-421D-869C-89ED889C14E2}"/>
    <cellStyle name="Currency 5 2 4 2 4 5" xfId="27000" xr:uid="{44636242-382E-490C-BCCD-DCA969869E65}"/>
    <cellStyle name="Currency 5 2 4 2 4 6" xfId="10114" xr:uid="{E360146D-7023-464E-BFC2-80AE9FD153EC}"/>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25331" xr:uid="{8619C88B-39AC-46F2-AAB5-617215AFC5C1}"/>
    <cellStyle name="Currency 5 2 4 2 5 2 2 3" xfId="33777" xr:uid="{DF467DB1-7091-417C-9AAC-25227A16409F}"/>
    <cellStyle name="Currency 5 2 4 2 5 2 2 4" xfId="16890" xr:uid="{2696180F-7630-4ED2-928F-4980DD09F965}"/>
    <cellStyle name="Currency 5 2 4 2 5 2 3" xfId="21113" xr:uid="{EA9E7A51-38CA-4246-8FF4-F78932F780CA}"/>
    <cellStyle name="Currency 5 2 4 2 5 2 4" xfId="29560" xr:uid="{976B4D47-EF42-4C5A-8D91-65509BB58B9C}"/>
    <cellStyle name="Currency 5 2 4 2 5 2 5" xfId="12672" xr:uid="{620037D2-43CB-4E83-B1FC-D44EBB43BDB0}"/>
    <cellStyle name="Currency 5 2 4 2 5 3" xfId="6303" xr:uid="{00000000-0005-0000-0000-0000350C0000}"/>
    <cellStyle name="Currency 5 2 4 2 5 3 2" xfId="23186" xr:uid="{A336B35D-9773-4429-8D2C-8B071D685277}"/>
    <cellStyle name="Currency 5 2 4 2 5 3 3" xfId="31632" xr:uid="{39D1AAFD-38DB-4D71-BDE0-0F72CEE044F4}"/>
    <cellStyle name="Currency 5 2 4 2 5 3 4" xfId="14745" xr:uid="{87387B6D-3D00-4131-A4AC-9FFD8AEDE8BB}"/>
    <cellStyle name="Currency 5 2 4 2 5 4" xfId="18968" xr:uid="{93B603D2-17E4-44A0-8605-DEEBCA5BBFAB}"/>
    <cellStyle name="Currency 5 2 4 2 5 5" xfId="27413" xr:uid="{C54CB036-1023-44FA-BF38-88C181F0150C}"/>
    <cellStyle name="Currency 5 2 4 2 5 6" xfId="10527" xr:uid="{240C9C82-E3BF-46CF-871F-B5B25EA58BFC}"/>
    <cellStyle name="Currency 5 2 4 2 6" xfId="2431" xr:uid="{00000000-0005-0000-0000-0000360C0000}"/>
    <cellStyle name="Currency 5 2 4 2 6 2" xfId="6716" xr:uid="{00000000-0005-0000-0000-0000370C0000}"/>
    <cellStyle name="Currency 5 2 4 2 6 2 2" xfId="23599" xr:uid="{6B940B6B-CAF4-409A-9943-71ECA6716F04}"/>
    <cellStyle name="Currency 5 2 4 2 6 2 3" xfId="32045" xr:uid="{D0A742C6-B5FF-4D3A-AD29-39FC6BAAB45D}"/>
    <cellStyle name="Currency 5 2 4 2 6 2 4" xfId="15158" xr:uid="{29C9FF4B-19E0-4720-B76C-39ABF9B40E6F}"/>
    <cellStyle name="Currency 5 2 4 2 6 3" xfId="19381" xr:uid="{4B3F4E6D-8DA2-401F-9574-8FC970E1F84C}"/>
    <cellStyle name="Currency 5 2 4 2 6 4" xfId="27826" xr:uid="{7FD6EB26-68AF-42E3-ACD7-0F892EEDC8F8}"/>
    <cellStyle name="Currency 5 2 4 2 6 5" xfId="10940" xr:uid="{BE000E69-65BC-4136-A36B-1542FF92DC68}"/>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23916" xr:uid="{0672D431-7F1B-467F-B5C5-B4D9363A18E1}"/>
    <cellStyle name="Currency 5 2 4 2 8 2 3" xfId="32362" xr:uid="{FBB0A3DB-8B35-4DDE-B98F-FA740600F861}"/>
    <cellStyle name="Currency 5 2 4 2 8 2 4" xfId="15475" xr:uid="{70AC1A92-4826-4D1B-96C2-EED4E4562BD9}"/>
    <cellStyle name="Currency 5 2 4 2 8 3" xfId="19698" xr:uid="{185FBBE6-4B60-43AF-81F1-5B0BFAFC3B9A}"/>
    <cellStyle name="Currency 5 2 4 2 8 4" xfId="28145" xr:uid="{C2C11825-BFB8-4857-B265-23A91FE1F3D5}"/>
    <cellStyle name="Currency 5 2 4 2 8 5" xfId="11257" xr:uid="{879C25A3-2C95-4689-9A5F-48B0F628D2BD}"/>
    <cellStyle name="Currency 5 2 4 2 9" xfId="4650" xr:uid="{00000000-0005-0000-0000-00003B0C0000}"/>
    <cellStyle name="Currency 5 2 4 2 9 2" xfId="21533" xr:uid="{00053364-DACE-481F-A5E1-02D8432FBBB3}"/>
    <cellStyle name="Currency 5 2 4 2 9 3" xfId="29979" xr:uid="{328A4ADB-68DD-4599-8296-80596FBC3151}"/>
    <cellStyle name="Currency 5 2 4 2 9 4" xfId="13092" xr:uid="{7CBE6D81-1E06-480B-8236-A3C5B8DBE51F}"/>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24091" xr:uid="{6B1ACF8A-2E5E-443F-AB01-10DF5DACE1C7}"/>
    <cellStyle name="Currency 5 2 4 3 2 2 3" xfId="32537" xr:uid="{91C09B22-A781-47F0-AA0B-19817D5E7270}"/>
    <cellStyle name="Currency 5 2 4 3 2 2 4" xfId="15650" xr:uid="{96D005BC-E105-4626-96F7-D2D3105A0E54}"/>
    <cellStyle name="Currency 5 2 4 3 2 3" xfId="19873" xr:uid="{473FAF21-F7A2-47D6-A549-B674AF9A857D}"/>
    <cellStyle name="Currency 5 2 4 3 2 4" xfId="28320" xr:uid="{8D7F7A74-1F7D-46E0-8C33-1CBACC170C26}"/>
    <cellStyle name="Currency 5 2 4 3 2 5" xfId="11432" xr:uid="{809357D5-0A0B-41D7-A48A-0B722F98E9D8}"/>
    <cellStyle name="Currency 5 2 4 3 3" xfId="5063" xr:uid="{00000000-0005-0000-0000-00003F0C0000}"/>
    <cellStyle name="Currency 5 2 4 3 3 2" xfId="21946" xr:uid="{575894D1-1605-4B72-8205-202DE3711FC8}"/>
    <cellStyle name="Currency 5 2 4 3 3 3" xfId="30392" xr:uid="{21835D0B-2C67-4314-B57B-239477478B88}"/>
    <cellStyle name="Currency 5 2 4 3 3 4" xfId="13505" xr:uid="{2452055D-BFF5-4230-9793-DBC9DD6394FD}"/>
    <cellStyle name="Currency 5 2 4 3 4" xfId="17728" xr:uid="{E835C967-BE31-42C0-84DD-B4794FF6E19D}"/>
    <cellStyle name="Currency 5 2 4 3 5" xfId="26173" xr:uid="{4F9AAECB-DBC9-4923-BA7F-DC37EE83D72D}"/>
    <cellStyle name="Currency 5 2 4 3 6" xfId="9287" xr:uid="{7B15EAC1-1327-4AD2-912F-A88F9673A85C}"/>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24504" xr:uid="{693367BA-6DA3-4E6D-91D6-FDCA4F425AF3}"/>
    <cellStyle name="Currency 5 2 4 4 2 2 3" xfId="32950" xr:uid="{47959A3C-4E7B-4E77-8EFE-E5FBE56ACD9D}"/>
    <cellStyle name="Currency 5 2 4 4 2 2 4" xfId="16063" xr:uid="{938C4548-ADF6-4AC1-92EF-9E64A09D209D}"/>
    <cellStyle name="Currency 5 2 4 4 2 3" xfId="20286" xr:uid="{6ABBF723-B409-4D87-BC58-93C40EB09AD9}"/>
    <cellStyle name="Currency 5 2 4 4 2 4" xfId="28733" xr:uid="{F01DDD0E-C7B7-4335-BEA6-06C777ECEFFF}"/>
    <cellStyle name="Currency 5 2 4 4 2 5" xfId="11845" xr:uid="{77E8C8A1-8CEA-4295-85C2-636CA781BEB0}"/>
    <cellStyle name="Currency 5 2 4 4 3" xfId="5476" xr:uid="{00000000-0005-0000-0000-0000430C0000}"/>
    <cellStyle name="Currency 5 2 4 4 3 2" xfId="22359" xr:uid="{D6D73701-8615-4B0C-8D2F-FA6F4821F47E}"/>
    <cellStyle name="Currency 5 2 4 4 3 3" xfId="30805" xr:uid="{E77FDC8C-55BD-4D5D-9EBD-61DEECB33ED0}"/>
    <cellStyle name="Currency 5 2 4 4 3 4" xfId="13918" xr:uid="{E0E27F3A-24A9-4E5C-B3CA-5713E7E131A2}"/>
    <cellStyle name="Currency 5 2 4 4 4" xfId="18141" xr:uid="{A3DC10CD-DA34-4614-8A41-655ED377A15F}"/>
    <cellStyle name="Currency 5 2 4 4 5" xfId="26586" xr:uid="{39F6C5CA-7396-4B4D-9883-DAF18126A342}"/>
    <cellStyle name="Currency 5 2 4 4 6" xfId="9700" xr:uid="{CC9FFFE2-ABBA-4A3F-B00A-7257BE357BA4}"/>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24917" xr:uid="{2399A2E0-DDF7-4A21-AB58-CA9DE6850486}"/>
    <cellStyle name="Currency 5 2 4 5 2 2 3" xfId="33363" xr:uid="{9A2D96D3-313B-4187-9F8D-BAE93E85A326}"/>
    <cellStyle name="Currency 5 2 4 5 2 2 4" xfId="16476" xr:uid="{E9ABC030-DB68-4BFD-96F9-47B8B810308E}"/>
    <cellStyle name="Currency 5 2 4 5 2 3" xfId="20699" xr:uid="{0A44D198-BC97-431A-B33D-89AA70FEA7C1}"/>
    <cellStyle name="Currency 5 2 4 5 2 4" xfId="29146" xr:uid="{7748B87B-A85F-426D-BB09-EF6D555A8FD0}"/>
    <cellStyle name="Currency 5 2 4 5 2 5" xfId="12258" xr:uid="{29AE1341-5FE2-488F-8A0E-E179053AC862}"/>
    <cellStyle name="Currency 5 2 4 5 3" xfId="5889" xr:uid="{00000000-0005-0000-0000-0000470C0000}"/>
    <cellStyle name="Currency 5 2 4 5 3 2" xfId="22772" xr:uid="{39E61884-083E-40A9-8677-6F41727E09BB}"/>
    <cellStyle name="Currency 5 2 4 5 3 3" xfId="31218" xr:uid="{F350BBB3-F719-4CF4-A1BD-5DDAC8E30E54}"/>
    <cellStyle name="Currency 5 2 4 5 3 4" xfId="14331" xr:uid="{DE64F120-7C2A-4347-BCFB-1C9995CABCF6}"/>
    <cellStyle name="Currency 5 2 4 5 4" xfId="18554" xr:uid="{E4A3875D-77DC-4EB2-8ED8-0E05BB09FBE1}"/>
    <cellStyle name="Currency 5 2 4 5 5" xfId="26999" xr:uid="{02D77D04-255C-4AAC-ADCB-5008F5890CED}"/>
    <cellStyle name="Currency 5 2 4 5 6" xfId="10113" xr:uid="{92C575D0-AD87-47E7-B226-107EBF4C3250}"/>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25330" xr:uid="{D100FEF6-292C-43B5-B45F-E07976C0CB5F}"/>
    <cellStyle name="Currency 5 2 4 6 2 2 3" xfId="33776" xr:uid="{BF39AA6D-00FF-4B8A-8EA9-79526BE30513}"/>
    <cellStyle name="Currency 5 2 4 6 2 2 4" xfId="16889" xr:uid="{FC15659C-3E67-490A-8695-B3DCD28FEE1A}"/>
    <cellStyle name="Currency 5 2 4 6 2 3" xfId="21112" xr:uid="{77322AC2-441A-4960-9D9E-9A6F6C43566F}"/>
    <cellStyle name="Currency 5 2 4 6 2 4" xfId="29559" xr:uid="{FC487944-722D-4CD6-9484-A50FAABF0139}"/>
    <cellStyle name="Currency 5 2 4 6 2 5" xfId="12671" xr:uid="{1AD33ECB-1441-4D17-9FCE-CEE68B95A5B6}"/>
    <cellStyle name="Currency 5 2 4 6 3" xfId="6302" xr:uid="{00000000-0005-0000-0000-00004B0C0000}"/>
    <cellStyle name="Currency 5 2 4 6 3 2" xfId="23185" xr:uid="{74BA1E1B-841D-47A4-9D4A-54D210D4D161}"/>
    <cellStyle name="Currency 5 2 4 6 3 3" xfId="31631" xr:uid="{2A03BD04-EF4F-4E4F-AF00-56E10D417090}"/>
    <cellStyle name="Currency 5 2 4 6 3 4" xfId="14744" xr:uid="{4A2C19D8-36AB-4674-95F3-F1B970FF923F}"/>
    <cellStyle name="Currency 5 2 4 6 4" xfId="18967" xr:uid="{5A626D54-89C8-435C-A8E5-D1B1F0353A75}"/>
    <cellStyle name="Currency 5 2 4 6 5" xfId="27412" xr:uid="{8CA6EC08-8F2C-4188-929A-F873364366E8}"/>
    <cellStyle name="Currency 5 2 4 6 6" xfId="10526" xr:uid="{306B2F25-1A1D-4FE9-8318-15BDBA65D609}"/>
    <cellStyle name="Currency 5 2 4 7" xfId="2430" xr:uid="{00000000-0005-0000-0000-00004C0C0000}"/>
    <cellStyle name="Currency 5 2 4 7 2" xfId="6715" xr:uid="{00000000-0005-0000-0000-00004D0C0000}"/>
    <cellStyle name="Currency 5 2 4 7 2 2" xfId="23598" xr:uid="{8E4B2EA0-F7D8-4F8A-99C8-702E745B867E}"/>
    <cellStyle name="Currency 5 2 4 7 2 3" xfId="32044" xr:uid="{CC71EFFB-A7B1-4FD7-B4CA-4CD2EF5A473A}"/>
    <cellStyle name="Currency 5 2 4 7 2 4" xfId="15157" xr:uid="{FEE0330E-A61D-4F1B-8F00-A94CCB16657B}"/>
    <cellStyle name="Currency 5 2 4 7 3" xfId="19380" xr:uid="{BC78388F-B667-4FD6-85FA-43857328CED3}"/>
    <cellStyle name="Currency 5 2 4 7 4" xfId="27825" xr:uid="{A6BEB2D3-301C-469A-9565-852EBB353760}"/>
    <cellStyle name="Currency 5 2 4 7 5" xfId="10939" xr:uid="{C1FC8942-6879-4033-BC9D-B8EFD86FB323}"/>
    <cellStyle name="Currency 5 2 4 8" xfId="2727" xr:uid="{00000000-0005-0000-0000-00004E0C0000}"/>
    <cellStyle name="Currency 5 2 4 9" xfId="2808" xr:uid="{00000000-0005-0000-0000-00004F0C0000}"/>
    <cellStyle name="Currency 5 2 4 9 2" xfId="7032" xr:uid="{00000000-0005-0000-0000-0000500C0000}"/>
    <cellStyle name="Currency 5 2 4 9 2 2" xfId="23915" xr:uid="{6D86B496-3829-4CF3-8F9F-916F897FC5A1}"/>
    <cellStyle name="Currency 5 2 4 9 2 3" xfId="32361" xr:uid="{FCC05EF9-23DF-49F8-B2CA-62AB6BFC980A}"/>
    <cellStyle name="Currency 5 2 4 9 2 4" xfId="15474" xr:uid="{5DBE1E10-95D9-4A89-957C-8091A5A00E25}"/>
    <cellStyle name="Currency 5 2 4 9 3" xfId="19697" xr:uid="{E09503E5-F6FF-42F3-BC21-AFA596C8EC76}"/>
    <cellStyle name="Currency 5 2 4 9 4" xfId="28144" xr:uid="{079BDF17-4537-469E-9534-F7EE49CAE6CC}"/>
    <cellStyle name="Currency 5 2 4 9 5" xfId="11256" xr:uid="{2B5620F1-0053-401E-B272-3FD2CC72A09D}"/>
    <cellStyle name="Currency 5 2 5" xfId="207" xr:uid="{00000000-0005-0000-0000-0000510C0000}"/>
    <cellStyle name="Currency 5 2 5 10" xfId="17316" xr:uid="{E57CCAB1-7A30-490F-9A45-451449F83273}"/>
    <cellStyle name="Currency 5 2 5 11" xfId="25759" xr:uid="{7A61382F-453D-4A61-A78C-0F4006CEF008}"/>
    <cellStyle name="Currency 5 2 5 12" xfId="8875" xr:uid="{507111E6-0355-4273-B436-AAB5EBFA4BCD}"/>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24093" xr:uid="{742581F3-5722-4668-93A5-B14167912CF0}"/>
    <cellStyle name="Currency 5 2 5 2 2 2 3" xfId="32539" xr:uid="{DB944877-E6AA-4D79-8A80-0FDBCA248E6E}"/>
    <cellStyle name="Currency 5 2 5 2 2 2 4" xfId="15652" xr:uid="{31135BD3-3A58-4A2B-AF2E-F334E2A38CE3}"/>
    <cellStyle name="Currency 5 2 5 2 2 3" xfId="19875" xr:uid="{42667914-D804-41A3-BE5F-656E3CD2B66E}"/>
    <cellStyle name="Currency 5 2 5 2 2 4" xfId="28322" xr:uid="{8D76E2D5-0BBF-4444-9A20-E96279B7B9E2}"/>
    <cellStyle name="Currency 5 2 5 2 2 5" xfId="11434" xr:uid="{079DA892-3F7B-40B1-B424-1B2C892696A7}"/>
    <cellStyle name="Currency 5 2 5 2 3" xfId="5065" xr:uid="{00000000-0005-0000-0000-0000550C0000}"/>
    <cellStyle name="Currency 5 2 5 2 3 2" xfId="21948" xr:uid="{0D20457C-39DE-47A8-9CE4-FAAD33BF3F14}"/>
    <cellStyle name="Currency 5 2 5 2 3 3" xfId="30394" xr:uid="{6BCA9E71-B97A-4A77-A7DA-A4CEA7D6813C}"/>
    <cellStyle name="Currency 5 2 5 2 3 4" xfId="13507" xr:uid="{188B8000-0913-40D4-815D-43A831CBAD5A}"/>
    <cellStyle name="Currency 5 2 5 2 4" xfId="17730" xr:uid="{DC070992-CB64-46DC-AF30-E62C82589A99}"/>
    <cellStyle name="Currency 5 2 5 2 5" xfId="26175" xr:uid="{3CE11D15-BF54-441B-A54F-FA1C9F617A7F}"/>
    <cellStyle name="Currency 5 2 5 2 6" xfId="9289" xr:uid="{5D00F4D8-3389-4FB8-9FBD-E7F45AD1E39D}"/>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24506" xr:uid="{6CCF3551-FB30-423F-A9E4-4FCCA5757329}"/>
    <cellStyle name="Currency 5 2 5 3 2 2 3" xfId="32952" xr:uid="{7A78E623-5E66-477C-95BC-707F07EDD8D5}"/>
    <cellStyle name="Currency 5 2 5 3 2 2 4" xfId="16065" xr:uid="{CED195DE-E43C-4115-A74B-C68BA60B1A40}"/>
    <cellStyle name="Currency 5 2 5 3 2 3" xfId="20288" xr:uid="{3F9906D0-F22D-436E-B2D8-B61A631DB9FE}"/>
    <cellStyle name="Currency 5 2 5 3 2 4" xfId="28735" xr:uid="{46CA530C-3F74-415E-AD61-F25D3D43289D}"/>
    <cellStyle name="Currency 5 2 5 3 2 5" xfId="11847" xr:uid="{5BFCB3D4-5375-45F1-9074-F886617011C8}"/>
    <cellStyle name="Currency 5 2 5 3 3" xfId="5478" xr:uid="{00000000-0005-0000-0000-0000590C0000}"/>
    <cellStyle name="Currency 5 2 5 3 3 2" xfId="22361" xr:uid="{735F5EA8-F993-4A3B-B8F1-080BA2F7CDA7}"/>
    <cellStyle name="Currency 5 2 5 3 3 3" xfId="30807" xr:uid="{75A0F34E-97C0-4D08-9961-FAB638C0D4A2}"/>
    <cellStyle name="Currency 5 2 5 3 3 4" xfId="13920" xr:uid="{F3DD0085-8E04-41CC-B279-77906BC754DA}"/>
    <cellStyle name="Currency 5 2 5 3 4" xfId="18143" xr:uid="{57149F03-E4FE-478B-97DA-DA067B8C4878}"/>
    <cellStyle name="Currency 5 2 5 3 5" xfId="26588" xr:uid="{C9B33652-C7CD-43FA-B0AE-983CF07E638A}"/>
    <cellStyle name="Currency 5 2 5 3 6" xfId="9702" xr:uid="{B77DA99E-A2E9-49BD-8AE8-EC4971DDA90C}"/>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24919" xr:uid="{A33431F1-D865-47A1-B330-959C7B0584D5}"/>
    <cellStyle name="Currency 5 2 5 4 2 2 3" xfId="33365" xr:uid="{805A14BB-9BD0-46EE-B882-283E9A851426}"/>
    <cellStyle name="Currency 5 2 5 4 2 2 4" xfId="16478" xr:uid="{3905113C-6C4F-492B-A50C-106CEFE359A7}"/>
    <cellStyle name="Currency 5 2 5 4 2 3" xfId="20701" xr:uid="{883DFD54-CBEB-42CD-9ED4-BA8642B228A4}"/>
    <cellStyle name="Currency 5 2 5 4 2 4" xfId="29148" xr:uid="{7AC3AAFC-DDC0-4957-B9E9-ADF382E209DE}"/>
    <cellStyle name="Currency 5 2 5 4 2 5" xfId="12260" xr:uid="{1E481CE0-D57D-4CA1-9401-67A112D46F8B}"/>
    <cellStyle name="Currency 5 2 5 4 3" xfId="5891" xr:uid="{00000000-0005-0000-0000-00005D0C0000}"/>
    <cellStyle name="Currency 5 2 5 4 3 2" xfId="22774" xr:uid="{583986E5-5DFF-4AE8-BAF2-C99ABB41D642}"/>
    <cellStyle name="Currency 5 2 5 4 3 3" xfId="31220" xr:uid="{A9B8B564-BBE1-440D-8CE5-399C1D3C764D}"/>
    <cellStyle name="Currency 5 2 5 4 3 4" xfId="14333" xr:uid="{757FB0B2-0AD6-496B-8342-53E5656B1CEA}"/>
    <cellStyle name="Currency 5 2 5 4 4" xfId="18556" xr:uid="{869B4101-37C7-46DB-8E30-8951672C4E5A}"/>
    <cellStyle name="Currency 5 2 5 4 5" xfId="27001" xr:uid="{26B0AE98-B0E7-454B-9BF0-CA32BD873674}"/>
    <cellStyle name="Currency 5 2 5 4 6" xfId="10115" xr:uid="{6D0D0D44-1640-4977-8919-F95A2E354D80}"/>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25332" xr:uid="{47A7881E-3ACE-4EC2-B285-7DA2CB8AA72F}"/>
    <cellStyle name="Currency 5 2 5 5 2 2 3" xfId="33778" xr:uid="{9FE4D887-C1D7-4893-BCD7-F2A9472D0B2D}"/>
    <cellStyle name="Currency 5 2 5 5 2 2 4" xfId="16891" xr:uid="{4F13304E-66C6-4FB0-AC20-EC762D4A08E7}"/>
    <cellStyle name="Currency 5 2 5 5 2 3" xfId="21114" xr:uid="{8E3FF2AE-C7F0-44EC-ACA4-3B90C002E9FD}"/>
    <cellStyle name="Currency 5 2 5 5 2 4" xfId="29561" xr:uid="{700A2296-D25B-40BD-9B8C-36B40BEC3137}"/>
    <cellStyle name="Currency 5 2 5 5 2 5" xfId="12673" xr:uid="{F25EA996-C7A0-4BF7-B6CA-9543E5E98819}"/>
    <cellStyle name="Currency 5 2 5 5 3" xfId="6304" xr:uid="{00000000-0005-0000-0000-0000610C0000}"/>
    <cellStyle name="Currency 5 2 5 5 3 2" xfId="23187" xr:uid="{21323BBA-B176-477F-9ECE-670E23380E5B}"/>
    <cellStyle name="Currency 5 2 5 5 3 3" xfId="31633" xr:uid="{70BE4ABD-6DA9-4BD1-B0D3-7F5B85B9BB29}"/>
    <cellStyle name="Currency 5 2 5 5 3 4" xfId="14746" xr:uid="{F7044E97-FECE-4C45-A2A2-CDA26EA6FFDB}"/>
    <cellStyle name="Currency 5 2 5 5 4" xfId="18969" xr:uid="{8578C3E8-82E4-41E1-9E1D-4D10BA6B40EC}"/>
    <cellStyle name="Currency 5 2 5 5 5" xfId="27414" xr:uid="{76D1AD5B-84B6-4753-AEB0-511D7102C9D9}"/>
    <cellStyle name="Currency 5 2 5 5 6" xfId="10528" xr:uid="{E9C72108-3F3E-4FFD-B0A0-E7044ED91732}"/>
    <cellStyle name="Currency 5 2 5 6" xfId="2432" xr:uid="{00000000-0005-0000-0000-0000620C0000}"/>
    <cellStyle name="Currency 5 2 5 6 2" xfId="6717" xr:uid="{00000000-0005-0000-0000-0000630C0000}"/>
    <cellStyle name="Currency 5 2 5 6 2 2" xfId="23600" xr:uid="{0979A15A-DB6C-485E-A6CA-FC7CBE77B05A}"/>
    <cellStyle name="Currency 5 2 5 6 2 3" xfId="32046" xr:uid="{4A3A7C08-579F-4F2B-961F-2EA306351623}"/>
    <cellStyle name="Currency 5 2 5 6 2 4" xfId="15159" xr:uid="{FC522EC1-8D61-41A2-86A3-4282118562D2}"/>
    <cellStyle name="Currency 5 2 5 6 3" xfId="19382" xr:uid="{3FC352CC-5547-4573-A242-5D595296152B}"/>
    <cellStyle name="Currency 5 2 5 6 4" xfId="27827" xr:uid="{ACFA6D95-9520-42DC-9116-D8516182D35D}"/>
    <cellStyle name="Currency 5 2 5 6 5" xfId="10941" xr:uid="{E11DA139-0C2A-467B-A4BA-94F5DB6BB115}"/>
    <cellStyle name="Currency 5 2 5 7" xfId="2729" xr:uid="{00000000-0005-0000-0000-0000640C0000}"/>
    <cellStyle name="Currency 5 2 5 8" xfId="2810" xr:uid="{00000000-0005-0000-0000-0000650C0000}"/>
    <cellStyle name="Currency 5 2 5 8 2" xfId="7034" xr:uid="{00000000-0005-0000-0000-0000660C0000}"/>
    <cellStyle name="Currency 5 2 5 8 2 2" xfId="23917" xr:uid="{DD55AEA2-F3E9-4BE7-A1EB-EB1EABFEB251}"/>
    <cellStyle name="Currency 5 2 5 8 2 3" xfId="32363" xr:uid="{BEE44B08-EC3E-433E-B8F9-E7A4BA09BADC}"/>
    <cellStyle name="Currency 5 2 5 8 2 4" xfId="15476" xr:uid="{D2349A17-AED9-40CB-9177-6ECD9BAA3110}"/>
    <cellStyle name="Currency 5 2 5 8 3" xfId="19699" xr:uid="{2302EE00-D45B-4B77-8E20-3EE666B142D0}"/>
    <cellStyle name="Currency 5 2 5 8 4" xfId="28146" xr:uid="{E86E0788-0841-4116-B62D-FA9E952C858E}"/>
    <cellStyle name="Currency 5 2 5 8 5" xfId="11258" xr:uid="{F29220DF-5527-498C-9909-610DF86E5B8E}"/>
    <cellStyle name="Currency 5 2 5 9" xfId="4651" xr:uid="{00000000-0005-0000-0000-0000670C0000}"/>
    <cellStyle name="Currency 5 2 5 9 2" xfId="21534" xr:uid="{7FC69AB4-29A0-4ABB-A46C-206570542EAE}"/>
    <cellStyle name="Currency 5 2 5 9 3" xfId="29980" xr:uid="{AD53DAE6-54F4-429B-8D60-549ABB591057}"/>
    <cellStyle name="Currency 5 2 5 9 4" xfId="13093" xr:uid="{5B593AE3-41F2-4639-9809-A1E29D813544}"/>
    <cellStyle name="Currency 5 2 6" xfId="208" xr:uid="{00000000-0005-0000-0000-0000680C0000}"/>
    <cellStyle name="Currency 5 2 6 10" xfId="17317" xr:uid="{73225578-1D8A-41BD-80F6-5BEAFFA75EED}"/>
    <cellStyle name="Currency 5 2 6 11" xfId="25760" xr:uid="{B2E66875-0A58-4307-9196-1A2F6A714DCB}"/>
    <cellStyle name="Currency 5 2 6 12" xfId="8876" xr:uid="{33D32AC2-79E7-478C-85F0-18F3EC7C211F}"/>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24094" xr:uid="{444938FF-4190-4A90-8060-DB8FE60A3A9C}"/>
    <cellStyle name="Currency 5 2 6 2 2 2 3" xfId="32540" xr:uid="{44F9B3E3-6139-4404-A5AB-E9B4483364E2}"/>
    <cellStyle name="Currency 5 2 6 2 2 2 4" xfId="15653" xr:uid="{EFF98420-D4AE-4C9B-917A-AEED0C9CE5EE}"/>
    <cellStyle name="Currency 5 2 6 2 2 3" xfId="19876" xr:uid="{AB674A87-2D6C-47E7-80D7-844355393FDF}"/>
    <cellStyle name="Currency 5 2 6 2 2 4" xfId="28323" xr:uid="{0F1DC49A-3507-4FE1-AB89-B96EFB9E73CC}"/>
    <cellStyle name="Currency 5 2 6 2 2 5" xfId="11435" xr:uid="{E6897EF8-2F8D-4412-B16E-9CFB3391C9ED}"/>
    <cellStyle name="Currency 5 2 6 2 3" xfId="5066" xr:uid="{00000000-0005-0000-0000-00006C0C0000}"/>
    <cellStyle name="Currency 5 2 6 2 3 2" xfId="21949" xr:uid="{1BF9B93B-06D9-4F27-8BC1-FCBB68E19480}"/>
    <cellStyle name="Currency 5 2 6 2 3 3" xfId="30395" xr:uid="{7185DC55-C470-4EFC-B3DB-E946562F5377}"/>
    <cellStyle name="Currency 5 2 6 2 3 4" xfId="13508" xr:uid="{A5A1B9CA-BDF8-49D0-8A9C-54059058FFD7}"/>
    <cellStyle name="Currency 5 2 6 2 4" xfId="17731" xr:uid="{28096E57-02C6-4C9F-B47E-E5E3A09E74B0}"/>
    <cellStyle name="Currency 5 2 6 2 5" xfId="26176" xr:uid="{04917816-6A08-4DDB-B9FB-8A115428CF7C}"/>
    <cellStyle name="Currency 5 2 6 2 6" xfId="9290" xr:uid="{F3A1C2E4-F44A-4DB3-98FB-E05F8EAC738A}"/>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24507" xr:uid="{B80BCE0F-9F9F-4F3A-862A-3D73503E8F76}"/>
    <cellStyle name="Currency 5 2 6 3 2 2 3" xfId="32953" xr:uid="{581C8154-A74B-475F-9AEC-9B34E2093849}"/>
    <cellStyle name="Currency 5 2 6 3 2 2 4" xfId="16066" xr:uid="{0C9467F7-26CA-443D-BA60-570132180729}"/>
    <cellStyle name="Currency 5 2 6 3 2 3" xfId="20289" xr:uid="{272D43B6-70E3-44F4-AE38-CC11468E1853}"/>
    <cellStyle name="Currency 5 2 6 3 2 4" xfId="28736" xr:uid="{71E7522A-44C2-4127-B570-92F62A4A69AE}"/>
    <cellStyle name="Currency 5 2 6 3 2 5" xfId="11848" xr:uid="{6B120B85-C18B-4399-9DA8-B1F0CDEBE620}"/>
    <cellStyle name="Currency 5 2 6 3 3" xfId="5479" xr:uid="{00000000-0005-0000-0000-0000700C0000}"/>
    <cellStyle name="Currency 5 2 6 3 3 2" xfId="22362" xr:uid="{9CC334CF-C778-4DEA-8275-C614B5154755}"/>
    <cellStyle name="Currency 5 2 6 3 3 3" xfId="30808" xr:uid="{1DE21B3E-7616-4D17-9B1C-321E86078083}"/>
    <cellStyle name="Currency 5 2 6 3 3 4" xfId="13921" xr:uid="{572AB7F1-FD4A-4B5B-A22D-A4D522FE8A13}"/>
    <cellStyle name="Currency 5 2 6 3 4" xfId="18144" xr:uid="{89D538CB-3246-416B-A791-76CB50D85428}"/>
    <cellStyle name="Currency 5 2 6 3 5" xfId="26589" xr:uid="{D4160172-81EC-4F5D-BD1D-3CAD70655E1C}"/>
    <cellStyle name="Currency 5 2 6 3 6" xfId="9703" xr:uid="{D094FE01-0141-4E28-896C-A30B051D8332}"/>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24920" xr:uid="{C3081145-2AD3-416A-AFCC-AE2CF7D85174}"/>
    <cellStyle name="Currency 5 2 6 4 2 2 3" xfId="33366" xr:uid="{85C7ABF1-6C4F-4B1B-B1A8-E0710497E5DC}"/>
    <cellStyle name="Currency 5 2 6 4 2 2 4" xfId="16479" xr:uid="{8F895F64-024E-4C7A-9E49-650530963819}"/>
    <cellStyle name="Currency 5 2 6 4 2 3" xfId="20702" xr:uid="{D13A3C51-29EC-4A9D-A392-C2CC60AB1948}"/>
    <cellStyle name="Currency 5 2 6 4 2 4" xfId="29149" xr:uid="{81B8FD98-928C-4311-BDF3-C74332A2DB98}"/>
    <cellStyle name="Currency 5 2 6 4 2 5" xfId="12261" xr:uid="{E638D76B-248D-4A4E-8E64-5186D41989AE}"/>
    <cellStyle name="Currency 5 2 6 4 3" xfId="5892" xr:uid="{00000000-0005-0000-0000-0000740C0000}"/>
    <cellStyle name="Currency 5 2 6 4 3 2" xfId="22775" xr:uid="{1BF6B854-F48B-4EA7-AD0A-6627DF59255E}"/>
    <cellStyle name="Currency 5 2 6 4 3 3" xfId="31221" xr:uid="{35C65574-D339-4ADB-A3E9-9C694D72684B}"/>
    <cellStyle name="Currency 5 2 6 4 3 4" xfId="14334" xr:uid="{E33515A0-1453-42A6-9301-50C56E32B1F2}"/>
    <cellStyle name="Currency 5 2 6 4 4" xfId="18557" xr:uid="{67F7558E-11E9-4B39-9C22-4A64BC16A8A1}"/>
    <cellStyle name="Currency 5 2 6 4 5" xfId="27002" xr:uid="{D1DDDA60-575C-4F01-BC6A-8DFF236A974A}"/>
    <cellStyle name="Currency 5 2 6 4 6" xfId="10116" xr:uid="{64FCD353-15DD-4E87-B716-5C744A1A5254}"/>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25333" xr:uid="{48076A80-57B3-4C51-AA57-DCF27147FB30}"/>
    <cellStyle name="Currency 5 2 6 5 2 2 3" xfId="33779" xr:uid="{43F2268D-4825-4705-B0DA-7ABC6C9A53A9}"/>
    <cellStyle name="Currency 5 2 6 5 2 2 4" xfId="16892" xr:uid="{98E54347-AA46-44E5-923C-CC8F468B03C0}"/>
    <cellStyle name="Currency 5 2 6 5 2 3" xfId="21115" xr:uid="{9768E68A-C418-45C2-9972-516B721307A7}"/>
    <cellStyle name="Currency 5 2 6 5 2 4" xfId="29562" xr:uid="{700EA797-1EBE-4B9D-B373-33997DB1F976}"/>
    <cellStyle name="Currency 5 2 6 5 2 5" xfId="12674" xr:uid="{AEE8780E-5579-432D-8C27-7A0B8048060D}"/>
    <cellStyle name="Currency 5 2 6 5 3" xfId="6305" xr:uid="{00000000-0005-0000-0000-0000780C0000}"/>
    <cellStyle name="Currency 5 2 6 5 3 2" xfId="23188" xr:uid="{8443A186-D4B9-44D8-8131-25CC85F3E498}"/>
    <cellStyle name="Currency 5 2 6 5 3 3" xfId="31634" xr:uid="{6C96BCBF-258A-48C9-BD28-9210B49F69A1}"/>
    <cellStyle name="Currency 5 2 6 5 3 4" xfId="14747" xr:uid="{0780B081-5A88-4299-8E1D-BE9F9FB15388}"/>
    <cellStyle name="Currency 5 2 6 5 4" xfId="18970" xr:uid="{49930DD5-EA4F-4774-A141-5E28D29DB66C}"/>
    <cellStyle name="Currency 5 2 6 5 5" xfId="27415" xr:uid="{5C98DCEC-222F-46C3-81C6-A61C11A37B49}"/>
    <cellStyle name="Currency 5 2 6 5 6" xfId="10529" xr:uid="{2FA23F76-F200-435E-AD05-C0443E8CD901}"/>
    <cellStyle name="Currency 5 2 6 6" xfId="2433" xr:uid="{00000000-0005-0000-0000-0000790C0000}"/>
    <cellStyle name="Currency 5 2 6 6 2" xfId="6718" xr:uid="{00000000-0005-0000-0000-00007A0C0000}"/>
    <cellStyle name="Currency 5 2 6 6 2 2" xfId="23601" xr:uid="{B47E1DEB-0513-4ED4-87CB-B3196A62DFB4}"/>
    <cellStyle name="Currency 5 2 6 6 2 3" xfId="32047" xr:uid="{86576B8D-AE38-4DC2-B99F-736D2B18A182}"/>
    <cellStyle name="Currency 5 2 6 6 2 4" xfId="15160" xr:uid="{DEA10FD6-66EA-4CF1-9416-DD50351C5CBE}"/>
    <cellStyle name="Currency 5 2 6 6 3" xfId="19383" xr:uid="{BFE0E98B-6C48-4B43-B570-B52C0715667F}"/>
    <cellStyle name="Currency 5 2 6 6 4" xfId="27828" xr:uid="{C54ADDAA-ECB4-4F8A-81EB-3E38DB015825}"/>
    <cellStyle name="Currency 5 2 6 6 5" xfId="10942" xr:uid="{FCC00B3B-5AD6-4B7A-827C-3F3E8919E887}"/>
    <cellStyle name="Currency 5 2 6 7" xfId="2730" xr:uid="{00000000-0005-0000-0000-00007B0C0000}"/>
    <cellStyle name="Currency 5 2 6 8" xfId="2811" xr:uid="{00000000-0005-0000-0000-00007C0C0000}"/>
    <cellStyle name="Currency 5 2 6 8 2" xfId="7035" xr:uid="{00000000-0005-0000-0000-00007D0C0000}"/>
    <cellStyle name="Currency 5 2 6 8 2 2" xfId="23918" xr:uid="{005F1ED5-B91F-4779-B068-788CB87052E8}"/>
    <cellStyle name="Currency 5 2 6 8 2 3" xfId="32364" xr:uid="{53101ED8-7D8C-4D8A-B38E-7B12CC4D057E}"/>
    <cellStyle name="Currency 5 2 6 8 2 4" xfId="15477" xr:uid="{E4B4F771-2B47-46CE-8302-4902361373B9}"/>
    <cellStyle name="Currency 5 2 6 8 3" xfId="19700" xr:uid="{81FC6250-3398-4719-A86F-2C32C78A7D19}"/>
    <cellStyle name="Currency 5 2 6 8 4" xfId="28147" xr:uid="{0CF5CB76-4213-42FD-81D5-8374590CBDCF}"/>
    <cellStyle name="Currency 5 2 6 8 5" xfId="11259" xr:uid="{87DC0B36-458C-4E3E-A3A9-E26DD94FA91A}"/>
    <cellStyle name="Currency 5 2 6 9" xfId="4652" xr:uid="{00000000-0005-0000-0000-00007E0C0000}"/>
    <cellStyle name="Currency 5 2 6 9 2" xfId="21535" xr:uid="{A3440A17-DE3A-40CE-B3DA-6DB0DF98A234}"/>
    <cellStyle name="Currency 5 2 6 9 3" xfId="29981" xr:uid="{4EC4CC49-D899-498D-B5ED-5E06239ACEF4}"/>
    <cellStyle name="Currency 5 2 6 9 4" xfId="13094" xr:uid="{1934F811-164C-43DF-B27D-EF51B39F820B}"/>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23919" xr:uid="{D2F62F1D-DDA2-47FB-9909-62FC0419C20D}"/>
    <cellStyle name="Currency 5 3 2 10 2 3" xfId="32365" xr:uid="{D7262A47-113D-443A-A984-67BA864FB265}"/>
    <cellStyle name="Currency 5 3 2 10 2 4" xfId="15478" xr:uid="{22F0B6E0-794E-4F24-A4EC-04078488A874}"/>
    <cellStyle name="Currency 5 3 2 10 3" xfId="19701" xr:uid="{2EE8BB1A-0A45-4BD5-9AFF-002BC11A8232}"/>
    <cellStyle name="Currency 5 3 2 10 4" xfId="28148" xr:uid="{0BEB71C7-1412-445F-9458-CAD734501C90}"/>
    <cellStyle name="Currency 5 3 2 10 5" xfId="11260" xr:uid="{03AE47F9-38C3-4CA3-BEBA-F768E498A561}"/>
    <cellStyle name="Currency 5 3 2 11" xfId="4653" xr:uid="{00000000-0005-0000-0000-0000840C0000}"/>
    <cellStyle name="Currency 5 3 2 11 2" xfId="21536" xr:uid="{8D13B6F4-FFED-4FFD-88D8-051B88728729}"/>
    <cellStyle name="Currency 5 3 2 11 3" xfId="29982" xr:uid="{D339B76F-D348-442A-B4FE-43B66A178336}"/>
    <cellStyle name="Currency 5 3 2 11 4" xfId="13095" xr:uid="{5F5F4BC5-C495-463E-AB94-4041E69D5892}"/>
    <cellStyle name="Currency 5 3 2 12" xfId="17318" xr:uid="{BFD56BF3-7454-4A4F-A104-EE0D81622074}"/>
    <cellStyle name="Currency 5 3 2 13" xfId="25761" xr:uid="{98AC921F-BEEA-4167-8285-615F296DE2DF}"/>
    <cellStyle name="Currency 5 3 2 14" xfId="8877" xr:uid="{4BE05D80-0ACC-4B6A-824F-5753F7282979}"/>
    <cellStyle name="Currency 5 3 2 2" xfId="211" xr:uid="{00000000-0005-0000-0000-0000850C0000}"/>
    <cellStyle name="Currency 5 3 2 2 10" xfId="4654" xr:uid="{00000000-0005-0000-0000-0000860C0000}"/>
    <cellStyle name="Currency 5 3 2 2 10 2" xfId="21537" xr:uid="{4A520B0E-BAFE-4066-B848-350AE38E32AA}"/>
    <cellStyle name="Currency 5 3 2 2 10 3" xfId="29983" xr:uid="{AC33D5BB-9282-4065-91B2-F20FB2520F4B}"/>
    <cellStyle name="Currency 5 3 2 2 10 4" xfId="13096" xr:uid="{C398DFD9-3000-4260-9793-7D9B1AD216D5}"/>
    <cellStyle name="Currency 5 3 2 2 11" xfId="17319" xr:uid="{08C68A6E-6A49-4B05-9672-B645624B6334}"/>
    <cellStyle name="Currency 5 3 2 2 12" xfId="25762" xr:uid="{171AE2BE-F5DE-4C18-B47E-A0E4C02B71CB}"/>
    <cellStyle name="Currency 5 3 2 2 13" xfId="8878" xr:uid="{4CD9D6B2-AE06-4A13-84AC-30FE1C7F0FAF}"/>
    <cellStyle name="Currency 5 3 2 2 2" xfId="212" xr:uid="{00000000-0005-0000-0000-0000870C0000}"/>
    <cellStyle name="Currency 5 3 2 2 2 10" xfId="17320" xr:uid="{C29F1EDF-CEC8-456D-9945-4F312EE2F3A7}"/>
    <cellStyle name="Currency 5 3 2 2 2 11" xfId="25763" xr:uid="{2E095057-0CAD-4DF6-B7A1-84CEB4EBDFA4}"/>
    <cellStyle name="Currency 5 3 2 2 2 12" xfId="8879" xr:uid="{FBB59244-AEC7-428B-A832-888F516BEEB6}"/>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24097" xr:uid="{481C34D2-2ABD-43DF-A2F4-7D8CDE207B4D}"/>
    <cellStyle name="Currency 5 3 2 2 2 2 2 2 3" xfId="32543" xr:uid="{56C919A8-A160-4204-8A27-2D17123FB732}"/>
    <cellStyle name="Currency 5 3 2 2 2 2 2 2 4" xfId="15656" xr:uid="{71092FC1-165B-4A8C-B410-BA6A650EA09B}"/>
    <cellStyle name="Currency 5 3 2 2 2 2 2 3" xfId="19879" xr:uid="{B8F83AF8-0943-4FAF-AE8E-9F493B1EA7DB}"/>
    <cellStyle name="Currency 5 3 2 2 2 2 2 4" xfId="28326" xr:uid="{B1F5B848-954D-449D-B654-EAB9883599AE}"/>
    <cellStyle name="Currency 5 3 2 2 2 2 2 5" xfId="11438" xr:uid="{C8E75DC4-7BB8-4578-93AD-8C9713944A7C}"/>
    <cellStyle name="Currency 5 3 2 2 2 2 3" xfId="5069" xr:uid="{00000000-0005-0000-0000-00008B0C0000}"/>
    <cellStyle name="Currency 5 3 2 2 2 2 3 2" xfId="21952" xr:uid="{19AE4C6A-E96D-4412-9117-8EE7D0E05321}"/>
    <cellStyle name="Currency 5 3 2 2 2 2 3 3" xfId="30398" xr:uid="{A4DB275D-AF70-4B6E-B15A-525DE2EF3BC5}"/>
    <cellStyle name="Currency 5 3 2 2 2 2 3 4" xfId="13511" xr:uid="{5E3100F7-24F8-460A-A030-2FCD66B782FB}"/>
    <cellStyle name="Currency 5 3 2 2 2 2 4" xfId="17734" xr:uid="{FE7C13D0-4D58-41AB-946A-63D07884758C}"/>
    <cellStyle name="Currency 5 3 2 2 2 2 5" xfId="26179" xr:uid="{7935AD74-D571-4E6A-A33C-BBADB4C61150}"/>
    <cellStyle name="Currency 5 3 2 2 2 2 6" xfId="9293" xr:uid="{199A01B6-1E2C-4983-8F5F-176F0AB0C071}"/>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24510" xr:uid="{F6E29299-EB0C-4212-AC30-5E485E9243A7}"/>
    <cellStyle name="Currency 5 3 2 2 2 3 2 2 3" xfId="32956" xr:uid="{A35FA3EF-3A9C-4B2F-8D4A-AE6A8A8D0EA2}"/>
    <cellStyle name="Currency 5 3 2 2 2 3 2 2 4" xfId="16069" xr:uid="{A76FE361-406D-4F6F-9FD5-3BB2B6E627AC}"/>
    <cellStyle name="Currency 5 3 2 2 2 3 2 3" xfId="20292" xr:uid="{08E502E4-7EF9-4C9F-9013-835D6EE86C04}"/>
    <cellStyle name="Currency 5 3 2 2 2 3 2 4" xfId="28739" xr:uid="{CD2593D1-500B-4F99-B255-E8E323A5B7C1}"/>
    <cellStyle name="Currency 5 3 2 2 2 3 2 5" xfId="11851" xr:uid="{20285C39-3399-4BAD-A88B-7590D2FD335C}"/>
    <cellStyle name="Currency 5 3 2 2 2 3 3" xfId="5482" xr:uid="{00000000-0005-0000-0000-00008F0C0000}"/>
    <cellStyle name="Currency 5 3 2 2 2 3 3 2" xfId="22365" xr:uid="{7B7E606A-EA41-43B4-BCEB-1E1BB33E6BCE}"/>
    <cellStyle name="Currency 5 3 2 2 2 3 3 3" xfId="30811" xr:uid="{59FB2016-6210-4052-84C3-776A053C2F1E}"/>
    <cellStyle name="Currency 5 3 2 2 2 3 3 4" xfId="13924" xr:uid="{84D9F361-CA39-462D-955F-559DE7E206EF}"/>
    <cellStyle name="Currency 5 3 2 2 2 3 4" xfId="18147" xr:uid="{75954AE6-89EC-4B8A-8B5F-CA614BFB9BA7}"/>
    <cellStyle name="Currency 5 3 2 2 2 3 5" xfId="26592" xr:uid="{CDBCD554-360D-4211-A44F-6AD5A8D926A9}"/>
    <cellStyle name="Currency 5 3 2 2 2 3 6" xfId="9706" xr:uid="{C735E7C1-74E4-4599-A34C-883E3AB65378}"/>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24923" xr:uid="{57BE63AF-A5CA-4D7E-981B-754DF3DF8316}"/>
    <cellStyle name="Currency 5 3 2 2 2 4 2 2 3" xfId="33369" xr:uid="{C85FE596-3B9E-44F9-9D49-DF0A42BC2875}"/>
    <cellStyle name="Currency 5 3 2 2 2 4 2 2 4" xfId="16482" xr:uid="{65A1C5E3-2505-4B03-9389-CD02D5FA1FFA}"/>
    <cellStyle name="Currency 5 3 2 2 2 4 2 3" xfId="20705" xr:uid="{EFEDEDFA-A8B2-4C19-80DA-D8A0B0F757A3}"/>
    <cellStyle name="Currency 5 3 2 2 2 4 2 4" xfId="29152" xr:uid="{461483BD-5D6D-40FE-81A8-5E5F1CFD3D32}"/>
    <cellStyle name="Currency 5 3 2 2 2 4 2 5" xfId="12264" xr:uid="{9786894C-2D61-467F-95D9-B3713727806D}"/>
    <cellStyle name="Currency 5 3 2 2 2 4 3" xfId="5895" xr:uid="{00000000-0005-0000-0000-0000930C0000}"/>
    <cellStyle name="Currency 5 3 2 2 2 4 3 2" xfId="22778" xr:uid="{FE715C5C-26B4-46B0-A3EC-F9E4715A684B}"/>
    <cellStyle name="Currency 5 3 2 2 2 4 3 3" xfId="31224" xr:uid="{71F3843E-3EC8-400D-8CDF-67F60C7CAE5E}"/>
    <cellStyle name="Currency 5 3 2 2 2 4 3 4" xfId="14337" xr:uid="{4258B124-76C7-463C-9D11-27EB8943556F}"/>
    <cellStyle name="Currency 5 3 2 2 2 4 4" xfId="18560" xr:uid="{57B6B369-7DE7-4819-A9FC-B72A5CB6D8E4}"/>
    <cellStyle name="Currency 5 3 2 2 2 4 5" xfId="27005" xr:uid="{1755DB9F-148E-4E0D-B193-D771F696A1D6}"/>
    <cellStyle name="Currency 5 3 2 2 2 4 6" xfId="10119" xr:uid="{171F82AA-4669-4791-8A74-9C5003A88ED7}"/>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25336" xr:uid="{FBDDECCB-40B8-4C11-91EE-5953B6EDA107}"/>
    <cellStyle name="Currency 5 3 2 2 2 5 2 2 3" xfId="33782" xr:uid="{BFA6428D-8A8F-40BD-AD73-AD880BE6C93D}"/>
    <cellStyle name="Currency 5 3 2 2 2 5 2 2 4" xfId="16895" xr:uid="{3D747DBE-CD63-4D73-8523-437C076DD831}"/>
    <cellStyle name="Currency 5 3 2 2 2 5 2 3" xfId="21118" xr:uid="{0D74C3D7-CA9F-4068-94B1-DA99EF69F3F6}"/>
    <cellStyle name="Currency 5 3 2 2 2 5 2 4" xfId="29565" xr:uid="{C6D0E6AD-B9D5-4B6F-B642-F02B32F2E2A6}"/>
    <cellStyle name="Currency 5 3 2 2 2 5 2 5" xfId="12677" xr:uid="{2002BABD-B5B9-440E-9916-44F8FA0607C1}"/>
    <cellStyle name="Currency 5 3 2 2 2 5 3" xfId="6308" xr:uid="{00000000-0005-0000-0000-0000970C0000}"/>
    <cellStyle name="Currency 5 3 2 2 2 5 3 2" xfId="23191" xr:uid="{74F0CFE2-9E1E-474E-9B85-5ED2CA7DFA00}"/>
    <cellStyle name="Currency 5 3 2 2 2 5 3 3" xfId="31637" xr:uid="{EBC01FDB-3D77-497C-B37A-B50B73B231FC}"/>
    <cellStyle name="Currency 5 3 2 2 2 5 3 4" xfId="14750" xr:uid="{E128B45D-9033-431E-8049-62C97AA003C4}"/>
    <cellStyle name="Currency 5 3 2 2 2 5 4" xfId="18973" xr:uid="{EF83E22E-DE0E-4849-8C64-996B3B294730}"/>
    <cellStyle name="Currency 5 3 2 2 2 5 5" xfId="27418" xr:uid="{A87DDD4C-A85E-4C50-9072-BD2795A6D7CE}"/>
    <cellStyle name="Currency 5 3 2 2 2 5 6" xfId="10532" xr:uid="{89D02371-8A47-49AA-A0F6-0D611905B179}"/>
    <cellStyle name="Currency 5 3 2 2 2 6" xfId="2436" xr:uid="{00000000-0005-0000-0000-0000980C0000}"/>
    <cellStyle name="Currency 5 3 2 2 2 6 2" xfId="6721" xr:uid="{00000000-0005-0000-0000-0000990C0000}"/>
    <cellStyle name="Currency 5 3 2 2 2 6 2 2" xfId="23604" xr:uid="{FD40D8BA-4AC7-4B15-B63E-14450D267778}"/>
    <cellStyle name="Currency 5 3 2 2 2 6 2 3" xfId="32050" xr:uid="{B557C240-4BA7-4F2B-ADBF-AB13B065EB46}"/>
    <cellStyle name="Currency 5 3 2 2 2 6 2 4" xfId="15163" xr:uid="{E0238E2A-9D3D-4DA7-A950-6B552CB21D49}"/>
    <cellStyle name="Currency 5 3 2 2 2 6 3" xfId="19386" xr:uid="{E0BF110B-EA32-458B-AD92-5DAD465969BF}"/>
    <cellStyle name="Currency 5 3 2 2 2 6 4" xfId="27831" xr:uid="{29EB6D59-0737-449C-9389-188EAA1DF49A}"/>
    <cellStyle name="Currency 5 3 2 2 2 6 5" xfId="10945" xr:uid="{ED9F0609-30A5-4601-981E-EBBCF800DAB1}"/>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23921" xr:uid="{924E2281-0CBE-450C-9361-5893E3533EF3}"/>
    <cellStyle name="Currency 5 3 2 2 2 8 2 3" xfId="32367" xr:uid="{4792FE6B-71CE-4152-9EE1-233619026383}"/>
    <cellStyle name="Currency 5 3 2 2 2 8 2 4" xfId="15480" xr:uid="{D429AAD9-A797-474C-B8AF-3EA3568E8983}"/>
    <cellStyle name="Currency 5 3 2 2 2 8 3" xfId="19703" xr:uid="{606CBAD8-97EE-49A8-8145-465AE1D013A5}"/>
    <cellStyle name="Currency 5 3 2 2 2 8 4" xfId="28150" xr:uid="{450C1783-BEBE-48DE-AF35-2B235928E41F}"/>
    <cellStyle name="Currency 5 3 2 2 2 8 5" xfId="11262" xr:uid="{22D38359-B3A9-40C6-BC15-C14DAEA12D32}"/>
    <cellStyle name="Currency 5 3 2 2 2 9" xfId="4655" xr:uid="{00000000-0005-0000-0000-00009D0C0000}"/>
    <cellStyle name="Currency 5 3 2 2 2 9 2" xfId="21538" xr:uid="{D134342D-DD42-4FA6-818D-0D2C5DF04BFB}"/>
    <cellStyle name="Currency 5 3 2 2 2 9 3" xfId="29984" xr:uid="{6E205441-4F69-4F4C-BE70-F672449FE232}"/>
    <cellStyle name="Currency 5 3 2 2 2 9 4" xfId="13097" xr:uid="{90286F15-AD5D-4D08-A1EE-B5DDCDABBBBD}"/>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24096" xr:uid="{B35CA115-57F7-419A-88FD-B95DCB100A5C}"/>
    <cellStyle name="Currency 5 3 2 2 3 2 2 3" xfId="32542" xr:uid="{E7BDB69D-D905-4ED2-A4C0-A6DBB21C9ED6}"/>
    <cellStyle name="Currency 5 3 2 2 3 2 2 4" xfId="15655" xr:uid="{FDDDB064-B2BC-42FE-A9A0-B0E03C941C1F}"/>
    <cellStyle name="Currency 5 3 2 2 3 2 3" xfId="19878" xr:uid="{B9286F8B-B009-4FCB-8A66-71D4FFC86557}"/>
    <cellStyle name="Currency 5 3 2 2 3 2 4" xfId="28325" xr:uid="{8DB209CC-9BC4-44A9-AD31-590FA9ED4E06}"/>
    <cellStyle name="Currency 5 3 2 2 3 2 5" xfId="11437" xr:uid="{08391A6D-E1ED-4E41-B71F-C76990F0BDDA}"/>
    <cellStyle name="Currency 5 3 2 2 3 3" xfId="5068" xr:uid="{00000000-0005-0000-0000-0000A10C0000}"/>
    <cellStyle name="Currency 5 3 2 2 3 3 2" xfId="21951" xr:uid="{F32C0FB7-C668-4F77-8F00-59D78240E794}"/>
    <cellStyle name="Currency 5 3 2 2 3 3 3" xfId="30397" xr:uid="{19A8D4D4-EC46-4C10-8995-F37885388A19}"/>
    <cellStyle name="Currency 5 3 2 2 3 3 4" xfId="13510" xr:uid="{39B21118-DCA6-4AC2-A507-D42611C359B1}"/>
    <cellStyle name="Currency 5 3 2 2 3 4" xfId="17733" xr:uid="{95B62FEE-F0EC-4425-BE9D-4E1F277B47D8}"/>
    <cellStyle name="Currency 5 3 2 2 3 5" xfId="26178" xr:uid="{2311B079-2B59-4DAF-8531-4D61B8487B2C}"/>
    <cellStyle name="Currency 5 3 2 2 3 6" xfId="9292" xr:uid="{69CFD65E-1C66-4CDF-99B0-6BD6D2C3752A}"/>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24509" xr:uid="{EC616AC0-2265-493E-9ACD-5BEB5C1BFBC2}"/>
    <cellStyle name="Currency 5 3 2 2 4 2 2 3" xfId="32955" xr:uid="{41F624D8-B0AC-417D-8AAC-E4FBE8353967}"/>
    <cellStyle name="Currency 5 3 2 2 4 2 2 4" xfId="16068" xr:uid="{82639FF8-D7C3-4790-9BCC-820C18FD664F}"/>
    <cellStyle name="Currency 5 3 2 2 4 2 3" xfId="20291" xr:uid="{483DCB45-4826-4362-8619-402464BBCFCF}"/>
    <cellStyle name="Currency 5 3 2 2 4 2 4" xfId="28738" xr:uid="{96BAD5FF-85D0-458F-8169-5BDCD63026E7}"/>
    <cellStyle name="Currency 5 3 2 2 4 2 5" xfId="11850" xr:uid="{91872978-7FE7-48D7-A8BE-50129BD84A85}"/>
    <cellStyle name="Currency 5 3 2 2 4 3" xfId="5481" xr:uid="{00000000-0005-0000-0000-0000A50C0000}"/>
    <cellStyle name="Currency 5 3 2 2 4 3 2" xfId="22364" xr:uid="{2E3C4560-5DA8-4DAB-93FD-59EE25B99625}"/>
    <cellStyle name="Currency 5 3 2 2 4 3 3" xfId="30810" xr:uid="{BDAF0CA3-E4E8-4051-BFE2-4FD68851FA54}"/>
    <cellStyle name="Currency 5 3 2 2 4 3 4" xfId="13923" xr:uid="{987A6B59-F62A-4839-8722-29B78A0D8BA8}"/>
    <cellStyle name="Currency 5 3 2 2 4 4" xfId="18146" xr:uid="{F7A252D0-431C-4517-892C-DA2166D02F6D}"/>
    <cellStyle name="Currency 5 3 2 2 4 5" xfId="26591" xr:uid="{E942C011-9812-43FE-AAA7-588E50436275}"/>
    <cellStyle name="Currency 5 3 2 2 4 6" xfId="9705" xr:uid="{E5472445-C10E-46AF-839D-2D7D0A4E85B6}"/>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24922" xr:uid="{2DE1F167-6ADB-4467-B362-94C143F6ED41}"/>
    <cellStyle name="Currency 5 3 2 2 5 2 2 3" xfId="33368" xr:uid="{DC4B396C-832A-4E91-96B7-C419DFF67A9D}"/>
    <cellStyle name="Currency 5 3 2 2 5 2 2 4" xfId="16481" xr:uid="{48A093AD-53F4-4CC6-81EC-6766E14F41A9}"/>
    <cellStyle name="Currency 5 3 2 2 5 2 3" xfId="20704" xr:uid="{F9FF7603-822A-4708-AAEA-E28349863AC1}"/>
    <cellStyle name="Currency 5 3 2 2 5 2 4" xfId="29151" xr:uid="{E37A52F5-22F5-446B-A3E7-30D72F531A8F}"/>
    <cellStyle name="Currency 5 3 2 2 5 2 5" xfId="12263" xr:uid="{52FC82B1-F103-41DE-BC5F-4D6D757A5E82}"/>
    <cellStyle name="Currency 5 3 2 2 5 3" xfId="5894" xr:uid="{00000000-0005-0000-0000-0000A90C0000}"/>
    <cellStyle name="Currency 5 3 2 2 5 3 2" xfId="22777" xr:uid="{DB298F60-1655-4090-B97B-0292E9B222AC}"/>
    <cellStyle name="Currency 5 3 2 2 5 3 3" xfId="31223" xr:uid="{ADA48E26-61E1-4FDC-BEC5-6EF29EB76FC8}"/>
    <cellStyle name="Currency 5 3 2 2 5 3 4" xfId="14336" xr:uid="{8E419E9F-3BF7-40FE-B5BF-392F0FC70D25}"/>
    <cellStyle name="Currency 5 3 2 2 5 4" xfId="18559" xr:uid="{8AF66FFE-9489-485A-BA23-076814E59C16}"/>
    <cellStyle name="Currency 5 3 2 2 5 5" xfId="27004" xr:uid="{4EFD1C19-3867-4E94-9417-F5D73E987A47}"/>
    <cellStyle name="Currency 5 3 2 2 5 6" xfId="10118" xr:uid="{ABD92855-41DD-4EB7-9F9C-94417915B68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25335" xr:uid="{11BCDC58-308D-458A-9B3F-716A1A13AC51}"/>
    <cellStyle name="Currency 5 3 2 2 6 2 2 3" xfId="33781" xr:uid="{206DC1FC-EC97-4988-81CD-E91E385796B8}"/>
    <cellStyle name="Currency 5 3 2 2 6 2 2 4" xfId="16894" xr:uid="{C6C27200-EEB4-4866-AF17-BAB87C3AD350}"/>
    <cellStyle name="Currency 5 3 2 2 6 2 3" xfId="21117" xr:uid="{583FC70E-80C0-4231-9F8E-BC3888C87CEB}"/>
    <cellStyle name="Currency 5 3 2 2 6 2 4" xfId="29564" xr:uid="{0A6205FE-C732-4B40-BEBF-C06863E5E551}"/>
    <cellStyle name="Currency 5 3 2 2 6 2 5" xfId="12676" xr:uid="{329B7D9D-760A-484F-BFC4-FA650286FD8B}"/>
    <cellStyle name="Currency 5 3 2 2 6 3" xfId="6307" xr:uid="{00000000-0005-0000-0000-0000AD0C0000}"/>
    <cellStyle name="Currency 5 3 2 2 6 3 2" xfId="23190" xr:uid="{186113AD-D991-434D-AC43-F707180AF867}"/>
    <cellStyle name="Currency 5 3 2 2 6 3 3" xfId="31636" xr:uid="{F42184F1-DE6C-473A-B289-7FF973AEE2BE}"/>
    <cellStyle name="Currency 5 3 2 2 6 3 4" xfId="14749" xr:uid="{76CFD7CF-A597-4DCC-A037-36D452EB1ED8}"/>
    <cellStyle name="Currency 5 3 2 2 6 4" xfId="18972" xr:uid="{4735AC5E-ECB4-405F-B9DE-C93A25041819}"/>
    <cellStyle name="Currency 5 3 2 2 6 5" xfId="27417" xr:uid="{11C4F955-60D5-4909-8834-66900CE53BE9}"/>
    <cellStyle name="Currency 5 3 2 2 6 6" xfId="10531" xr:uid="{B6CBAB02-EA1C-4169-A51B-8A2AC4629BDC}"/>
    <cellStyle name="Currency 5 3 2 2 7" xfId="2435" xr:uid="{00000000-0005-0000-0000-0000AE0C0000}"/>
    <cellStyle name="Currency 5 3 2 2 7 2" xfId="6720" xr:uid="{00000000-0005-0000-0000-0000AF0C0000}"/>
    <cellStyle name="Currency 5 3 2 2 7 2 2" xfId="23603" xr:uid="{FBC50E23-A02A-4F54-B783-A70C0414E563}"/>
    <cellStyle name="Currency 5 3 2 2 7 2 3" xfId="32049" xr:uid="{D6E4792A-710D-4AB5-A7A9-C6BFAC488298}"/>
    <cellStyle name="Currency 5 3 2 2 7 2 4" xfId="15162" xr:uid="{739C6C0C-262F-4B4A-9427-A513514BF280}"/>
    <cellStyle name="Currency 5 3 2 2 7 3" xfId="19385" xr:uid="{73FB8FFA-C2F4-4868-9DA0-BDFCA8825240}"/>
    <cellStyle name="Currency 5 3 2 2 7 4" xfId="27830" xr:uid="{2DF9D132-1D47-496F-AB83-AA3D779CB993}"/>
    <cellStyle name="Currency 5 3 2 2 7 5" xfId="10944" xr:uid="{F2169ED5-213B-4470-B4F4-AE6D5FAF780E}"/>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23920" xr:uid="{26338A8F-688D-49F1-A181-18C72DC89038}"/>
    <cellStyle name="Currency 5 3 2 2 9 2 3" xfId="32366" xr:uid="{0EC178A8-A55D-4499-AE42-8F1A61C18DDE}"/>
    <cellStyle name="Currency 5 3 2 2 9 2 4" xfId="15479" xr:uid="{235EBD42-684A-4627-8303-B18724F386E2}"/>
    <cellStyle name="Currency 5 3 2 2 9 3" xfId="19702" xr:uid="{9ABF3AB2-F86E-4671-98B9-FB4708B1CB2A}"/>
    <cellStyle name="Currency 5 3 2 2 9 4" xfId="28149" xr:uid="{A1FAAB91-8BC7-4699-BF29-E64F7F4314C2}"/>
    <cellStyle name="Currency 5 3 2 2 9 5" xfId="11261" xr:uid="{3EB55BB5-E67C-47BE-9C2A-36DF07C5ED2C}"/>
    <cellStyle name="Currency 5 3 2 3" xfId="213" xr:uid="{00000000-0005-0000-0000-0000B30C0000}"/>
    <cellStyle name="Currency 5 3 2 3 10" xfId="17321" xr:uid="{89D2AC7E-510B-4378-9FD4-75C561D1D73A}"/>
    <cellStyle name="Currency 5 3 2 3 11" xfId="25764" xr:uid="{6627CB1A-897D-4A71-A0E2-F2212EBABF3E}"/>
    <cellStyle name="Currency 5 3 2 3 12" xfId="8880" xr:uid="{E13324D0-E0ED-4368-A418-40066C110E72}"/>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24098" xr:uid="{2C3839A9-831E-494F-9CDB-D2F1D49A3517}"/>
    <cellStyle name="Currency 5 3 2 3 2 2 2 3" xfId="32544" xr:uid="{7B90A17C-C257-421E-AA91-14D506B54EAC}"/>
    <cellStyle name="Currency 5 3 2 3 2 2 2 4" xfId="15657" xr:uid="{CED587EA-180D-4E28-BF87-BE6FB5E6592B}"/>
    <cellStyle name="Currency 5 3 2 3 2 2 3" xfId="19880" xr:uid="{F830DDE2-B372-450F-BE12-C453C43D3BDE}"/>
    <cellStyle name="Currency 5 3 2 3 2 2 4" xfId="28327" xr:uid="{95D14D08-6D90-4CBA-92B5-B8206DC38DDD}"/>
    <cellStyle name="Currency 5 3 2 3 2 2 5" xfId="11439" xr:uid="{FDDB32F0-6E61-4538-AA2C-07760ABB81C1}"/>
    <cellStyle name="Currency 5 3 2 3 2 3" xfId="5070" xr:uid="{00000000-0005-0000-0000-0000B70C0000}"/>
    <cellStyle name="Currency 5 3 2 3 2 3 2" xfId="21953" xr:uid="{C6A46076-A5E8-4839-8F3C-5AE6664099AB}"/>
    <cellStyle name="Currency 5 3 2 3 2 3 3" xfId="30399" xr:uid="{4609F622-F49F-4108-9D62-754223F1301F}"/>
    <cellStyle name="Currency 5 3 2 3 2 3 4" xfId="13512" xr:uid="{DCB5F093-C411-4343-91D2-E6FD8FF49B6D}"/>
    <cellStyle name="Currency 5 3 2 3 2 4" xfId="17735" xr:uid="{D96D7829-952E-410C-83B4-6F4D08219A5A}"/>
    <cellStyle name="Currency 5 3 2 3 2 5" xfId="26180" xr:uid="{431489AB-18E6-4521-B88B-3058BAABD67A}"/>
    <cellStyle name="Currency 5 3 2 3 2 6" xfId="9294" xr:uid="{E743E87C-DB26-4783-B088-83C935D9B5AA}"/>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24511" xr:uid="{3AA2BBF9-A241-4918-8BA9-4FC8BECE83E6}"/>
    <cellStyle name="Currency 5 3 2 3 3 2 2 3" xfId="32957" xr:uid="{43E4D570-A796-4A9A-AB64-FDFEF35E89B4}"/>
    <cellStyle name="Currency 5 3 2 3 3 2 2 4" xfId="16070" xr:uid="{76AA46A7-3F33-475D-B69D-3D74E22DD6F5}"/>
    <cellStyle name="Currency 5 3 2 3 3 2 3" xfId="20293" xr:uid="{9D12B03F-94BE-4127-A438-2A732AB545FF}"/>
    <cellStyle name="Currency 5 3 2 3 3 2 4" xfId="28740" xr:uid="{F789061D-3DB7-45D9-B8CF-7A60AE674A54}"/>
    <cellStyle name="Currency 5 3 2 3 3 2 5" xfId="11852" xr:uid="{B2B45A1E-4C73-4924-8871-257713B5BE39}"/>
    <cellStyle name="Currency 5 3 2 3 3 3" xfId="5483" xr:uid="{00000000-0005-0000-0000-0000BB0C0000}"/>
    <cellStyle name="Currency 5 3 2 3 3 3 2" xfId="22366" xr:uid="{24315F1F-D192-422D-A981-A87DC5D0168D}"/>
    <cellStyle name="Currency 5 3 2 3 3 3 3" xfId="30812" xr:uid="{DE6D6F4E-13A2-405D-8334-D96D9522B7C8}"/>
    <cellStyle name="Currency 5 3 2 3 3 3 4" xfId="13925" xr:uid="{7931A5A3-7BF9-4E55-B570-1EE28A235767}"/>
    <cellStyle name="Currency 5 3 2 3 3 4" xfId="18148" xr:uid="{AF61871F-BCD6-4C23-BD21-1E9D9FFA83FD}"/>
    <cellStyle name="Currency 5 3 2 3 3 5" xfId="26593" xr:uid="{3E6F1407-0CD2-48C2-9501-99DE969F3623}"/>
    <cellStyle name="Currency 5 3 2 3 3 6" xfId="9707" xr:uid="{D36E88E9-293E-481E-BC8B-21B19203635B}"/>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24924" xr:uid="{2C44BACF-D06B-4F42-BB14-54C58131D81B}"/>
    <cellStyle name="Currency 5 3 2 3 4 2 2 3" xfId="33370" xr:uid="{928A8ECA-9EE6-4ED4-A003-3227CC258C2E}"/>
    <cellStyle name="Currency 5 3 2 3 4 2 2 4" xfId="16483" xr:uid="{DC428403-755F-4C61-9F2B-42A12D8324D1}"/>
    <cellStyle name="Currency 5 3 2 3 4 2 3" xfId="20706" xr:uid="{513BEF09-B79C-4E19-A1A2-D8759FB89942}"/>
    <cellStyle name="Currency 5 3 2 3 4 2 4" xfId="29153" xr:uid="{84B82AD3-4D87-4472-B00D-1103F5494D5A}"/>
    <cellStyle name="Currency 5 3 2 3 4 2 5" xfId="12265" xr:uid="{DE9F6F51-82FE-4D23-A70C-F6C0D31CDF5F}"/>
    <cellStyle name="Currency 5 3 2 3 4 3" xfId="5896" xr:uid="{00000000-0005-0000-0000-0000BF0C0000}"/>
    <cellStyle name="Currency 5 3 2 3 4 3 2" xfId="22779" xr:uid="{FA0973AC-461C-4554-A2BD-BE599E2C671F}"/>
    <cellStyle name="Currency 5 3 2 3 4 3 3" xfId="31225" xr:uid="{C094C46F-EE72-4E61-8D04-E20965D00BD0}"/>
    <cellStyle name="Currency 5 3 2 3 4 3 4" xfId="14338" xr:uid="{0C738E46-33FD-490A-B44A-C2BD9D8247AD}"/>
    <cellStyle name="Currency 5 3 2 3 4 4" xfId="18561" xr:uid="{6AE8FC36-9D38-405D-A929-2A0F0B21EF2D}"/>
    <cellStyle name="Currency 5 3 2 3 4 5" xfId="27006" xr:uid="{CECF2CA5-0B26-4200-8B97-39857DF9D6F2}"/>
    <cellStyle name="Currency 5 3 2 3 4 6" xfId="10120" xr:uid="{D92A3F5D-34E4-4B45-81A7-823649056381}"/>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25337" xr:uid="{C2996745-31D3-46A9-85F6-5A724AC7085E}"/>
    <cellStyle name="Currency 5 3 2 3 5 2 2 3" xfId="33783" xr:uid="{583CAFF7-2F42-4E8A-9BCC-9EF2F035F2B5}"/>
    <cellStyle name="Currency 5 3 2 3 5 2 2 4" xfId="16896" xr:uid="{FB2599D1-83A8-4EDC-B3F4-2FCA2F0FE871}"/>
    <cellStyle name="Currency 5 3 2 3 5 2 3" xfId="21119" xr:uid="{67DFC7D5-F2D0-4716-A01D-9B9F5F6538E3}"/>
    <cellStyle name="Currency 5 3 2 3 5 2 4" xfId="29566" xr:uid="{1A857D42-1FF8-4E5C-B1EA-F9443BFE226E}"/>
    <cellStyle name="Currency 5 3 2 3 5 2 5" xfId="12678" xr:uid="{9081F06E-5587-4993-8A08-A78616F3852A}"/>
    <cellStyle name="Currency 5 3 2 3 5 3" xfId="6309" xr:uid="{00000000-0005-0000-0000-0000C30C0000}"/>
    <cellStyle name="Currency 5 3 2 3 5 3 2" xfId="23192" xr:uid="{25E87464-FE87-4F75-9748-E472A2980E03}"/>
    <cellStyle name="Currency 5 3 2 3 5 3 3" xfId="31638" xr:uid="{2309FCF9-E425-4F6B-A102-3E711532E339}"/>
    <cellStyle name="Currency 5 3 2 3 5 3 4" xfId="14751" xr:uid="{9A074A04-3AC2-4F0C-B72D-005572C722B5}"/>
    <cellStyle name="Currency 5 3 2 3 5 4" xfId="18974" xr:uid="{B7652280-9871-42A6-99F5-E07E4540D431}"/>
    <cellStyle name="Currency 5 3 2 3 5 5" xfId="27419" xr:uid="{76E8DDC2-A793-44F7-BCE8-0F6DBDFB3FE2}"/>
    <cellStyle name="Currency 5 3 2 3 5 6" xfId="10533" xr:uid="{7D664A45-B020-4FD2-92AF-628FA2C7510F}"/>
    <cellStyle name="Currency 5 3 2 3 6" xfId="2437" xr:uid="{00000000-0005-0000-0000-0000C40C0000}"/>
    <cellStyle name="Currency 5 3 2 3 6 2" xfId="6722" xr:uid="{00000000-0005-0000-0000-0000C50C0000}"/>
    <cellStyle name="Currency 5 3 2 3 6 2 2" xfId="23605" xr:uid="{46A00324-3C77-4A8F-A98D-3233878202B2}"/>
    <cellStyle name="Currency 5 3 2 3 6 2 3" xfId="32051" xr:uid="{EB78698F-C60C-4724-9280-8F514998952A}"/>
    <cellStyle name="Currency 5 3 2 3 6 2 4" xfId="15164" xr:uid="{41905CD4-BED6-43AA-9507-3D8EBCEEC1B4}"/>
    <cellStyle name="Currency 5 3 2 3 6 3" xfId="19387" xr:uid="{4DF01305-6D48-4F3D-BF30-AC9F66A21C23}"/>
    <cellStyle name="Currency 5 3 2 3 6 4" xfId="27832" xr:uid="{81C22448-393B-4BEB-9A82-11510D1182F7}"/>
    <cellStyle name="Currency 5 3 2 3 6 5" xfId="10946" xr:uid="{D764D126-1556-42B8-A51B-1E6A3181A51E}"/>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23922" xr:uid="{353B34AA-9F4C-4E14-828B-F0F94C98485A}"/>
    <cellStyle name="Currency 5 3 2 3 8 2 3" xfId="32368" xr:uid="{A123EE3F-19E0-406F-A224-15A8A1B8C740}"/>
    <cellStyle name="Currency 5 3 2 3 8 2 4" xfId="15481" xr:uid="{9B663606-31BE-467C-9246-3FED417F0AA2}"/>
    <cellStyle name="Currency 5 3 2 3 8 3" xfId="19704" xr:uid="{07E30BB9-057A-4D8B-9CB1-2053DF1FB0D1}"/>
    <cellStyle name="Currency 5 3 2 3 8 4" xfId="28151" xr:uid="{3C8739CC-0BA9-47BC-84F1-B6D73BE92455}"/>
    <cellStyle name="Currency 5 3 2 3 8 5" xfId="11263" xr:uid="{49A3EB76-4444-42E9-90F3-4F8BD0F97A06}"/>
    <cellStyle name="Currency 5 3 2 3 9" xfId="4656" xr:uid="{00000000-0005-0000-0000-0000C90C0000}"/>
    <cellStyle name="Currency 5 3 2 3 9 2" xfId="21539" xr:uid="{74FD4D69-89C1-4213-B8E5-C38D3EE291B4}"/>
    <cellStyle name="Currency 5 3 2 3 9 3" xfId="29985" xr:uid="{C653F572-DDFE-4120-BA68-E0DC9DE13769}"/>
    <cellStyle name="Currency 5 3 2 3 9 4" xfId="13098" xr:uid="{C8F16A74-DA4E-4459-86D3-2958F18A1636}"/>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24095" xr:uid="{7E8F976D-6E04-4DFE-B4C4-25CDB239844E}"/>
    <cellStyle name="Currency 5 3 2 4 2 2 3" xfId="32541" xr:uid="{50EDC485-4F55-4B60-B236-3B0A5430C980}"/>
    <cellStyle name="Currency 5 3 2 4 2 2 4" xfId="15654" xr:uid="{C08C280F-4AB0-4B48-9E9F-81CBC748AB0F}"/>
    <cellStyle name="Currency 5 3 2 4 2 3" xfId="19877" xr:uid="{3882F7F2-32F0-4D98-AB33-A8B8D778F19D}"/>
    <cellStyle name="Currency 5 3 2 4 2 4" xfId="28324" xr:uid="{F9B2480D-03F5-4588-B965-BBE907D1588A}"/>
    <cellStyle name="Currency 5 3 2 4 2 5" xfId="11436" xr:uid="{DE4C8DB3-5400-4423-AD04-29BAA71377E1}"/>
    <cellStyle name="Currency 5 3 2 4 3" xfId="5067" xr:uid="{00000000-0005-0000-0000-0000CD0C0000}"/>
    <cellStyle name="Currency 5 3 2 4 3 2" xfId="21950" xr:uid="{155C04C2-6221-4C7B-81E2-ADE454120E13}"/>
    <cellStyle name="Currency 5 3 2 4 3 3" xfId="30396" xr:uid="{E10B0962-4D26-449F-A8AB-A24D597F80B8}"/>
    <cellStyle name="Currency 5 3 2 4 3 4" xfId="13509" xr:uid="{3388563F-85B2-4EFB-A9EE-11D3FCEC51C2}"/>
    <cellStyle name="Currency 5 3 2 4 4" xfId="17732" xr:uid="{1706059E-4262-4286-B56C-29FA54A4859B}"/>
    <cellStyle name="Currency 5 3 2 4 5" xfId="26177" xr:uid="{F2FA733A-F95B-47FD-8048-E11A9EB8544F}"/>
    <cellStyle name="Currency 5 3 2 4 6" xfId="9291" xr:uid="{CC217C19-922C-479A-A6DB-87D148156E89}"/>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24508" xr:uid="{A56EC409-8822-4199-8D60-2D01C258068E}"/>
    <cellStyle name="Currency 5 3 2 5 2 2 3" xfId="32954" xr:uid="{CDD08980-EAC5-4ACD-B28A-EA6C7B709A37}"/>
    <cellStyle name="Currency 5 3 2 5 2 2 4" xfId="16067" xr:uid="{E26D9F28-4230-4E57-8864-F09A470978B0}"/>
    <cellStyle name="Currency 5 3 2 5 2 3" xfId="20290" xr:uid="{CC7AC008-9BF5-4A67-939B-075115304856}"/>
    <cellStyle name="Currency 5 3 2 5 2 4" xfId="28737" xr:uid="{81BB90E4-378F-4DA6-A967-120089E653CB}"/>
    <cellStyle name="Currency 5 3 2 5 2 5" xfId="11849" xr:uid="{DF94097D-9671-461C-8365-C3BA2DE7786C}"/>
    <cellStyle name="Currency 5 3 2 5 3" xfId="5480" xr:uid="{00000000-0005-0000-0000-0000D10C0000}"/>
    <cellStyle name="Currency 5 3 2 5 3 2" xfId="22363" xr:uid="{BF507C21-61D9-4E1A-A114-BC64743F4572}"/>
    <cellStyle name="Currency 5 3 2 5 3 3" xfId="30809" xr:uid="{D7AF6E57-00CE-46A0-B6A5-1539364FB007}"/>
    <cellStyle name="Currency 5 3 2 5 3 4" xfId="13922" xr:uid="{0B38CCAE-CA94-401A-A2D6-5BB1AC8CB294}"/>
    <cellStyle name="Currency 5 3 2 5 4" xfId="18145" xr:uid="{ED09766E-0956-49EE-B065-01EC2C97CB96}"/>
    <cellStyle name="Currency 5 3 2 5 5" xfId="26590" xr:uid="{8BA2F3E7-3569-4F5D-9361-E9BBF3185C03}"/>
    <cellStyle name="Currency 5 3 2 5 6" xfId="9704" xr:uid="{7D475E3E-1909-488F-85F1-8F40F34B73A0}"/>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24921" xr:uid="{A0F24BAB-2F82-4347-AD9F-BDCCBBF5321C}"/>
    <cellStyle name="Currency 5 3 2 6 2 2 3" xfId="33367" xr:uid="{ECDEA17D-C871-4B09-9486-75C0EFDE8072}"/>
    <cellStyle name="Currency 5 3 2 6 2 2 4" xfId="16480" xr:uid="{AD14C789-F145-4ECA-88E4-0312020B1FF7}"/>
    <cellStyle name="Currency 5 3 2 6 2 3" xfId="20703" xr:uid="{C42908BD-CCA5-41FB-85F7-3AF8B11A6EB9}"/>
    <cellStyle name="Currency 5 3 2 6 2 4" xfId="29150" xr:uid="{A090F08A-81F1-4C8F-8FCD-F9E508C04776}"/>
    <cellStyle name="Currency 5 3 2 6 2 5" xfId="12262" xr:uid="{19E4B3F0-57B9-4464-B282-D0C37EF72A71}"/>
    <cellStyle name="Currency 5 3 2 6 3" xfId="5893" xr:uid="{00000000-0005-0000-0000-0000D50C0000}"/>
    <cellStyle name="Currency 5 3 2 6 3 2" xfId="22776" xr:uid="{2A0F71B0-85E9-4DF0-82AB-16E4BB95E9ED}"/>
    <cellStyle name="Currency 5 3 2 6 3 3" xfId="31222" xr:uid="{53559910-BFA5-4911-98EC-3A8C2CE9FB3E}"/>
    <cellStyle name="Currency 5 3 2 6 3 4" xfId="14335" xr:uid="{83A0DCAC-B787-4A57-A684-FDB99C4CD485}"/>
    <cellStyle name="Currency 5 3 2 6 4" xfId="18558" xr:uid="{603C3B57-C369-4E4B-904E-E8FD5E5C3363}"/>
    <cellStyle name="Currency 5 3 2 6 5" xfId="27003" xr:uid="{37399082-3053-4AD5-8CA6-EC15CF16B085}"/>
    <cellStyle name="Currency 5 3 2 6 6" xfId="10117" xr:uid="{1F0D665D-B2FF-47B2-AFAB-13E5D81BF53D}"/>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25334" xr:uid="{13BE5FEE-4418-4707-91FF-84B3A72BCC52}"/>
    <cellStyle name="Currency 5 3 2 7 2 2 3" xfId="33780" xr:uid="{2B7C5F24-C41C-416E-AD96-2760CF63141D}"/>
    <cellStyle name="Currency 5 3 2 7 2 2 4" xfId="16893" xr:uid="{BC8EBFA0-1DE6-48F4-A89C-A9F228AD574F}"/>
    <cellStyle name="Currency 5 3 2 7 2 3" xfId="21116" xr:uid="{806D32E3-8F78-4FD9-AD68-3A5E3AB42BE4}"/>
    <cellStyle name="Currency 5 3 2 7 2 4" xfId="29563" xr:uid="{9CEB3DF3-D898-420C-8946-08550C5741E4}"/>
    <cellStyle name="Currency 5 3 2 7 2 5" xfId="12675" xr:uid="{94200D89-DA84-4FD1-AF29-B20F0F31CB77}"/>
    <cellStyle name="Currency 5 3 2 7 3" xfId="6306" xr:uid="{00000000-0005-0000-0000-0000D90C0000}"/>
    <cellStyle name="Currency 5 3 2 7 3 2" xfId="23189" xr:uid="{8D290C48-1DD8-4CE7-A1BF-7D4069AA9B94}"/>
    <cellStyle name="Currency 5 3 2 7 3 3" xfId="31635" xr:uid="{BBEA89D1-C82E-4504-BEC9-81DC7F41476B}"/>
    <cellStyle name="Currency 5 3 2 7 3 4" xfId="14748" xr:uid="{FB1A11B0-5F37-4CDB-8A55-2422E0184676}"/>
    <cellStyle name="Currency 5 3 2 7 4" xfId="18971" xr:uid="{BABDE6F2-7990-45E4-A871-02BB98E8E8A1}"/>
    <cellStyle name="Currency 5 3 2 7 5" xfId="27416" xr:uid="{07D421BC-F564-4D21-AE47-C99BD6DD04AF}"/>
    <cellStyle name="Currency 5 3 2 7 6" xfId="10530" xr:uid="{C2115F3E-9D20-490E-8470-1A853D180D1F}"/>
    <cellStyle name="Currency 5 3 2 8" xfId="2434" xr:uid="{00000000-0005-0000-0000-0000DA0C0000}"/>
    <cellStyle name="Currency 5 3 2 8 2" xfId="6719" xr:uid="{00000000-0005-0000-0000-0000DB0C0000}"/>
    <cellStyle name="Currency 5 3 2 8 2 2" xfId="23602" xr:uid="{E8B51F2E-3DAF-4551-AA75-28CFF34EBA01}"/>
    <cellStyle name="Currency 5 3 2 8 2 3" xfId="32048" xr:uid="{01028138-FCB0-452D-8D9D-4FC0FE63F775}"/>
    <cellStyle name="Currency 5 3 2 8 2 4" xfId="15161" xr:uid="{BC3B4AE4-F8F1-4C65-88F7-731EF8B97330}"/>
    <cellStyle name="Currency 5 3 2 8 3" xfId="19384" xr:uid="{4E6E9147-15BB-4ED7-B712-7BCCEC2BF69E}"/>
    <cellStyle name="Currency 5 3 2 8 4" xfId="27829" xr:uid="{D2024E9D-36B1-4972-BE4D-B19675A25E71}"/>
    <cellStyle name="Currency 5 3 2 8 5" xfId="10943" xr:uid="{099116DE-D46C-4F96-A2FC-51716F93744F}"/>
    <cellStyle name="Currency 5 3 2 9" xfId="2731" xr:uid="{00000000-0005-0000-0000-0000DC0C0000}"/>
    <cellStyle name="Currency 5 3 3" xfId="214" xr:uid="{00000000-0005-0000-0000-0000DD0C0000}"/>
    <cellStyle name="Currency 5 3 3 10" xfId="4657" xr:uid="{00000000-0005-0000-0000-0000DE0C0000}"/>
    <cellStyle name="Currency 5 3 3 10 2" xfId="21540" xr:uid="{872C22EC-D600-41C1-9BA7-BCB76A6B6B9B}"/>
    <cellStyle name="Currency 5 3 3 10 3" xfId="29986" xr:uid="{C46C7116-1338-4B69-8117-5465EA5F93A7}"/>
    <cellStyle name="Currency 5 3 3 10 4" xfId="13099" xr:uid="{3CE175C3-AA75-48C1-8BC3-4F0126AF0C5A}"/>
    <cellStyle name="Currency 5 3 3 11" xfId="17322" xr:uid="{6EC8AB9A-FF52-4F45-A942-C73B38846C1C}"/>
    <cellStyle name="Currency 5 3 3 12" xfId="25765" xr:uid="{13ACB806-9838-48DA-B844-33F1F741072D}"/>
    <cellStyle name="Currency 5 3 3 13" xfId="8881" xr:uid="{17CAFBD3-41C7-4D78-85B7-FCB25E789B24}"/>
    <cellStyle name="Currency 5 3 3 2" xfId="215" xr:uid="{00000000-0005-0000-0000-0000DF0C0000}"/>
    <cellStyle name="Currency 5 3 3 2 10" xfId="17323" xr:uid="{95840901-B2C0-446B-9378-D18B9CD10A5C}"/>
    <cellStyle name="Currency 5 3 3 2 11" xfId="25766" xr:uid="{3FC4A2F2-77CE-4475-921C-8E01E0265BF3}"/>
    <cellStyle name="Currency 5 3 3 2 12" xfId="8882" xr:uid="{4DEFAA62-45A5-4826-A47D-3D35B3B5F88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24100" xr:uid="{B1B41FD1-8296-44CD-A679-1731063DB36F}"/>
    <cellStyle name="Currency 5 3 3 2 2 2 2 3" xfId="32546" xr:uid="{9047ADBF-4DA7-4279-AF10-03E5038B8050}"/>
    <cellStyle name="Currency 5 3 3 2 2 2 2 4" xfId="15659" xr:uid="{0A41CE18-2DA2-4B09-8DDA-0D2C269759F7}"/>
    <cellStyle name="Currency 5 3 3 2 2 2 3" xfId="19882" xr:uid="{0F7D087D-8B69-4238-AE63-17A6F6BE0525}"/>
    <cellStyle name="Currency 5 3 3 2 2 2 4" xfId="28329" xr:uid="{EF176E73-F752-4BC0-BCD4-6A9E248FAD26}"/>
    <cellStyle name="Currency 5 3 3 2 2 2 5" xfId="11441" xr:uid="{CF072D63-B43E-4E70-8722-42DEC89AFFCB}"/>
    <cellStyle name="Currency 5 3 3 2 2 3" xfId="5072" xr:uid="{00000000-0005-0000-0000-0000E30C0000}"/>
    <cellStyle name="Currency 5 3 3 2 2 3 2" xfId="21955" xr:uid="{FA1A6303-E25F-493F-9C7E-52A30055A209}"/>
    <cellStyle name="Currency 5 3 3 2 2 3 3" xfId="30401" xr:uid="{9038CC9B-8FB8-4014-9AC4-22EB00016B70}"/>
    <cellStyle name="Currency 5 3 3 2 2 3 4" xfId="13514" xr:uid="{5CE6759D-3B12-4CDF-916E-A01052B9481C}"/>
    <cellStyle name="Currency 5 3 3 2 2 4" xfId="17737" xr:uid="{2936A77A-5D0B-4E28-BAF2-AF2188260AAE}"/>
    <cellStyle name="Currency 5 3 3 2 2 5" xfId="26182" xr:uid="{D3AF72CF-65FA-4BDA-8412-BDC184EBB1D4}"/>
    <cellStyle name="Currency 5 3 3 2 2 6" xfId="9296" xr:uid="{6EAE961C-741C-48B3-B68F-A834DFE67CFA}"/>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24513" xr:uid="{421CFA32-7349-4180-9A04-0B1A1F5EAE8D}"/>
    <cellStyle name="Currency 5 3 3 2 3 2 2 3" xfId="32959" xr:uid="{0E9AA2D5-7092-4F85-9E7B-D6CED137FAA2}"/>
    <cellStyle name="Currency 5 3 3 2 3 2 2 4" xfId="16072" xr:uid="{42985BB5-817B-4E05-A1B6-5E1BC9980B13}"/>
    <cellStyle name="Currency 5 3 3 2 3 2 3" xfId="20295" xr:uid="{CF0403E9-8522-4C18-B961-3F091D72CAED}"/>
    <cellStyle name="Currency 5 3 3 2 3 2 4" xfId="28742" xr:uid="{E495C9C6-F68C-4C89-A204-A146A313C96C}"/>
    <cellStyle name="Currency 5 3 3 2 3 2 5" xfId="11854" xr:uid="{4051D47B-E22A-4439-B3CA-5FC6A80060CB}"/>
    <cellStyle name="Currency 5 3 3 2 3 3" xfId="5485" xr:uid="{00000000-0005-0000-0000-0000E70C0000}"/>
    <cellStyle name="Currency 5 3 3 2 3 3 2" xfId="22368" xr:uid="{BA81174D-B1C2-48A5-88CF-EF5830F933F3}"/>
    <cellStyle name="Currency 5 3 3 2 3 3 3" xfId="30814" xr:uid="{36FDA5BE-8030-4CE7-B22E-41403D8C3FCF}"/>
    <cellStyle name="Currency 5 3 3 2 3 3 4" xfId="13927" xr:uid="{D02D531E-F2EB-4DA9-ADE3-C7253FC1FF7A}"/>
    <cellStyle name="Currency 5 3 3 2 3 4" xfId="18150" xr:uid="{1422A1DD-822B-4F59-AFF3-AB0A221E929C}"/>
    <cellStyle name="Currency 5 3 3 2 3 5" xfId="26595" xr:uid="{CE185103-E7C9-4D44-AC60-56C943EA074B}"/>
    <cellStyle name="Currency 5 3 3 2 3 6" xfId="9709" xr:uid="{6D3CAD29-755A-4F9B-B80A-A730FB937489}"/>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24926" xr:uid="{CFC2C9A7-9089-4F1B-BBAD-5535DC8F54AD}"/>
    <cellStyle name="Currency 5 3 3 2 4 2 2 3" xfId="33372" xr:uid="{07816268-7329-459C-9733-01633A59F06B}"/>
    <cellStyle name="Currency 5 3 3 2 4 2 2 4" xfId="16485" xr:uid="{F2D2705E-F803-4572-8A50-030F3E656084}"/>
    <cellStyle name="Currency 5 3 3 2 4 2 3" xfId="20708" xr:uid="{6BCC9749-BE54-4BF3-8A49-64EBDE1994EF}"/>
    <cellStyle name="Currency 5 3 3 2 4 2 4" xfId="29155" xr:uid="{A3C62DDB-325A-47BE-AB44-F52C64D3A32F}"/>
    <cellStyle name="Currency 5 3 3 2 4 2 5" xfId="12267" xr:uid="{23CB8957-861A-4D36-9CB7-E2F6C0B90F60}"/>
    <cellStyle name="Currency 5 3 3 2 4 3" xfId="5898" xr:uid="{00000000-0005-0000-0000-0000EB0C0000}"/>
    <cellStyle name="Currency 5 3 3 2 4 3 2" xfId="22781" xr:uid="{5D8A6D33-3FC0-4265-996A-D7AB1ED7AEE1}"/>
    <cellStyle name="Currency 5 3 3 2 4 3 3" xfId="31227" xr:uid="{DF035F9F-3CAF-48D0-B679-2B982B492543}"/>
    <cellStyle name="Currency 5 3 3 2 4 3 4" xfId="14340" xr:uid="{B62F71E5-F430-4B47-B80F-76FFCAC4164E}"/>
    <cellStyle name="Currency 5 3 3 2 4 4" xfId="18563" xr:uid="{E3DC016B-94B7-4530-BFD4-C0556AAC955B}"/>
    <cellStyle name="Currency 5 3 3 2 4 5" xfId="27008" xr:uid="{3A50A33A-38DB-4CC9-A280-BAD1525FEBC1}"/>
    <cellStyle name="Currency 5 3 3 2 4 6" xfId="10122" xr:uid="{729E9617-FD36-4D0D-B123-34D7FAB63A9F}"/>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25339" xr:uid="{4433E303-BDD1-4805-9382-47D541888546}"/>
    <cellStyle name="Currency 5 3 3 2 5 2 2 3" xfId="33785" xr:uid="{0A0B515A-5AB1-43F0-9111-21FAC3ED71DB}"/>
    <cellStyle name="Currency 5 3 3 2 5 2 2 4" xfId="16898" xr:uid="{4A73EA90-0D47-4DA9-AD81-14F54DD025B8}"/>
    <cellStyle name="Currency 5 3 3 2 5 2 3" xfId="21121" xr:uid="{98D951F1-07CA-465A-9FAF-91E212FF157E}"/>
    <cellStyle name="Currency 5 3 3 2 5 2 4" xfId="29568" xr:uid="{5A17138D-3BD4-4EB0-AB7F-EB605CB58E12}"/>
    <cellStyle name="Currency 5 3 3 2 5 2 5" xfId="12680" xr:uid="{C402A27B-6982-4E5B-861D-A47E9E077F3B}"/>
    <cellStyle name="Currency 5 3 3 2 5 3" xfId="6311" xr:uid="{00000000-0005-0000-0000-0000EF0C0000}"/>
    <cellStyle name="Currency 5 3 3 2 5 3 2" xfId="23194" xr:uid="{3A03254A-72E6-44A7-9D10-A76DEF6DBF5C}"/>
    <cellStyle name="Currency 5 3 3 2 5 3 3" xfId="31640" xr:uid="{7C4AEF02-7F38-4E3C-B7A5-530318779ECB}"/>
    <cellStyle name="Currency 5 3 3 2 5 3 4" xfId="14753" xr:uid="{0D971758-DD21-4C81-98D4-1540E94AF3D3}"/>
    <cellStyle name="Currency 5 3 3 2 5 4" xfId="18976" xr:uid="{087AD32F-FED6-457D-A4CD-ACCECAB9AB1C}"/>
    <cellStyle name="Currency 5 3 3 2 5 5" xfId="27421" xr:uid="{6ED2F947-BBD1-40CC-B81D-FB59B7CECDA9}"/>
    <cellStyle name="Currency 5 3 3 2 5 6" xfId="10535" xr:uid="{116CA7FC-AE6D-45F5-9CD3-AB206E9E609D}"/>
    <cellStyle name="Currency 5 3 3 2 6" xfId="2439" xr:uid="{00000000-0005-0000-0000-0000F00C0000}"/>
    <cellStyle name="Currency 5 3 3 2 6 2" xfId="6724" xr:uid="{00000000-0005-0000-0000-0000F10C0000}"/>
    <cellStyle name="Currency 5 3 3 2 6 2 2" xfId="23607" xr:uid="{A3DD3CF9-B803-4CB9-8755-A2FC321BF14E}"/>
    <cellStyle name="Currency 5 3 3 2 6 2 3" xfId="32053" xr:uid="{BE32AD73-D207-426D-BF1A-06E68843BA11}"/>
    <cellStyle name="Currency 5 3 3 2 6 2 4" xfId="15166" xr:uid="{2C81C6E9-71D8-47FC-B881-AFC7BE823CCA}"/>
    <cellStyle name="Currency 5 3 3 2 6 3" xfId="19389" xr:uid="{E8E397C7-4179-42DE-89AD-B27EF9DFEBC1}"/>
    <cellStyle name="Currency 5 3 3 2 6 4" xfId="27834" xr:uid="{A2646223-6A42-499A-8878-92B85CBB545F}"/>
    <cellStyle name="Currency 5 3 3 2 6 5" xfId="10948" xr:uid="{39CA1B2A-7B91-480F-BEA1-C1F8F69CAAFA}"/>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23924" xr:uid="{A4279FF7-B24E-4F2D-91CD-74BA9E2DBC71}"/>
    <cellStyle name="Currency 5 3 3 2 8 2 3" xfId="32370" xr:uid="{140DBF30-A014-4481-AFCD-E77C7A190985}"/>
    <cellStyle name="Currency 5 3 3 2 8 2 4" xfId="15483" xr:uid="{535B2B13-FD5F-4FF5-AE52-BA12F6453E22}"/>
    <cellStyle name="Currency 5 3 3 2 8 3" xfId="19706" xr:uid="{461969FC-B4DA-4F0C-A6C9-6CC4709DA3F9}"/>
    <cellStyle name="Currency 5 3 3 2 8 4" xfId="28153" xr:uid="{958A12BB-BBCA-4D83-BE5A-57D65DEB0A96}"/>
    <cellStyle name="Currency 5 3 3 2 8 5" xfId="11265" xr:uid="{03C7E037-FA1C-46A9-8531-1067622B6854}"/>
    <cellStyle name="Currency 5 3 3 2 9" xfId="4658" xr:uid="{00000000-0005-0000-0000-0000F50C0000}"/>
    <cellStyle name="Currency 5 3 3 2 9 2" xfId="21541" xr:uid="{36707EB1-D773-42A9-B27A-702FDA6EDA35}"/>
    <cellStyle name="Currency 5 3 3 2 9 3" xfId="29987" xr:uid="{546752E3-FC67-4CA8-B5CD-B7290A539CD6}"/>
    <cellStyle name="Currency 5 3 3 2 9 4" xfId="13100" xr:uid="{2B15BB0A-CCAE-4C39-BF64-CA978B1EF59F}"/>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24099" xr:uid="{1B7E53C1-1E89-4750-9B8C-AD3E600BBB5D}"/>
    <cellStyle name="Currency 5 3 3 3 2 2 3" xfId="32545" xr:uid="{2BDC20BD-66E9-4F8A-BAF8-99B7BCAC863D}"/>
    <cellStyle name="Currency 5 3 3 3 2 2 4" xfId="15658" xr:uid="{E753E924-5BA9-4C97-906B-66AABAC5211B}"/>
    <cellStyle name="Currency 5 3 3 3 2 3" xfId="19881" xr:uid="{4288494C-7209-4140-ABBB-2EEDFA2580D6}"/>
    <cellStyle name="Currency 5 3 3 3 2 4" xfId="28328" xr:uid="{8D50715A-2A77-4349-8D54-84FFCAD31C0B}"/>
    <cellStyle name="Currency 5 3 3 3 2 5" xfId="11440" xr:uid="{8DD24F42-C4BF-4D2D-9F75-F030EF342418}"/>
    <cellStyle name="Currency 5 3 3 3 3" xfId="5071" xr:uid="{00000000-0005-0000-0000-0000F90C0000}"/>
    <cellStyle name="Currency 5 3 3 3 3 2" xfId="21954" xr:uid="{DB0B47E1-FB87-4D47-88D1-B9706F27C28E}"/>
    <cellStyle name="Currency 5 3 3 3 3 3" xfId="30400" xr:uid="{7C2DD728-CE8E-426B-9109-6F02622306E6}"/>
    <cellStyle name="Currency 5 3 3 3 3 4" xfId="13513" xr:uid="{4EAEB549-8F59-4FB0-BB87-34DFE673BBCB}"/>
    <cellStyle name="Currency 5 3 3 3 4" xfId="17736" xr:uid="{A4B6490D-D27E-4901-A9A3-530E4316E2C9}"/>
    <cellStyle name="Currency 5 3 3 3 5" xfId="26181" xr:uid="{55A06CFE-F20B-48B7-9E4B-D3777D37A4FD}"/>
    <cellStyle name="Currency 5 3 3 3 6" xfId="9295" xr:uid="{93FCB139-6B16-4A04-B41B-DAA6B9EB8E9B}"/>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24512" xr:uid="{07C7A610-2941-4F1A-BC6C-A8D20EE1B1E3}"/>
    <cellStyle name="Currency 5 3 3 4 2 2 3" xfId="32958" xr:uid="{C7B008DE-F951-48EC-A384-DCAF09E77FB1}"/>
    <cellStyle name="Currency 5 3 3 4 2 2 4" xfId="16071" xr:uid="{913D6091-1E27-4252-8195-3EE44530BB12}"/>
    <cellStyle name="Currency 5 3 3 4 2 3" xfId="20294" xr:uid="{D7F75C8C-18C5-4791-A9AB-435AB6B620EB}"/>
    <cellStyle name="Currency 5 3 3 4 2 4" xfId="28741" xr:uid="{9B0EC4B2-A0DD-4C13-811F-2501448907C4}"/>
    <cellStyle name="Currency 5 3 3 4 2 5" xfId="11853" xr:uid="{E2EDDA60-6A66-4FA2-9C1E-BBDEAB8831A7}"/>
    <cellStyle name="Currency 5 3 3 4 3" xfId="5484" xr:uid="{00000000-0005-0000-0000-0000FD0C0000}"/>
    <cellStyle name="Currency 5 3 3 4 3 2" xfId="22367" xr:uid="{3C4CA5B5-2846-4C95-9FB7-0F4A351A2775}"/>
    <cellStyle name="Currency 5 3 3 4 3 3" xfId="30813" xr:uid="{165852CD-1029-4FE6-BFB4-9077D2DE8912}"/>
    <cellStyle name="Currency 5 3 3 4 3 4" xfId="13926" xr:uid="{214F52D8-3CAC-4436-A5C4-25C963863EA1}"/>
    <cellStyle name="Currency 5 3 3 4 4" xfId="18149" xr:uid="{6D6B04A7-5338-4F5A-ADF1-AF9CA9C3C64F}"/>
    <cellStyle name="Currency 5 3 3 4 5" xfId="26594" xr:uid="{F1073274-4505-4ED6-9167-69760E387DA0}"/>
    <cellStyle name="Currency 5 3 3 4 6" xfId="9708" xr:uid="{852C48A7-D82D-43D7-8CFD-6AC1A90B6089}"/>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24925" xr:uid="{9F13A947-3F0B-4508-A5D1-896FB8258946}"/>
    <cellStyle name="Currency 5 3 3 5 2 2 3" xfId="33371" xr:uid="{CAF8A26E-E4CD-4A23-8114-4CBC8F34744D}"/>
    <cellStyle name="Currency 5 3 3 5 2 2 4" xfId="16484" xr:uid="{E0FD230B-FFED-46B2-991C-6798BCF3D6AA}"/>
    <cellStyle name="Currency 5 3 3 5 2 3" xfId="20707" xr:uid="{E6D27BE9-4FBB-4046-94FC-24255959826B}"/>
    <cellStyle name="Currency 5 3 3 5 2 4" xfId="29154" xr:uid="{52BA979E-44ED-4941-87A6-F8A5D0EEB22E}"/>
    <cellStyle name="Currency 5 3 3 5 2 5" xfId="12266" xr:uid="{E31974F2-BBA1-4476-BF1C-8D8202955912}"/>
    <cellStyle name="Currency 5 3 3 5 3" xfId="5897" xr:uid="{00000000-0005-0000-0000-0000010D0000}"/>
    <cellStyle name="Currency 5 3 3 5 3 2" xfId="22780" xr:uid="{7032364A-04CF-4AD6-AE9D-EFFE321CAE91}"/>
    <cellStyle name="Currency 5 3 3 5 3 3" xfId="31226" xr:uid="{70DB23D9-5488-4255-A207-2D1DFDFEE3C1}"/>
    <cellStyle name="Currency 5 3 3 5 3 4" xfId="14339" xr:uid="{79E16DFC-CD56-43DB-B444-A3845C65AC2F}"/>
    <cellStyle name="Currency 5 3 3 5 4" xfId="18562" xr:uid="{B66A96B4-CB38-433B-A427-B99E6E9A5813}"/>
    <cellStyle name="Currency 5 3 3 5 5" xfId="27007" xr:uid="{528AB8AA-D2DE-441A-B4F2-F805A978D05A}"/>
    <cellStyle name="Currency 5 3 3 5 6" xfId="10121" xr:uid="{58C1EB06-9574-481B-BB54-335D35BACB62}"/>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25338" xr:uid="{FADD9F5A-B3C1-4F04-B57D-53886DC253BD}"/>
    <cellStyle name="Currency 5 3 3 6 2 2 3" xfId="33784" xr:uid="{2DD75A37-AF60-442C-901F-C272CE94CDA7}"/>
    <cellStyle name="Currency 5 3 3 6 2 2 4" xfId="16897" xr:uid="{4775F348-AB8C-4C79-8C17-438E886B89AE}"/>
    <cellStyle name="Currency 5 3 3 6 2 3" xfId="21120" xr:uid="{58363482-D3BE-4E4F-B0E6-975ACEF28588}"/>
    <cellStyle name="Currency 5 3 3 6 2 4" xfId="29567" xr:uid="{24983F0C-8D33-4D8D-A6FA-CFE54BAD17F3}"/>
    <cellStyle name="Currency 5 3 3 6 2 5" xfId="12679" xr:uid="{A2E16242-8463-4BF4-9AC7-C409B4E6DBCC}"/>
    <cellStyle name="Currency 5 3 3 6 3" xfId="6310" xr:uid="{00000000-0005-0000-0000-0000050D0000}"/>
    <cellStyle name="Currency 5 3 3 6 3 2" xfId="23193" xr:uid="{9330DC9A-706B-4793-AC2D-4566D6BE8B98}"/>
    <cellStyle name="Currency 5 3 3 6 3 3" xfId="31639" xr:uid="{9FA627DF-0350-43B6-9CB8-5BD2561F58CD}"/>
    <cellStyle name="Currency 5 3 3 6 3 4" xfId="14752" xr:uid="{AB0B799C-FE21-4162-B93C-4B5A40435F0C}"/>
    <cellStyle name="Currency 5 3 3 6 4" xfId="18975" xr:uid="{6302A3F2-A481-4707-85EF-228928ABFF53}"/>
    <cellStyle name="Currency 5 3 3 6 5" xfId="27420" xr:uid="{07542AA2-B81B-4D54-B771-2221644EB5DC}"/>
    <cellStyle name="Currency 5 3 3 6 6" xfId="10534" xr:uid="{18FF4E12-39EB-4EBC-A0EC-C9FAA2119E43}"/>
    <cellStyle name="Currency 5 3 3 7" xfId="2438" xr:uid="{00000000-0005-0000-0000-0000060D0000}"/>
    <cellStyle name="Currency 5 3 3 7 2" xfId="6723" xr:uid="{00000000-0005-0000-0000-0000070D0000}"/>
    <cellStyle name="Currency 5 3 3 7 2 2" xfId="23606" xr:uid="{E83987A5-56D1-43CD-AB53-75995951B9D5}"/>
    <cellStyle name="Currency 5 3 3 7 2 3" xfId="32052" xr:uid="{4B38CC1C-0E1E-40B3-90B1-552D8F511B90}"/>
    <cellStyle name="Currency 5 3 3 7 2 4" xfId="15165" xr:uid="{E52652C8-A3CA-4B6A-8A6D-B9AE988F5A65}"/>
    <cellStyle name="Currency 5 3 3 7 3" xfId="19388" xr:uid="{2F6F7F4B-430B-47AD-BEB3-298F20CB3E96}"/>
    <cellStyle name="Currency 5 3 3 7 4" xfId="27833" xr:uid="{05F9CA42-D4C8-4E88-9B1A-D30D7E6E5E8A}"/>
    <cellStyle name="Currency 5 3 3 7 5" xfId="10947" xr:uid="{D4A31D37-8E0A-4868-A030-3AFC735B17EB}"/>
    <cellStyle name="Currency 5 3 3 8" xfId="2735" xr:uid="{00000000-0005-0000-0000-0000080D0000}"/>
    <cellStyle name="Currency 5 3 3 9" xfId="2816" xr:uid="{00000000-0005-0000-0000-0000090D0000}"/>
    <cellStyle name="Currency 5 3 3 9 2" xfId="7040" xr:uid="{00000000-0005-0000-0000-00000A0D0000}"/>
    <cellStyle name="Currency 5 3 3 9 2 2" xfId="23923" xr:uid="{19A495CF-5FD3-4A30-9A6B-7166D58A9E23}"/>
    <cellStyle name="Currency 5 3 3 9 2 3" xfId="32369" xr:uid="{08CD8968-323F-4C1E-AC20-1C1AE6C75BEB}"/>
    <cellStyle name="Currency 5 3 3 9 2 4" xfId="15482" xr:uid="{D5694659-3896-4366-BC14-BB64C1406B0B}"/>
    <cellStyle name="Currency 5 3 3 9 3" xfId="19705" xr:uid="{5DD914D5-B9A6-457E-B7D3-450B5CBAC2C3}"/>
    <cellStyle name="Currency 5 3 3 9 4" xfId="28152" xr:uid="{8A18D683-D4D5-45A2-8D01-2F3CC159090B}"/>
    <cellStyle name="Currency 5 3 3 9 5" xfId="11264" xr:uid="{A2EFDEC9-07A4-40C9-AA3E-0CA6C93EE24A}"/>
    <cellStyle name="Currency 5 3 4" xfId="216" xr:uid="{00000000-0005-0000-0000-00000B0D0000}"/>
    <cellStyle name="Currency 5 3 4 10" xfId="17324" xr:uid="{727BE18B-0386-4E74-88C0-F0FE53A0BFA5}"/>
    <cellStyle name="Currency 5 3 4 11" xfId="25767" xr:uid="{46017078-DFBE-4B9C-9FE5-C073960DB681}"/>
    <cellStyle name="Currency 5 3 4 12" xfId="8883" xr:uid="{BA511355-A68D-427F-A133-A3A681F5BFF0}"/>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24101" xr:uid="{FB875CFF-1DFD-4086-BF43-D508423A9D04}"/>
    <cellStyle name="Currency 5 3 4 2 2 2 3" xfId="32547" xr:uid="{9F17F53D-16E1-48D7-AEE6-E8C18F1BFD8E}"/>
    <cellStyle name="Currency 5 3 4 2 2 2 4" xfId="15660" xr:uid="{191D4401-1F2D-4B26-93B3-F58E6227C662}"/>
    <cellStyle name="Currency 5 3 4 2 2 3" xfId="19883" xr:uid="{E55B254C-92A0-421D-A847-E58E4435D767}"/>
    <cellStyle name="Currency 5 3 4 2 2 4" xfId="28330" xr:uid="{603C109B-7BD0-4BE6-A8F2-4114919846F9}"/>
    <cellStyle name="Currency 5 3 4 2 2 5" xfId="11442" xr:uid="{13260EC6-231E-4D32-8E76-C4E27590B962}"/>
    <cellStyle name="Currency 5 3 4 2 3" xfId="5073" xr:uid="{00000000-0005-0000-0000-00000F0D0000}"/>
    <cellStyle name="Currency 5 3 4 2 3 2" xfId="21956" xr:uid="{1B1FD35E-6EB7-4911-B5C3-3BB1181E1BCA}"/>
    <cellStyle name="Currency 5 3 4 2 3 3" xfId="30402" xr:uid="{6219F675-AD20-433A-BED2-DD4E408C73BF}"/>
    <cellStyle name="Currency 5 3 4 2 3 4" xfId="13515" xr:uid="{FB30AE4E-D295-483C-A126-E5776FF96987}"/>
    <cellStyle name="Currency 5 3 4 2 4" xfId="17738" xr:uid="{DB7E363F-DF0B-456F-9BBA-2C01F1B2F4F1}"/>
    <cellStyle name="Currency 5 3 4 2 5" xfId="26183" xr:uid="{B7964EBC-8356-4B37-897A-6AAE56159163}"/>
    <cellStyle name="Currency 5 3 4 2 6" xfId="9297" xr:uid="{AB955370-F9F1-426F-B1BF-C449C80D5F62}"/>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24514" xr:uid="{312C0C4D-D12F-449A-A74B-EC75DDD6F406}"/>
    <cellStyle name="Currency 5 3 4 3 2 2 3" xfId="32960" xr:uid="{BE7BED76-9336-4CF9-B1D9-FF7251D62EB7}"/>
    <cellStyle name="Currency 5 3 4 3 2 2 4" xfId="16073" xr:uid="{B0B8DD01-976F-4361-9AFE-488907C8A730}"/>
    <cellStyle name="Currency 5 3 4 3 2 3" xfId="20296" xr:uid="{13C882BD-8254-42CC-826D-429D053DF501}"/>
    <cellStyle name="Currency 5 3 4 3 2 4" xfId="28743" xr:uid="{AE522D77-93BA-40EF-9B49-0BA6612C639F}"/>
    <cellStyle name="Currency 5 3 4 3 2 5" xfId="11855" xr:uid="{CA09B9BB-7721-489D-BA07-CBEF0CA714FD}"/>
    <cellStyle name="Currency 5 3 4 3 3" xfId="5486" xr:uid="{00000000-0005-0000-0000-0000130D0000}"/>
    <cellStyle name="Currency 5 3 4 3 3 2" xfId="22369" xr:uid="{71A5AC6E-AA52-4B62-99A7-7977FF59398D}"/>
    <cellStyle name="Currency 5 3 4 3 3 3" xfId="30815" xr:uid="{B3EDC69D-A5FA-4A66-914B-5740DBCA6A84}"/>
    <cellStyle name="Currency 5 3 4 3 3 4" xfId="13928" xr:uid="{258B7251-114C-4EF1-9F05-6C3E931C9737}"/>
    <cellStyle name="Currency 5 3 4 3 4" xfId="18151" xr:uid="{7E29172C-0101-4605-8902-D6C17376CE80}"/>
    <cellStyle name="Currency 5 3 4 3 5" xfId="26596" xr:uid="{1D353582-AAB2-437C-AE02-078A6C55FC5B}"/>
    <cellStyle name="Currency 5 3 4 3 6" xfId="9710" xr:uid="{61B6653D-1300-474F-B7F9-D7263B95D5DA}"/>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24927" xr:uid="{8BA60B11-6471-42A0-8D14-35E7E7416730}"/>
    <cellStyle name="Currency 5 3 4 4 2 2 3" xfId="33373" xr:uid="{0D38DCAC-33C8-4189-93D3-277727600329}"/>
    <cellStyle name="Currency 5 3 4 4 2 2 4" xfId="16486" xr:uid="{361760FA-D7E0-4612-9D39-D7C37D826DA2}"/>
    <cellStyle name="Currency 5 3 4 4 2 3" xfId="20709" xr:uid="{AC245F2A-3423-483E-AEB5-72AD9C4B57F2}"/>
    <cellStyle name="Currency 5 3 4 4 2 4" xfId="29156" xr:uid="{0BF043E8-41BD-4C5C-96E1-8993031C89C7}"/>
    <cellStyle name="Currency 5 3 4 4 2 5" xfId="12268" xr:uid="{B31AD065-F944-4B35-B14A-4CD5D2F3C3A2}"/>
    <cellStyle name="Currency 5 3 4 4 3" xfId="5899" xr:uid="{00000000-0005-0000-0000-0000170D0000}"/>
    <cellStyle name="Currency 5 3 4 4 3 2" xfId="22782" xr:uid="{DFBF1972-087D-433A-80C3-911AF176A7B7}"/>
    <cellStyle name="Currency 5 3 4 4 3 3" xfId="31228" xr:uid="{155E05B3-5739-4551-BFA8-928E6F793D14}"/>
    <cellStyle name="Currency 5 3 4 4 3 4" xfId="14341" xr:uid="{BC854D07-BBCF-47F1-8C40-7D655C794380}"/>
    <cellStyle name="Currency 5 3 4 4 4" xfId="18564" xr:uid="{1ABFE751-5C13-46E7-A9B5-B9A82DEE2A48}"/>
    <cellStyle name="Currency 5 3 4 4 5" xfId="27009" xr:uid="{67F1EF21-5F98-4538-B22B-ACAA5D1503B4}"/>
    <cellStyle name="Currency 5 3 4 4 6" xfId="10123" xr:uid="{2E22279E-3E22-4357-8F33-18A7D2CB01BD}"/>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25340" xr:uid="{8A396DF4-0A3A-4655-88BA-4B7868DE04CC}"/>
    <cellStyle name="Currency 5 3 4 5 2 2 3" xfId="33786" xr:uid="{7B5E6153-9EC1-419E-8D2A-C1E842ED93B4}"/>
    <cellStyle name="Currency 5 3 4 5 2 2 4" xfId="16899" xr:uid="{F8D4B8F3-63B7-4D93-967F-8A872AB338BB}"/>
    <cellStyle name="Currency 5 3 4 5 2 3" xfId="21122" xr:uid="{CC5103D6-8276-4BFA-A346-C2CF31FB44D0}"/>
    <cellStyle name="Currency 5 3 4 5 2 4" xfId="29569" xr:uid="{26E0ABAF-A713-4B0B-BD69-A3A81EB430C1}"/>
    <cellStyle name="Currency 5 3 4 5 2 5" xfId="12681" xr:uid="{0BFC54BE-5700-4C3A-A331-02BE670A1A68}"/>
    <cellStyle name="Currency 5 3 4 5 3" xfId="6312" xr:uid="{00000000-0005-0000-0000-00001B0D0000}"/>
    <cellStyle name="Currency 5 3 4 5 3 2" xfId="23195" xr:uid="{0EB296BA-4C90-40FC-B443-EA19EFB63A20}"/>
    <cellStyle name="Currency 5 3 4 5 3 3" xfId="31641" xr:uid="{F2A2A92E-3E73-4078-8D0F-9CF185D55A7E}"/>
    <cellStyle name="Currency 5 3 4 5 3 4" xfId="14754" xr:uid="{9F41CCA8-DCAE-4B3A-BF39-95769C36C39F}"/>
    <cellStyle name="Currency 5 3 4 5 4" xfId="18977" xr:uid="{F7B09F27-8A20-4953-B3CC-F441A5F01FE1}"/>
    <cellStyle name="Currency 5 3 4 5 5" xfId="27422" xr:uid="{347C8107-7CD7-4FD1-BD48-232BF4FEAD31}"/>
    <cellStyle name="Currency 5 3 4 5 6" xfId="10536" xr:uid="{560CF83C-9B99-4841-9911-E1B9AE4423FA}"/>
    <cellStyle name="Currency 5 3 4 6" xfId="2440" xr:uid="{00000000-0005-0000-0000-00001C0D0000}"/>
    <cellStyle name="Currency 5 3 4 6 2" xfId="6725" xr:uid="{00000000-0005-0000-0000-00001D0D0000}"/>
    <cellStyle name="Currency 5 3 4 6 2 2" xfId="23608" xr:uid="{2C7FFC6A-FE90-4178-925B-6300D08F35BD}"/>
    <cellStyle name="Currency 5 3 4 6 2 3" xfId="32054" xr:uid="{8551A6D9-31E7-4BEB-843E-92589D822815}"/>
    <cellStyle name="Currency 5 3 4 6 2 4" xfId="15167" xr:uid="{B4BCB731-AE38-411B-8587-489C12CEFA67}"/>
    <cellStyle name="Currency 5 3 4 6 3" xfId="19390" xr:uid="{5865FD0F-EF57-4B6C-9CFC-D25215298955}"/>
    <cellStyle name="Currency 5 3 4 6 4" xfId="27835" xr:uid="{D2165302-9B52-4B60-9465-37B0144D1944}"/>
    <cellStyle name="Currency 5 3 4 6 5" xfId="10949" xr:uid="{587EB3A6-1D49-4A4D-B53D-679BAA12E743}"/>
    <cellStyle name="Currency 5 3 4 7" xfId="2737" xr:uid="{00000000-0005-0000-0000-00001E0D0000}"/>
    <cellStyle name="Currency 5 3 4 8" xfId="2818" xr:uid="{00000000-0005-0000-0000-00001F0D0000}"/>
    <cellStyle name="Currency 5 3 4 8 2" xfId="7042" xr:uid="{00000000-0005-0000-0000-0000200D0000}"/>
    <cellStyle name="Currency 5 3 4 8 2 2" xfId="23925" xr:uid="{3B327750-23B2-4CA4-8418-8787907DB075}"/>
    <cellStyle name="Currency 5 3 4 8 2 3" xfId="32371" xr:uid="{1524320F-E2D9-4D0D-8D76-E856D9B66B82}"/>
    <cellStyle name="Currency 5 3 4 8 2 4" xfId="15484" xr:uid="{68C1558F-7DB6-4CAC-9440-E7CAD87CBDE4}"/>
    <cellStyle name="Currency 5 3 4 8 3" xfId="19707" xr:uid="{2322FA41-FE84-4EB4-9F0D-B31D5F0AD993}"/>
    <cellStyle name="Currency 5 3 4 8 4" xfId="28154" xr:uid="{3704DD5B-131C-498A-A61B-EDED2E3E35DD}"/>
    <cellStyle name="Currency 5 3 4 8 5" xfId="11266" xr:uid="{6B69B301-F373-40D9-8943-65F3780F1C91}"/>
    <cellStyle name="Currency 5 3 4 9" xfId="4659" xr:uid="{00000000-0005-0000-0000-0000210D0000}"/>
    <cellStyle name="Currency 5 3 4 9 2" xfId="21542" xr:uid="{AE1BA510-C600-41E2-A897-A7D3DFA81A0E}"/>
    <cellStyle name="Currency 5 3 4 9 3" xfId="29988" xr:uid="{8D22B920-E6AB-461C-8DC7-7180040DF8A9}"/>
    <cellStyle name="Currency 5 3 4 9 4" xfId="13101" xr:uid="{2EEA0AAD-2985-4BAD-B384-EF171B99ACB2}"/>
    <cellStyle name="Currency 5 3 5" xfId="217" xr:uid="{00000000-0005-0000-0000-0000220D0000}"/>
    <cellStyle name="Currency 5 3 5 10" xfId="17325" xr:uid="{C1EAEB91-6DF9-4EA1-9570-3A46FDC754B5}"/>
    <cellStyle name="Currency 5 3 5 11" xfId="25768" xr:uid="{A39D9587-1E73-4FD1-851F-1A09A4589B00}"/>
    <cellStyle name="Currency 5 3 5 12" xfId="8884" xr:uid="{FDAE9FBD-D684-41E8-9EB2-305AFF4E4102}"/>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24102" xr:uid="{A3ED2C84-CDB8-4EAE-ABC8-7EA09BA18DC0}"/>
    <cellStyle name="Currency 5 3 5 2 2 2 3" xfId="32548" xr:uid="{8B707CFD-75E2-45C3-817C-B4CC1122509D}"/>
    <cellStyle name="Currency 5 3 5 2 2 2 4" xfId="15661" xr:uid="{0CBE9E5E-7255-4658-ABE9-D9603098C8C1}"/>
    <cellStyle name="Currency 5 3 5 2 2 3" xfId="19884" xr:uid="{1F50DA54-2A44-4057-B4BE-A1D9022A8E2F}"/>
    <cellStyle name="Currency 5 3 5 2 2 4" xfId="28331" xr:uid="{D133DB47-D842-4E32-8475-2ABD61B21172}"/>
    <cellStyle name="Currency 5 3 5 2 2 5" xfId="11443" xr:uid="{4FCB34B5-9187-48DF-8484-4C7CB33EAEC0}"/>
    <cellStyle name="Currency 5 3 5 2 3" xfId="5074" xr:uid="{00000000-0005-0000-0000-0000260D0000}"/>
    <cellStyle name="Currency 5 3 5 2 3 2" xfId="21957" xr:uid="{7B280404-D33F-413B-A2EC-41F0A86A3060}"/>
    <cellStyle name="Currency 5 3 5 2 3 3" xfId="30403" xr:uid="{D60B9249-E2D0-4DC7-85D8-7C56829A9332}"/>
    <cellStyle name="Currency 5 3 5 2 3 4" xfId="13516" xr:uid="{1D69CE47-3373-47C8-A3B0-EA39106D79A6}"/>
    <cellStyle name="Currency 5 3 5 2 4" xfId="17739" xr:uid="{9C967192-361A-44A5-BBD3-9B0CEC5738C9}"/>
    <cellStyle name="Currency 5 3 5 2 5" xfId="26184" xr:uid="{67C4A9FA-02C0-4658-A824-154F0DE6E323}"/>
    <cellStyle name="Currency 5 3 5 2 6" xfId="9298" xr:uid="{40F22F85-2139-40CD-8196-CCBA8E0AC033}"/>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24515" xr:uid="{49747FED-4411-43F7-B567-AE467B16BD4D}"/>
    <cellStyle name="Currency 5 3 5 3 2 2 3" xfId="32961" xr:uid="{417FBF1C-214B-4C55-8466-B0778150F8AA}"/>
    <cellStyle name="Currency 5 3 5 3 2 2 4" xfId="16074" xr:uid="{CAC4C1EC-FBD4-430E-BBC9-089DDF8602C8}"/>
    <cellStyle name="Currency 5 3 5 3 2 3" xfId="20297" xr:uid="{7B4E1EC3-BBB9-4E9E-B4A1-13DC9F68CC1F}"/>
    <cellStyle name="Currency 5 3 5 3 2 4" xfId="28744" xr:uid="{6863F09E-F097-4B99-A220-FBEDBB775E51}"/>
    <cellStyle name="Currency 5 3 5 3 2 5" xfId="11856" xr:uid="{DCE1D4C0-32E5-43ED-9515-7E2237679AB0}"/>
    <cellStyle name="Currency 5 3 5 3 3" xfId="5487" xr:uid="{00000000-0005-0000-0000-00002A0D0000}"/>
    <cellStyle name="Currency 5 3 5 3 3 2" xfId="22370" xr:uid="{F385AABB-6774-49F3-ABF5-3A0B0B81B470}"/>
    <cellStyle name="Currency 5 3 5 3 3 3" xfId="30816" xr:uid="{E3799615-92BF-4457-88B1-A465A7B1E3BB}"/>
    <cellStyle name="Currency 5 3 5 3 3 4" xfId="13929" xr:uid="{A707AF71-E6CA-45EC-ACB7-3679BAAB247B}"/>
    <cellStyle name="Currency 5 3 5 3 4" xfId="18152" xr:uid="{1DA3A9CC-B178-4D96-AC9A-95EA83BA60C7}"/>
    <cellStyle name="Currency 5 3 5 3 5" xfId="26597" xr:uid="{53399403-8886-4DDB-AA32-34CC9CBF49AD}"/>
    <cellStyle name="Currency 5 3 5 3 6" xfId="9711" xr:uid="{462DA28A-F216-413F-B4A5-E9FC38ED4D95}"/>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24928" xr:uid="{D773F2AE-D1CC-42DF-9645-40E60EAB7001}"/>
    <cellStyle name="Currency 5 3 5 4 2 2 3" xfId="33374" xr:uid="{62B5AD5C-F476-4FB1-BDD5-957BBC17210A}"/>
    <cellStyle name="Currency 5 3 5 4 2 2 4" xfId="16487" xr:uid="{8AF958EE-B9D5-49CF-AADB-FE511CCE7808}"/>
    <cellStyle name="Currency 5 3 5 4 2 3" xfId="20710" xr:uid="{D69AA6AA-F58D-4DED-9B3F-6A0C7C6B7E95}"/>
    <cellStyle name="Currency 5 3 5 4 2 4" xfId="29157" xr:uid="{04DC2673-0781-42A5-9DA4-68EAB90A253F}"/>
    <cellStyle name="Currency 5 3 5 4 2 5" xfId="12269" xr:uid="{F5583C28-5993-40A9-9592-B48D76A6D157}"/>
    <cellStyle name="Currency 5 3 5 4 3" xfId="5900" xr:uid="{00000000-0005-0000-0000-00002E0D0000}"/>
    <cellStyle name="Currency 5 3 5 4 3 2" xfId="22783" xr:uid="{FF856521-FA65-4677-A18B-AEDD19B0C4BC}"/>
    <cellStyle name="Currency 5 3 5 4 3 3" xfId="31229" xr:uid="{566C0A5C-1777-4E7D-9EEA-E8C041CD6F98}"/>
    <cellStyle name="Currency 5 3 5 4 3 4" xfId="14342" xr:uid="{6337A8AE-5C16-4302-9F62-71B7E9894868}"/>
    <cellStyle name="Currency 5 3 5 4 4" xfId="18565" xr:uid="{A4C2AB60-37C0-4B6D-B1B2-9EAA6CF9F04D}"/>
    <cellStyle name="Currency 5 3 5 4 5" xfId="27010" xr:uid="{AA7802D0-228B-4130-93E4-0C124E1FD293}"/>
    <cellStyle name="Currency 5 3 5 4 6" xfId="10124" xr:uid="{B1522E5C-7366-4B48-8E9B-1504A62F25AF}"/>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25341" xr:uid="{43A30EB0-378C-46C1-8C77-46ED30C27E12}"/>
    <cellStyle name="Currency 5 3 5 5 2 2 3" xfId="33787" xr:uid="{C2072684-4545-4555-8B79-E3C79CA06948}"/>
    <cellStyle name="Currency 5 3 5 5 2 2 4" xfId="16900" xr:uid="{DFEECC00-03E2-4A80-AEF2-CB4AF6042AB8}"/>
    <cellStyle name="Currency 5 3 5 5 2 3" xfId="21123" xr:uid="{0B7C6716-E284-46A3-90C0-24A37C9E568F}"/>
    <cellStyle name="Currency 5 3 5 5 2 4" xfId="29570" xr:uid="{61567AFA-D02C-40F7-B586-BF9B8026B625}"/>
    <cellStyle name="Currency 5 3 5 5 2 5" xfId="12682" xr:uid="{2FECA53B-C294-4A54-8DDA-B6B96E09F9FB}"/>
    <cellStyle name="Currency 5 3 5 5 3" xfId="6313" xr:uid="{00000000-0005-0000-0000-0000320D0000}"/>
    <cellStyle name="Currency 5 3 5 5 3 2" xfId="23196" xr:uid="{3A970192-91FD-47D1-839E-92C267C4C39B}"/>
    <cellStyle name="Currency 5 3 5 5 3 3" xfId="31642" xr:uid="{F39D2CD8-0AED-4B85-8345-DE9E53046117}"/>
    <cellStyle name="Currency 5 3 5 5 3 4" xfId="14755" xr:uid="{712ADB4B-D643-4D57-9E33-47EB963ACA5C}"/>
    <cellStyle name="Currency 5 3 5 5 4" xfId="18978" xr:uid="{08C7FC1A-A2FE-4300-A858-465EEAF733D0}"/>
    <cellStyle name="Currency 5 3 5 5 5" xfId="27423" xr:uid="{627EFA3F-7F03-4E15-9D82-9BD32624FDD9}"/>
    <cellStyle name="Currency 5 3 5 5 6" xfId="10537" xr:uid="{02E89C24-9316-44FF-A254-C8B677956D58}"/>
    <cellStyle name="Currency 5 3 5 6" xfId="2441" xr:uid="{00000000-0005-0000-0000-0000330D0000}"/>
    <cellStyle name="Currency 5 3 5 6 2" xfId="6726" xr:uid="{00000000-0005-0000-0000-0000340D0000}"/>
    <cellStyle name="Currency 5 3 5 6 2 2" xfId="23609" xr:uid="{EE330C41-0A52-417A-BB4E-40E8564F186B}"/>
    <cellStyle name="Currency 5 3 5 6 2 3" xfId="32055" xr:uid="{A4EF272A-E782-46AF-80DC-9DF1735C6E93}"/>
    <cellStyle name="Currency 5 3 5 6 2 4" xfId="15168" xr:uid="{5F02E0E6-C086-4DC2-82DC-1CA2B4C7B97F}"/>
    <cellStyle name="Currency 5 3 5 6 3" xfId="19391" xr:uid="{39312FA0-9EC8-49E8-ADFB-5841851584D7}"/>
    <cellStyle name="Currency 5 3 5 6 4" xfId="27836" xr:uid="{183DFB91-596A-4BCA-99E4-E8064DDBA256}"/>
    <cellStyle name="Currency 5 3 5 6 5" xfId="10950" xr:uid="{3DFC1402-634A-4EA5-8F64-3666068E42D7}"/>
    <cellStyle name="Currency 5 3 5 7" xfId="2738" xr:uid="{00000000-0005-0000-0000-0000350D0000}"/>
    <cellStyle name="Currency 5 3 5 8" xfId="2819" xr:uid="{00000000-0005-0000-0000-0000360D0000}"/>
    <cellStyle name="Currency 5 3 5 8 2" xfId="7043" xr:uid="{00000000-0005-0000-0000-0000370D0000}"/>
    <cellStyle name="Currency 5 3 5 8 2 2" xfId="23926" xr:uid="{461D9001-FD5E-475F-B0E9-2FF8EBDE92BB}"/>
    <cellStyle name="Currency 5 3 5 8 2 3" xfId="32372" xr:uid="{E3AF054A-EB21-46CB-AF38-317B47E2F534}"/>
    <cellStyle name="Currency 5 3 5 8 2 4" xfId="15485" xr:uid="{FEC8BC18-106A-4208-BFB7-D4A9E9ED6B72}"/>
    <cellStyle name="Currency 5 3 5 8 3" xfId="19708" xr:uid="{2933B1B9-02FA-49E0-8D93-6FDF5ABD28BE}"/>
    <cellStyle name="Currency 5 3 5 8 4" xfId="28155" xr:uid="{E0D4454D-E34D-4040-9CF6-B75AF18089C1}"/>
    <cellStyle name="Currency 5 3 5 8 5" xfId="11267" xr:uid="{AFAD0985-B2BD-4E82-B055-F307AC4E9E7B}"/>
    <cellStyle name="Currency 5 3 5 9" xfId="4660" xr:uid="{00000000-0005-0000-0000-0000380D0000}"/>
    <cellStyle name="Currency 5 3 5 9 2" xfId="21543" xr:uid="{5ACC6877-A1F4-44F5-9860-E38385977F2C}"/>
    <cellStyle name="Currency 5 3 5 9 3" xfId="29989" xr:uid="{16F67D84-8896-4632-8DCE-5183E7230F14}"/>
    <cellStyle name="Currency 5 3 5 9 4" xfId="13102" xr:uid="{D0944650-1F47-4256-835A-085389A1BADE}"/>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21544" xr:uid="{C67D0121-27E8-4A47-9C4E-F7475E44986D}"/>
    <cellStyle name="Currency 5 5 10 3" xfId="29990" xr:uid="{9D5EF1CE-9C07-4AE5-AF9E-69E10B3B6CCD}"/>
    <cellStyle name="Currency 5 5 10 4" xfId="13103" xr:uid="{565D44DC-88FF-4B3E-AF93-120A98E50EFD}"/>
    <cellStyle name="Currency 5 5 11" xfId="17326" xr:uid="{A57E6D6A-DB66-4E5C-BBC2-9CDED3AAF45C}"/>
    <cellStyle name="Currency 5 5 12" xfId="25769" xr:uid="{552A49E7-87E8-4E5B-B1FA-1CD2C3FEAD37}"/>
    <cellStyle name="Currency 5 5 13" xfId="8885" xr:uid="{823BD9C1-497F-47BF-AFC2-7F79F9462B09}"/>
    <cellStyle name="Currency 5 5 2" xfId="220" xr:uid="{00000000-0005-0000-0000-00003D0D0000}"/>
    <cellStyle name="Currency 5 5 2 10" xfId="17327" xr:uid="{CA0517BC-EC2A-4DEC-BB0D-BAFB35C45029}"/>
    <cellStyle name="Currency 5 5 2 11" xfId="25770" xr:uid="{A182B476-99E1-4A87-BA83-D979F2BC5F7F}"/>
    <cellStyle name="Currency 5 5 2 12" xfId="8886" xr:uid="{3FC62702-BF0E-413A-85C3-1619C0B04A0D}"/>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24104" xr:uid="{BB8306A8-F914-4D6D-9D2D-33054C909DC3}"/>
    <cellStyle name="Currency 5 5 2 2 2 2 3" xfId="32550" xr:uid="{807C3725-BB08-4B92-81E3-CA8B75A23A9A}"/>
    <cellStyle name="Currency 5 5 2 2 2 2 4" xfId="15663" xr:uid="{DFBEDEF0-285F-4DA4-9F83-3F8C1A3C7CFA}"/>
    <cellStyle name="Currency 5 5 2 2 2 3" xfId="19886" xr:uid="{F9CAA609-D75F-4858-BC36-620F68FF8F2F}"/>
    <cellStyle name="Currency 5 5 2 2 2 4" xfId="28333" xr:uid="{B5FA6B82-3D81-4EB4-A66A-F395450981BB}"/>
    <cellStyle name="Currency 5 5 2 2 2 5" xfId="11445" xr:uid="{35CCF9D8-274E-4F52-AB70-4013B07F8A43}"/>
    <cellStyle name="Currency 5 5 2 2 3" xfId="5076" xr:uid="{00000000-0005-0000-0000-0000410D0000}"/>
    <cellStyle name="Currency 5 5 2 2 3 2" xfId="21959" xr:uid="{1237D596-EB56-47A7-8A2A-74AC5101AD58}"/>
    <cellStyle name="Currency 5 5 2 2 3 3" xfId="30405" xr:uid="{26B9DA28-FB33-4017-8A2A-CDD0629FACA9}"/>
    <cellStyle name="Currency 5 5 2 2 3 4" xfId="13518" xr:uid="{81CAC7C4-3173-4AAC-9A58-A9B8E6622395}"/>
    <cellStyle name="Currency 5 5 2 2 4" xfId="17741" xr:uid="{7DCA153B-24E0-406B-9253-808EE1DEA927}"/>
    <cellStyle name="Currency 5 5 2 2 5" xfId="26186" xr:uid="{434783CE-A1C9-49C3-B860-AF32D4F82712}"/>
    <cellStyle name="Currency 5 5 2 2 6" xfId="9300" xr:uid="{515F8AE5-DEA2-4C37-856E-915317757938}"/>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24517" xr:uid="{507B8A1A-9543-462F-A742-F69EC6ED9338}"/>
    <cellStyle name="Currency 5 5 2 3 2 2 3" xfId="32963" xr:uid="{9F4CB4D4-8FCE-4512-AEA6-E98C233650F7}"/>
    <cellStyle name="Currency 5 5 2 3 2 2 4" xfId="16076" xr:uid="{7B874701-EBBD-4AC7-8DF0-F474E4CC02D7}"/>
    <cellStyle name="Currency 5 5 2 3 2 3" xfId="20299" xr:uid="{216BF482-16AD-4185-97C7-1A77F745A639}"/>
    <cellStyle name="Currency 5 5 2 3 2 4" xfId="28746" xr:uid="{AA5C3C43-26C1-4950-8005-73DECE9A11DF}"/>
    <cellStyle name="Currency 5 5 2 3 2 5" xfId="11858" xr:uid="{891E3C8A-08A3-4FBA-982F-DD5F9FD7FA53}"/>
    <cellStyle name="Currency 5 5 2 3 3" xfId="5489" xr:uid="{00000000-0005-0000-0000-0000450D0000}"/>
    <cellStyle name="Currency 5 5 2 3 3 2" xfId="22372" xr:uid="{03C9C0CE-F1C2-4E71-84F6-066F2E60F053}"/>
    <cellStyle name="Currency 5 5 2 3 3 3" xfId="30818" xr:uid="{3B6AA4DF-B088-43FB-A818-883B90FD3A68}"/>
    <cellStyle name="Currency 5 5 2 3 3 4" xfId="13931" xr:uid="{FCCA6460-2C92-4AAD-ABE4-FBE52579AC26}"/>
    <cellStyle name="Currency 5 5 2 3 4" xfId="18154" xr:uid="{EC14C238-52B1-4C4A-B158-4F096FDAE700}"/>
    <cellStyle name="Currency 5 5 2 3 5" xfId="26599" xr:uid="{9F20F7C4-1D12-43C5-911B-96ED4C8C7E62}"/>
    <cellStyle name="Currency 5 5 2 3 6" xfId="9713" xr:uid="{3A1D8A1F-A830-4928-A8E6-29BB33F99578}"/>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24930" xr:uid="{0FC450A0-59ED-4BC9-B89B-92A2CC8D588B}"/>
    <cellStyle name="Currency 5 5 2 4 2 2 3" xfId="33376" xr:uid="{5B5D7C4A-A9A8-4A33-93D4-546998B91BEB}"/>
    <cellStyle name="Currency 5 5 2 4 2 2 4" xfId="16489" xr:uid="{C9C0F636-826B-4628-9AB4-39D2A7C616CC}"/>
    <cellStyle name="Currency 5 5 2 4 2 3" xfId="20712" xr:uid="{31BC3B7E-B695-4AEF-8619-68AD0CF8A082}"/>
    <cellStyle name="Currency 5 5 2 4 2 4" xfId="29159" xr:uid="{865D7CD9-F251-4914-905D-45F4BA936D8F}"/>
    <cellStyle name="Currency 5 5 2 4 2 5" xfId="12271" xr:uid="{078C3D91-95CB-407D-9EC0-D968B93295B9}"/>
    <cellStyle name="Currency 5 5 2 4 3" xfId="5902" xr:uid="{00000000-0005-0000-0000-0000490D0000}"/>
    <cellStyle name="Currency 5 5 2 4 3 2" xfId="22785" xr:uid="{E6FBE3E8-1176-4FD1-A408-3C8749445B31}"/>
    <cellStyle name="Currency 5 5 2 4 3 3" xfId="31231" xr:uid="{2F324524-85AD-4FA9-88B9-3E27DFA63246}"/>
    <cellStyle name="Currency 5 5 2 4 3 4" xfId="14344" xr:uid="{5F80B4F2-ADBB-471C-9DDB-78FA963CC5EC}"/>
    <cellStyle name="Currency 5 5 2 4 4" xfId="18567" xr:uid="{14BE0D6A-F096-4108-A724-3FE2382728D1}"/>
    <cellStyle name="Currency 5 5 2 4 5" xfId="27012" xr:uid="{B4EB88F4-B4A4-457B-B0CF-9F811EE25C04}"/>
    <cellStyle name="Currency 5 5 2 4 6" xfId="10126" xr:uid="{BD573E57-396D-46A5-AB84-29F8B0E792BF}"/>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25343" xr:uid="{6C4CDD4F-51B1-4DC3-AE97-30DA696DA4DC}"/>
    <cellStyle name="Currency 5 5 2 5 2 2 3" xfId="33789" xr:uid="{FE409FAA-3123-41E2-A588-1CE772ED2AA7}"/>
    <cellStyle name="Currency 5 5 2 5 2 2 4" xfId="16902" xr:uid="{3964DD4C-D509-4011-99DB-BB7B90110188}"/>
    <cellStyle name="Currency 5 5 2 5 2 3" xfId="21125" xr:uid="{2F88930A-CDE6-43E9-8493-AC4F373C959A}"/>
    <cellStyle name="Currency 5 5 2 5 2 4" xfId="29572" xr:uid="{C12F34CC-7444-479C-A0DF-D9321C5C62D4}"/>
    <cellStyle name="Currency 5 5 2 5 2 5" xfId="12684" xr:uid="{BEB96D5B-9634-46F4-86A5-33F5BCEDE4CD}"/>
    <cellStyle name="Currency 5 5 2 5 3" xfId="6315" xr:uid="{00000000-0005-0000-0000-00004D0D0000}"/>
    <cellStyle name="Currency 5 5 2 5 3 2" xfId="23198" xr:uid="{ECD10F6D-1EBA-41E5-83FC-276809EB1F9E}"/>
    <cellStyle name="Currency 5 5 2 5 3 3" xfId="31644" xr:uid="{C3DB0650-288F-40AF-85EF-4C03F73D59E6}"/>
    <cellStyle name="Currency 5 5 2 5 3 4" xfId="14757" xr:uid="{779249A6-7080-49EB-9F64-2BEB8591211A}"/>
    <cellStyle name="Currency 5 5 2 5 4" xfId="18980" xr:uid="{72B28CD6-17C6-4725-9E0D-79E6049AC303}"/>
    <cellStyle name="Currency 5 5 2 5 5" xfId="27425" xr:uid="{ED857DFD-5561-40D7-A1A4-4EF2F088EE1E}"/>
    <cellStyle name="Currency 5 5 2 5 6" xfId="10539" xr:uid="{E5E1D36F-755A-43D3-95E1-DB3359013B7C}"/>
    <cellStyle name="Currency 5 5 2 6" xfId="2443" xr:uid="{00000000-0005-0000-0000-00004E0D0000}"/>
    <cellStyle name="Currency 5 5 2 6 2" xfId="6728" xr:uid="{00000000-0005-0000-0000-00004F0D0000}"/>
    <cellStyle name="Currency 5 5 2 6 2 2" xfId="23611" xr:uid="{BA0E7E18-5652-4A3B-97D8-2E5789DDA467}"/>
    <cellStyle name="Currency 5 5 2 6 2 3" xfId="32057" xr:uid="{06247ACC-6C7C-4842-BB37-DA6E7026DD0E}"/>
    <cellStyle name="Currency 5 5 2 6 2 4" xfId="15170" xr:uid="{AF5C0F64-30CA-473E-9FAF-1822AD1C331A}"/>
    <cellStyle name="Currency 5 5 2 6 3" xfId="19393" xr:uid="{1485BF8D-1589-4076-B36D-5CBD96FF8754}"/>
    <cellStyle name="Currency 5 5 2 6 4" xfId="27838" xr:uid="{F8A0B0C5-9D8C-4A43-BD4C-8A403B7CAC81}"/>
    <cellStyle name="Currency 5 5 2 6 5" xfId="10952" xr:uid="{A91AFFD5-EB09-4A50-9C24-9D4C80F25E5E}"/>
    <cellStyle name="Currency 5 5 2 7" xfId="2740" xr:uid="{00000000-0005-0000-0000-0000500D0000}"/>
    <cellStyle name="Currency 5 5 2 8" xfId="2821" xr:uid="{00000000-0005-0000-0000-0000510D0000}"/>
    <cellStyle name="Currency 5 5 2 8 2" xfId="7045" xr:uid="{00000000-0005-0000-0000-0000520D0000}"/>
    <cellStyle name="Currency 5 5 2 8 2 2" xfId="23928" xr:uid="{0BC78925-9E7C-46F0-A4BC-D31D9F8FCDB5}"/>
    <cellStyle name="Currency 5 5 2 8 2 3" xfId="32374" xr:uid="{1D858AFC-E0A3-417F-93CC-93E263A9D3BB}"/>
    <cellStyle name="Currency 5 5 2 8 2 4" xfId="15487" xr:uid="{C5B9A447-5546-4507-8D42-EBE10C42956E}"/>
    <cellStyle name="Currency 5 5 2 8 3" xfId="19710" xr:uid="{05B690B5-8C9A-4AE6-AF38-DEE5588F08D4}"/>
    <cellStyle name="Currency 5 5 2 8 4" xfId="28157" xr:uid="{6F849728-398E-43C9-89CE-C761729FCB43}"/>
    <cellStyle name="Currency 5 5 2 8 5" xfId="11269" xr:uid="{2580B226-2755-4C21-8AC3-137FDD8B814F}"/>
    <cellStyle name="Currency 5 5 2 9" xfId="4662" xr:uid="{00000000-0005-0000-0000-0000530D0000}"/>
    <cellStyle name="Currency 5 5 2 9 2" xfId="21545" xr:uid="{BDF6C32E-EC17-473B-A865-C64A1438AB3D}"/>
    <cellStyle name="Currency 5 5 2 9 3" xfId="29991" xr:uid="{8ACDAD95-5D8F-4870-8D20-E935BF2A919E}"/>
    <cellStyle name="Currency 5 5 2 9 4" xfId="13104" xr:uid="{3A08F018-65C0-47A8-AEDE-F079C0F1E657}"/>
    <cellStyle name="Currency 5 5 3" xfId="745" xr:uid="{00000000-0005-0000-0000-0000540D0000}"/>
    <cellStyle name="Currency 5 5 3 2" xfId="2997" xr:uid="{00000000-0005-0000-0000-0000550D0000}"/>
    <cellStyle name="Currency 5 5 3 2 2" xfId="7220" xr:uid="{00000000-0005-0000-0000-0000560D0000}"/>
    <cellStyle name="Currency 5 5 3 2 2 2" xfId="24103" xr:uid="{AE241BE7-5194-40DD-8EC8-2983F61ACA5C}"/>
    <cellStyle name="Currency 5 5 3 2 2 3" xfId="32549" xr:uid="{B2F11254-8E95-42F8-B4C2-F5BC6364D940}"/>
    <cellStyle name="Currency 5 5 3 2 2 4" xfId="15662" xr:uid="{6F3EC56C-7264-49FB-9C44-4D0D4F8B7EF6}"/>
    <cellStyle name="Currency 5 5 3 2 3" xfId="19885" xr:uid="{78D48257-F441-4A6E-92E8-A7725267EE04}"/>
    <cellStyle name="Currency 5 5 3 2 4" xfId="28332" xr:uid="{DE8CD050-3989-44D4-BC15-8CD0BC313383}"/>
    <cellStyle name="Currency 5 5 3 2 5" xfId="11444" xr:uid="{E8C6D992-033A-4700-B303-69849423A4A1}"/>
    <cellStyle name="Currency 5 5 3 3" xfId="5075" xr:uid="{00000000-0005-0000-0000-0000570D0000}"/>
    <cellStyle name="Currency 5 5 3 3 2" xfId="21958" xr:uid="{AF757ABB-FE68-4231-A7EC-05557239ADA5}"/>
    <cellStyle name="Currency 5 5 3 3 3" xfId="30404" xr:uid="{F0C0C3A8-E89E-40F7-9DAC-360849B1217B}"/>
    <cellStyle name="Currency 5 5 3 3 4" xfId="13517" xr:uid="{77AEBD43-44CA-4DCB-BF1D-848EE24BA870}"/>
    <cellStyle name="Currency 5 5 3 4" xfId="17740" xr:uid="{33BCB2C1-57D0-48DA-BFC2-6627F2BF3003}"/>
    <cellStyle name="Currency 5 5 3 5" xfId="26185" xr:uid="{03C9F146-226A-4D36-819D-D34FA31B082C}"/>
    <cellStyle name="Currency 5 5 3 6" xfId="9299" xr:uid="{F0195C4D-89FE-4437-8F78-D61E49BD2B26}"/>
    <cellStyle name="Currency 5 5 4" xfId="1179" xr:uid="{00000000-0005-0000-0000-0000580D0000}"/>
    <cellStyle name="Currency 5 5 4 2" xfId="3410" xr:uid="{00000000-0005-0000-0000-0000590D0000}"/>
    <cellStyle name="Currency 5 5 4 2 2" xfId="7633" xr:uid="{00000000-0005-0000-0000-00005A0D0000}"/>
    <cellStyle name="Currency 5 5 4 2 2 2" xfId="24516" xr:uid="{F300E1DC-A031-4DE9-A478-B392035F66AB}"/>
    <cellStyle name="Currency 5 5 4 2 2 3" xfId="32962" xr:uid="{E9FF4CB3-F5DF-4DC5-ADA5-B296E2E4FC5E}"/>
    <cellStyle name="Currency 5 5 4 2 2 4" xfId="16075" xr:uid="{64DF33DD-BEB3-45AB-B7B5-15E3403BA607}"/>
    <cellStyle name="Currency 5 5 4 2 3" xfId="20298" xr:uid="{1CA021CA-E2A5-4A14-B2BD-3EEA3E51280A}"/>
    <cellStyle name="Currency 5 5 4 2 4" xfId="28745" xr:uid="{1CF5E247-576A-4501-90AE-3A62FA889205}"/>
    <cellStyle name="Currency 5 5 4 2 5" xfId="11857" xr:uid="{C02AAA4E-FA21-4CB4-91EB-73ACF6F65650}"/>
    <cellStyle name="Currency 5 5 4 3" xfId="5488" xr:uid="{00000000-0005-0000-0000-00005B0D0000}"/>
    <cellStyle name="Currency 5 5 4 3 2" xfId="22371" xr:uid="{C36B83FC-D055-4792-A5E2-DE59ACC0643D}"/>
    <cellStyle name="Currency 5 5 4 3 3" xfId="30817" xr:uid="{4E02F2ED-0666-4377-A927-16AB336B626F}"/>
    <cellStyle name="Currency 5 5 4 3 4" xfId="13930" xr:uid="{CB38ABA1-EEA7-4068-BFB0-BB6D3012683C}"/>
    <cellStyle name="Currency 5 5 4 4" xfId="18153" xr:uid="{D0B18893-045B-4C16-BA0A-F74830F88CD0}"/>
    <cellStyle name="Currency 5 5 4 5" xfId="26598" xr:uid="{68FBF403-A03B-403E-93FF-EEDD78AFFE70}"/>
    <cellStyle name="Currency 5 5 4 6" xfId="9712" xr:uid="{DBEA50D0-E216-445F-B4EC-0C293661FFF7}"/>
    <cellStyle name="Currency 5 5 5" xfId="1593" xr:uid="{00000000-0005-0000-0000-00005C0D0000}"/>
    <cellStyle name="Currency 5 5 5 2" xfId="3823" xr:uid="{00000000-0005-0000-0000-00005D0D0000}"/>
    <cellStyle name="Currency 5 5 5 2 2" xfId="8046" xr:uid="{00000000-0005-0000-0000-00005E0D0000}"/>
    <cellStyle name="Currency 5 5 5 2 2 2" xfId="24929" xr:uid="{C3A8240E-B70D-41BA-9B32-BFAF8CB0085F}"/>
    <cellStyle name="Currency 5 5 5 2 2 3" xfId="33375" xr:uid="{5A0423A8-213E-4069-AF93-479D2F0120F9}"/>
    <cellStyle name="Currency 5 5 5 2 2 4" xfId="16488" xr:uid="{9A20687B-99AD-41CC-9CA0-8166DCA0D76B}"/>
    <cellStyle name="Currency 5 5 5 2 3" xfId="20711" xr:uid="{CE4063C5-E9F8-4B1E-9504-B8CA29F6237C}"/>
    <cellStyle name="Currency 5 5 5 2 4" xfId="29158" xr:uid="{93086911-867D-422D-9B34-71127B33E7E5}"/>
    <cellStyle name="Currency 5 5 5 2 5" xfId="12270" xr:uid="{AB37EAC1-6201-47DD-B170-6F8403979781}"/>
    <cellStyle name="Currency 5 5 5 3" xfId="5901" xr:uid="{00000000-0005-0000-0000-00005F0D0000}"/>
    <cellStyle name="Currency 5 5 5 3 2" xfId="22784" xr:uid="{B34EBAF8-4463-4AD5-9C19-B4B20B416F83}"/>
    <cellStyle name="Currency 5 5 5 3 3" xfId="31230" xr:uid="{0C5EDFDA-1AFB-4193-A056-12B1A34C4269}"/>
    <cellStyle name="Currency 5 5 5 3 4" xfId="14343" xr:uid="{F9E4DF27-CA76-484D-800D-8F20D239BBB4}"/>
    <cellStyle name="Currency 5 5 5 4" xfId="18566" xr:uid="{FFD396B3-BE36-48E6-A429-1C6784C56028}"/>
    <cellStyle name="Currency 5 5 5 5" xfId="27011" xr:uid="{06351FCC-4549-4089-9353-02FCB367AEAB}"/>
    <cellStyle name="Currency 5 5 5 6" xfId="10125" xr:uid="{F4E5C7D9-2617-4A9A-9AC1-199B8C3C3F1E}"/>
    <cellStyle name="Currency 5 5 6" xfId="2007" xr:uid="{00000000-0005-0000-0000-0000600D0000}"/>
    <cellStyle name="Currency 5 5 6 2" xfId="4236" xr:uid="{00000000-0005-0000-0000-0000610D0000}"/>
    <cellStyle name="Currency 5 5 6 2 2" xfId="8459" xr:uid="{00000000-0005-0000-0000-0000620D0000}"/>
    <cellStyle name="Currency 5 5 6 2 2 2" xfId="25342" xr:uid="{4FED2E5F-86F5-421D-86DE-1BBB9239B075}"/>
    <cellStyle name="Currency 5 5 6 2 2 3" xfId="33788" xr:uid="{EDE026F3-DD8A-413E-BEA3-D20B44CB4278}"/>
    <cellStyle name="Currency 5 5 6 2 2 4" xfId="16901" xr:uid="{422D08BF-B841-453B-AE7F-DD24AAF089DC}"/>
    <cellStyle name="Currency 5 5 6 2 3" xfId="21124" xr:uid="{209D1F0C-934C-4287-8A02-19E3121CF296}"/>
    <cellStyle name="Currency 5 5 6 2 4" xfId="29571" xr:uid="{C6866EE9-7D72-434A-9464-44CE99BF3E43}"/>
    <cellStyle name="Currency 5 5 6 2 5" xfId="12683" xr:uid="{35C003E7-835D-483D-AD39-B3763D4C2255}"/>
    <cellStyle name="Currency 5 5 6 3" xfId="6314" xr:uid="{00000000-0005-0000-0000-0000630D0000}"/>
    <cellStyle name="Currency 5 5 6 3 2" xfId="23197" xr:uid="{BC6BD347-7BD6-4633-9D26-F155BFB75E9C}"/>
    <cellStyle name="Currency 5 5 6 3 3" xfId="31643" xr:uid="{4D6F10A7-168E-4300-BFC9-640CB0FAA7B7}"/>
    <cellStyle name="Currency 5 5 6 3 4" xfId="14756" xr:uid="{7D3920B1-61BD-4154-B53A-2DF24A4DA77C}"/>
    <cellStyle name="Currency 5 5 6 4" xfId="18979" xr:uid="{B160A2DB-1F48-4D3B-BC68-C8A296970532}"/>
    <cellStyle name="Currency 5 5 6 5" xfId="27424" xr:uid="{4E854E9F-429D-4DB9-A0E9-497B4B0F9792}"/>
    <cellStyle name="Currency 5 5 6 6" xfId="10538" xr:uid="{CD572FC0-FBE9-47D3-BEC1-0AE9E0E4F8FD}"/>
    <cellStyle name="Currency 5 5 7" xfId="2442" xr:uid="{00000000-0005-0000-0000-0000640D0000}"/>
    <cellStyle name="Currency 5 5 7 2" xfId="6727" xr:uid="{00000000-0005-0000-0000-0000650D0000}"/>
    <cellStyle name="Currency 5 5 7 2 2" xfId="23610" xr:uid="{EA5A3E8F-C2E1-4FD5-967B-8AF3548C00BD}"/>
    <cellStyle name="Currency 5 5 7 2 3" xfId="32056" xr:uid="{555AFD1C-6127-4D20-81FF-249D2DD93B74}"/>
    <cellStyle name="Currency 5 5 7 2 4" xfId="15169" xr:uid="{56D36A2B-0787-441E-B48B-37600F83F285}"/>
    <cellStyle name="Currency 5 5 7 3" xfId="19392" xr:uid="{EB39F985-0E87-4483-8C9A-CE30AA3CD61C}"/>
    <cellStyle name="Currency 5 5 7 4" xfId="27837" xr:uid="{24B71995-6C0F-48B0-BEE5-81E1D9D53C0E}"/>
    <cellStyle name="Currency 5 5 7 5" xfId="10951" xr:uid="{D8B57102-7B05-4012-B005-A9C594892221}"/>
    <cellStyle name="Currency 5 5 8" xfId="2739" xr:uid="{00000000-0005-0000-0000-0000660D0000}"/>
    <cellStyle name="Currency 5 5 9" xfId="2820" xr:uid="{00000000-0005-0000-0000-0000670D0000}"/>
    <cellStyle name="Currency 5 5 9 2" xfId="7044" xr:uid="{00000000-0005-0000-0000-0000680D0000}"/>
    <cellStyle name="Currency 5 5 9 2 2" xfId="23927" xr:uid="{17BCEDE5-955E-4917-AB65-DA70A9616FB3}"/>
    <cellStyle name="Currency 5 5 9 2 3" xfId="32373" xr:uid="{CA46DFD0-F91F-4140-99C8-A48A2C52DCDC}"/>
    <cellStyle name="Currency 5 5 9 2 4" xfId="15486" xr:uid="{57FF2FC7-A2FD-43DD-86EA-6EDBC8E96736}"/>
    <cellStyle name="Currency 5 5 9 3" xfId="19709" xr:uid="{9A77AD2E-CBDE-4CBA-BADE-874A8976C06F}"/>
    <cellStyle name="Currency 5 5 9 4" xfId="28156" xr:uid="{26D86A68-B5E0-417D-8C4E-0BFF6557D1DA}"/>
    <cellStyle name="Currency 5 5 9 5" xfId="11268" xr:uid="{05D8C81D-430A-4B01-BCBD-6F9B9F07284C}"/>
    <cellStyle name="Currency 5 6" xfId="221" xr:uid="{00000000-0005-0000-0000-0000690D0000}"/>
    <cellStyle name="Currency 5 6 10" xfId="17328" xr:uid="{26ACD32B-40CF-471F-BA13-53E0F8C3848F}"/>
    <cellStyle name="Currency 5 6 11" xfId="25771" xr:uid="{4E93411D-7D92-4254-9585-5CE9279B2734}"/>
    <cellStyle name="Currency 5 6 12" xfId="8887" xr:uid="{33080B84-A3FE-4AC4-9603-14ACE14624D3}"/>
    <cellStyle name="Currency 5 6 2" xfId="747" xr:uid="{00000000-0005-0000-0000-00006A0D0000}"/>
    <cellStyle name="Currency 5 6 2 2" xfId="2999" xr:uid="{00000000-0005-0000-0000-00006B0D0000}"/>
    <cellStyle name="Currency 5 6 2 2 2" xfId="7222" xr:uid="{00000000-0005-0000-0000-00006C0D0000}"/>
    <cellStyle name="Currency 5 6 2 2 2 2" xfId="24105" xr:uid="{42558A31-2FB1-4702-B08F-EE6E89ACBBBB}"/>
    <cellStyle name="Currency 5 6 2 2 2 3" xfId="32551" xr:uid="{5FF4EB18-71F9-49B5-827E-16F91037B627}"/>
    <cellStyle name="Currency 5 6 2 2 2 4" xfId="15664" xr:uid="{4413C10A-6740-4302-AFC9-F80C2138416F}"/>
    <cellStyle name="Currency 5 6 2 2 3" xfId="19887" xr:uid="{AB97DBD0-610C-44F3-ADA1-D61A13F3AF26}"/>
    <cellStyle name="Currency 5 6 2 2 4" xfId="28334" xr:uid="{1FAC953C-8C22-46E5-B3E3-96E1B3360AA3}"/>
    <cellStyle name="Currency 5 6 2 2 5" xfId="11446" xr:uid="{08B9FCB7-6BC4-4BCF-893E-71C9FCD6675E}"/>
    <cellStyle name="Currency 5 6 2 3" xfId="5077" xr:uid="{00000000-0005-0000-0000-00006D0D0000}"/>
    <cellStyle name="Currency 5 6 2 3 2" xfId="21960" xr:uid="{325D91E7-CDE3-4D86-9C01-DED1AE3B489E}"/>
    <cellStyle name="Currency 5 6 2 3 3" xfId="30406" xr:uid="{F026FD6C-02B5-422F-840E-B62A395CA5AC}"/>
    <cellStyle name="Currency 5 6 2 3 4" xfId="13519" xr:uid="{7FF430DA-6B43-49B5-B960-AE36737BE22F}"/>
    <cellStyle name="Currency 5 6 2 4" xfId="17742" xr:uid="{DAB843C1-7D89-4CB9-A734-0EB4033F7C41}"/>
    <cellStyle name="Currency 5 6 2 5" xfId="26187" xr:uid="{B44F2267-6E68-4D8F-B5A8-C68637B0F109}"/>
    <cellStyle name="Currency 5 6 2 6" xfId="9301" xr:uid="{6468B5ED-E09F-4867-89D7-5A12F158EFE0}"/>
    <cellStyle name="Currency 5 6 3" xfId="1181" xr:uid="{00000000-0005-0000-0000-00006E0D0000}"/>
    <cellStyle name="Currency 5 6 3 2" xfId="3412" xr:uid="{00000000-0005-0000-0000-00006F0D0000}"/>
    <cellStyle name="Currency 5 6 3 2 2" xfId="7635" xr:uid="{00000000-0005-0000-0000-0000700D0000}"/>
    <cellStyle name="Currency 5 6 3 2 2 2" xfId="24518" xr:uid="{FA241DE8-EFD4-4406-B9C2-011386DF7DC7}"/>
    <cellStyle name="Currency 5 6 3 2 2 3" xfId="32964" xr:uid="{9138EADD-7814-414D-88D6-C911807E60CF}"/>
    <cellStyle name="Currency 5 6 3 2 2 4" xfId="16077" xr:uid="{18299F70-60DD-414B-A705-6573FD232AEE}"/>
    <cellStyle name="Currency 5 6 3 2 3" xfId="20300" xr:uid="{0A184583-C2C7-4FF8-B1BF-993E664038C5}"/>
    <cellStyle name="Currency 5 6 3 2 4" xfId="28747" xr:uid="{F236E31D-326A-4ECF-812A-17F9C5EF73A3}"/>
    <cellStyle name="Currency 5 6 3 2 5" xfId="11859" xr:uid="{0296CDEB-9AB3-4A3B-8C87-BA42ABA8ED36}"/>
    <cellStyle name="Currency 5 6 3 3" xfId="5490" xr:uid="{00000000-0005-0000-0000-0000710D0000}"/>
    <cellStyle name="Currency 5 6 3 3 2" xfId="22373" xr:uid="{36D502BA-6DD1-4F1C-B2AE-F2F4E0C9769E}"/>
    <cellStyle name="Currency 5 6 3 3 3" xfId="30819" xr:uid="{F432412B-DE73-4702-8F44-32BB71E0D3F8}"/>
    <cellStyle name="Currency 5 6 3 3 4" xfId="13932" xr:uid="{9B1AF37C-546C-4865-B60F-EFE92DF8C418}"/>
    <cellStyle name="Currency 5 6 3 4" xfId="18155" xr:uid="{C397218C-FD30-4A6A-AF98-0638311597B8}"/>
    <cellStyle name="Currency 5 6 3 5" xfId="26600" xr:uid="{90352191-EE9B-4862-9A7E-D8BDBDDD0482}"/>
    <cellStyle name="Currency 5 6 3 6" xfId="9714" xr:uid="{98044AE4-229A-427F-A225-DADB25E0B427}"/>
    <cellStyle name="Currency 5 6 4" xfId="1595" xr:uid="{00000000-0005-0000-0000-0000720D0000}"/>
    <cellStyle name="Currency 5 6 4 2" xfId="3825" xr:uid="{00000000-0005-0000-0000-0000730D0000}"/>
    <cellStyle name="Currency 5 6 4 2 2" xfId="8048" xr:uid="{00000000-0005-0000-0000-0000740D0000}"/>
    <cellStyle name="Currency 5 6 4 2 2 2" xfId="24931" xr:uid="{D4828B88-EEF9-4777-8D08-9FCE02C92FFA}"/>
    <cellStyle name="Currency 5 6 4 2 2 3" xfId="33377" xr:uid="{0FF3AD98-8069-469C-BE63-26A9BA713745}"/>
    <cellStyle name="Currency 5 6 4 2 2 4" xfId="16490" xr:uid="{0E1BE785-119A-434B-98A9-8A7E0CC0B709}"/>
    <cellStyle name="Currency 5 6 4 2 3" xfId="20713" xr:uid="{0240EDE2-3993-421B-B4D3-73AF11DE9FDE}"/>
    <cellStyle name="Currency 5 6 4 2 4" xfId="29160" xr:uid="{7C851D5D-2D7A-4B29-941B-03C151E8DBAD}"/>
    <cellStyle name="Currency 5 6 4 2 5" xfId="12272" xr:uid="{5DDD773C-EB5E-4319-9EA2-6C4EB99A9826}"/>
    <cellStyle name="Currency 5 6 4 3" xfId="5903" xr:uid="{00000000-0005-0000-0000-0000750D0000}"/>
    <cellStyle name="Currency 5 6 4 3 2" xfId="22786" xr:uid="{A54D9668-3E3A-4DBF-BA9C-F8190635F0E5}"/>
    <cellStyle name="Currency 5 6 4 3 3" xfId="31232" xr:uid="{C9849983-F3DD-498E-9A13-C650930A49B0}"/>
    <cellStyle name="Currency 5 6 4 3 4" xfId="14345" xr:uid="{09757771-9ACC-467C-BB40-EBEFCEE90C3E}"/>
    <cellStyle name="Currency 5 6 4 4" xfId="18568" xr:uid="{39CACA7B-8E97-4762-B086-9BD55917D8E8}"/>
    <cellStyle name="Currency 5 6 4 5" xfId="27013" xr:uid="{9095066F-DECA-48DD-975C-24864E41E103}"/>
    <cellStyle name="Currency 5 6 4 6" xfId="10127" xr:uid="{967C4C02-141A-45CD-AEF5-340BFE80F6FA}"/>
    <cellStyle name="Currency 5 6 5" xfId="2009" xr:uid="{00000000-0005-0000-0000-0000760D0000}"/>
    <cellStyle name="Currency 5 6 5 2" xfId="4238" xr:uid="{00000000-0005-0000-0000-0000770D0000}"/>
    <cellStyle name="Currency 5 6 5 2 2" xfId="8461" xr:uid="{00000000-0005-0000-0000-0000780D0000}"/>
    <cellStyle name="Currency 5 6 5 2 2 2" xfId="25344" xr:uid="{FBDB0FFB-AD2D-4C0B-94E0-1F3BC5B40F1D}"/>
    <cellStyle name="Currency 5 6 5 2 2 3" xfId="33790" xr:uid="{9684B68B-0F36-4B58-AF09-891579CA23B2}"/>
    <cellStyle name="Currency 5 6 5 2 2 4" xfId="16903" xr:uid="{E28B04F7-4D2D-49B9-A5CA-5984F95FC111}"/>
    <cellStyle name="Currency 5 6 5 2 3" xfId="21126" xr:uid="{D9959E37-AE68-4E36-ABA7-AAEB5EDD4342}"/>
    <cellStyle name="Currency 5 6 5 2 4" xfId="29573" xr:uid="{C2C6E24A-040F-466E-A06E-0D9E1FD900BC}"/>
    <cellStyle name="Currency 5 6 5 2 5" xfId="12685" xr:uid="{CB22ABF1-006E-4C96-A940-8E81D70CB871}"/>
    <cellStyle name="Currency 5 6 5 3" xfId="6316" xr:uid="{00000000-0005-0000-0000-0000790D0000}"/>
    <cellStyle name="Currency 5 6 5 3 2" xfId="23199" xr:uid="{C3FEF84F-49B9-4444-9474-196909662465}"/>
    <cellStyle name="Currency 5 6 5 3 3" xfId="31645" xr:uid="{D8759EC2-48A3-4774-AB07-E9076300F6F1}"/>
    <cellStyle name="Currency 5 6 5 3 4" xfId="14758" xr:uid="{3E5135C4-598B-46D9-8D30-D4A302E1F0C5}"/>
    <cellStyle name="Currency 5 6 5 4" xfId="18981" xr:uid="{1102A7D4-FCC7-4B08-920C-07D8B09BF363}"/>
    <cellStyle name="Currency 5 6 5 5" xfId="27426" xr:uid="{E23EA7A3-5622-4CA7-AD38-4E2FA8482FAB}"/>
    <cellStyle name="Currency 5 6 5 6" xfId="10540" xr:uid="{6856AD5C-161E-46D2-9D75-F88BE4F5FCF9}"/>
    <cellStyle name="Currency 5 6 6" xfId="2444" xr:uid="{00000000-0005-0000-0000-00007A0D0000}"/>
    <cellStyle name="Currency 5 6 6 2" xfId="6729" xr:uid="{00000000-0005-0000-0000-00007B0D0000}"/>
    <cellStyle name="Currency 5 6 6 2 2" xfId="23612" xr:uid="{281D10F3-05F6-42E1-8AB3-4285981BDD63}"/>
    <cellStyle name="Currency 5 6 6 2 3" xfId="32058" xr:uid="{F4D973AC-32D9-4BD8-8C38-522E36D49EE7}"/>
    <cellStyle name="Currency 5 6 6 2 4" xfId="15171" xr:uid="{E0585B62-EBD3-4A56-8C18-FF49A57E0C13}"/>
    <cellStyle name="Currency 5 6 6 3" xfId="19394" xr:uid="{D0E8C2E1-1D37-4835-BAE1-4300DBD455F1}"/>
    <cellStyle name="Currency 5 6 6 4" xfId="27839" xr:uid="{40F7E909-4F1E-49DB-908A-D62585099141}"/>
    <cellStyle name="Currency 5 6 6 5" xfId="10953" xr:uid="{6DC57CB6-A728-409A-9486-5B87F8707C03}"/>
    <cellStyle name="Currency 5 6 7" xfId="2741" xr:uid="{00000000-0005-0000-0000-00007C0D0000}"/>
    <cellStyle name="Currency 5 6 8" xfId="2822" xr:uid="{00000000-0005-0000-0000-00007D0D0000}"/>
    <cellStyle name="Currency 5 6 8 2" xfId="7046" xr:uid="{00000000-0005-0000-0000-00007E0D0000}"/>
    <cellStyle name="Currency 5 6 8 2 2" xfId="23929" xr:uid="{E4E14F92-617A-4934-A143-DB7DE0B0452C}"/>
    <cellStyle name="Currency 5 6 8 2 3" xfId="32375" xr:uid="{BC97F5CF-7519-47E2-AADE-BBE1D5B9766C}"/>
    <cellStyle name="Currency 5 6 8 2 4" xfId="15488" xr:uid="{6ECCC468-FD58-4C1C-83C5-8FA8F6D45BCF}"/>
    <cellStyle name="Currency 5 6 8 3" xfId="19711" xr:uid="{70A265EF-072B-40AE-A3B0-85F5AF06AD21}"/>
    <cellStyle name="Currency 5 6 8 4" xfId="28158" xr:uid="{DCF01F71-B091-4F95-BB75-336A8A0A843B}"/>
    <cellStyle name="Currency 5 6 8 5" xfId="11270" xr:uid="{613838FF-716B-4790-B9D5-34212DE4D1D3}"/>
    <cellStyle name="Currency 5 6 9" xfId="4663" xr:uid="{00000000-0005-0000-0000-00007F0D0000}"/>
    <cellStyle name="Currency 5 6 9 2" xfId="21546" xr:uid="{E1FBB3C1-BB18-446A-BE83-BC7098DAB4A6}"/>
    <cellStyle name="Currency 5 6 9 3" xfId="29992" xr:uid="{017976B1-E100-4016-BD66-379C45684AFB}"/>
    <cellStyle name="Currency 5 6 9 4" xfId="13105" xr:uid="{7EA0F4FB-8BC3-4D66-9A20-E32831EEC829}"/>
    <cellStyle name="Currency 5 7" xfId="222" xr:uid="{00000000-0005-0000-0000-0000800D0000}"/>
    <cellStyle name="Currency 5 7 10" xfId="17329" xr:uid="{B79213EA-065D-4EB0-A545-EB3202806E90}"/>
    <cellStyle name="Currency 5 7 11" xfId="25772" xr:uid="{42215CC5-7F8B-4B25-8A53-198434F6C3AE}"/>
    <cellStyle name="Currency 5 7 12" xfId="8888" xr:uid="{301AE5FB-1D6D-473B-934E-E1ECFDCF63BD}"/>
    <cellStyle name="Currency 5 7 2" xfId="748" xr:uid="{00000000-0005-0000-0000-0000810D0000}"/>
    <cellStyle name="Currency 5 7 2 2" xfId="3000" xr:uid="{00000000-0005-0000-0000-0000820D0000}"/>
    <cellStyle name="Currency 5 7 2 2 2" xfId="7223" xr:uid="{00000000-0005-0000-0000-0000830D0000}"/>
    <cellStyle name="Currency 5 7 2 2 2 2" xfId="24106" xr:uid="{3907248D-83B9-40AB-AFA4-ACF85E85A1A7}"/>
    <cellStyle name="Currency 5 7 2 2 2 3" xfId="32552" xr:uid="{E8424D62-97DF-4933-A0DC-095A5D2D76AB}"/>
    <cellStyle name="Currency 5 7 2 2 2 4" xfId="15665" xr:uid="{342D1D96-8908-4C43-9D20-E25533E151B1}"/>
    <cellStyle name="Currency 5 7 2 2 3" xfId="19888" xr:uid="{75BC3569-B3E1-41E7-9128-BB09197A6F3C}"/>
    <cellStyle name="Currency 5 7 2 2 4" xfId="28335" xr:uid="{A1C41F71-98C2-420F-85F0-FF5A0C3448F2}"/>
    <cellStyle name="Currency 5 7 2 2 5" xfId="11447" xr:uid="{F6EE4819-1E36-40E2-97EA-90D2C5ED5DDA}"/>
    <cellStyle name="Currency 5 7 2 3" xfId="5078" xr:uid="{00000000-0005-0000-0000-0000840D0000}"/>
    <cellStyle name="Currency 5 7 2 3 2" xfId="21961" xr:uid="{D93284B9-2341-45F0-B1F9-9CE2D3CBEBA7}"/>
    <cellStyle name="Currency 5 7 2 3 3" xfId="30407" xr:uid="{C627DBA8-1A8D-4DB6-BD5B-E3E7577C02A4}"/>
    <cellStyle name="Currency 5 7 2 3 4" xfId="13520" xr:uid="{FFFA723E-8DB1-4606-B6D4-04FCA384406C}"/>
    <cellStyle name="Currency 5 7 2 4" xfId="17743" xr:uid="{B75EDA83-3501-44B6-8A07-4EB46A2D2EF7}"/>
    <cellStyle name="Currency 5 7 2 5" xfId="26188" xr:uid="{A0240162-00F9-4453-A86A-2266D8A59D0B}"/>
    <cellStyle name="Currency 5 7 2 6" xfId="9302" xr:uid="{9EC6F08C-8366-4040-9805-BD320D3ED84E}"/>
    <cellStyle name="Currency 5 7 3" xfId="1182" xr:uid="{00000000-0005-0000-0000-0000850D0000}"/>
    <cellStyle name="Currency 5 7 3 2" xfId="3413" xr:uid="{00000000-0005-0000-0000-0000860D0000}"/>
    <cellStyle name="Currency 5 7 3 2 2" xfId="7636" xr:uid="{00000000-0005-0000-0000-0000870D0000}"/>
    <cellStyle name="Currency 5 7 3 2 2 2" xfId="24519" xr:uid="{A13CE56E-6B46-4140-8330-F6B55339D5AD}"/>
    <cellStyle name="Currency 5 7 3 2 2 3" xfId="32965" xr:uid="{BBD05E2D-E840-4827-8823-C9537E6390DA}"/>
    <cellStyle name="Currency 5 7 3 2 2 4" xfId="16078" xr:uid="{79736FC7-3B3C-42BF-A3D6-9CE28699D179}"/>
    <cellStyle name="Currency 5 7 3 2 3" xfId="20301" xr:uid="{4008865F-89A6-4CCF-A3A4-E68E1BCAE76D}"/>
    <cellStyle name="Currency 5 7 3 2 4" xfId="28748" xr:uid="{08DF36F4-596F-4B3A-A91F-BB390094BD53}"/>
    <cellStyle name="Currency 5 7 3 2 5" xfId="11860" xr:uid="{8D825BBD-2822-4A22-8D8A-BC2E7D92DF0E}"/>
    <cellStyle name="Currency 5 7 3 3" xfId="5491" xr:uid="{00000000-0005-0000-0000-0000880D0000}"/>
    <cellStyle name="Currency 5 7 3 3 2" xfId="22374" xr:uid="{BCF86C05-F727-4B2B-B714-79C4B033AAE6}"/>
    <cellStyle name="Currency 5 7 3 3 3" xfId="30820" xr:uid="{0F571B93-8C49-4D7D-BC36-C8AFAC799597}"/>
    <cellStyle name="Currency 5 7 3 3 4" xfId="13933" xr:uid="{68EF67B2-9922-48C2-B7F4-21E6B568AC31}"/>
    <cellStyle name="Currency 5 7 3 4" xfId="18156" xr:uid="{B7A6F2A8-7F2B-4B71-A0CA-1B3BB093C94F}"/>
    <cellStyle name="Currency 5 7 3 5" xfId="26601" xr:uid="{20C57B7C-3B09-484A-BBC5-D09E60CA04C8}"/>
    <cellStyle name="Currency 5 7 3 6" xfId="9715" xr:uid="{9A7EDC9D-4F44-4DBB-B80A-FD6999CAE4E2}"/>
    <cellStyle name="Currency 5 7 4" xfId="1596" xr:uid="{00000000-0005-0000-0000-0000890D0000}"/>
    <cellStyle name="Currency 5 7 4 2" xfId="3826" xr:uid="{00000000-0005-0000-0000-00008A0D0000}"/>
    <cellStyle name="Currency 5 7 4 2 2" xfId="8049" xr:uid="{00000000-0005-0000-0000-00008B0D0000}"/>
    <cellStyle name="Currency 5 7 4 2 2 2" xfId="24932" xr:uid="{937B0AF1-911B-4439-B8FE-CABB3127FEC3}"/>
    <cellStyle name="Currency 5 7 4 2 2 3" xfId="33378" xr:uid="{7F8515D2-1B25-45DA-94EE-D88842EE7A31}"/>
    <cellStyle name="Currency 5 7 4 2 2 4" xfId="16491" xr:uid="{A1248533-3302-4977-BCA4-FA49832EE291}"/>
    <cellStyle name="Currency 5 7 4 2 3" xfId="20714" xr:uid="{444E7D5F-A45B-47EA-8AEE-C6ADF01724F3}"/>
    <cellStyle name="Currency 5 7 4 2 4" xfId="29161" xr:uid="{7DA2A9ED-B690-4243-89B2-3BE9920F46CD}"/>
    <cellStyle name="Currency 5 7 4 2 5" xfId="12273" xr:uid="{423247D4-8D45-451F-BA78-F7A7936D0F65}"/>
    <cellStyle name="Currency 5 7 4 3" xfId="5904" xr:uid="{00000000-0005-0000-0000-00008C0D0000}"/>
    <cellStyle name="Currency 5 7 4 3 2" xfId="22787" xr:uid="{D2A06952-2E76-40B4-893C-0CC43BEAFA1D}"/>
    <cellStyle name="Currency 5 7 4 3 3" xfId="31233" xr:uid="{3125869C-1EA6-404C-9E24-100360AF83E4}"/>
    <cellStyle name="Currency 5 7 4 3 4" xfId="14346" xr:uid="{D039F666-8BC0-47C8-9275-33FEBD228638}"/>
    <cellStyle name="Currency 5 7 4 4" xfId="18569" xr:uid="{56A1235D-232F-454C-8B9D-8309369ABA0B}"/>
    <cellStyle name="Currency 5 7 4 5" xfId="27014" xr:uid="{E8CF1BC0-D438-4BCF-8274-3DB47FFB9809}"/>
    <cellStyle name="Currency 5 7 4 6" xfId="10128" xr:uid="{F118F7BD-4BCA-4849-85A4-2B4FAEDFAF78}"/>
    <cellStyle name="Currency 5 7 5" xfId="2010" xr:uid="{00000000-0005-0000-0000-00008D0D0000}"/>
    <cellStyle name="Currency 5 7 5 2" xfId="4239" xr:uid="{00000000-0005-0000-0000-00008E0D0000}"/>
    <cellStyle name="Currency 5 7 5 2 2" xfId="8462" xr:uid="{00000000-0005-0000-0000-00008F0D0000}"/>
    <cellStyle name="Currency 5 7 5 2 2 2" xfId="25345" xr:uid="{4252FAAE-B71B-4AC6-8B9D-4AA64D5F317C}"/>
    <cellStyle name="Currency 5 7 5 2 2 3" xfId="33791" xr:uid="{90D6A603-AB74-46D0-BF5A-DF63A931689C}"/>
    <cellStyle name="Currency 5 7 5 2 2 4" xfId="16904" xr:uid="{178F5EBD-9E3B-4FF3-BCA0-B57330E00AA6}"/>
    <cellStyle name="Currency 5 7 5 2 3" xfId="21127" xr:uid="{805294F3-D815-4191-B056-2712F1495A33}"/>
    <cellStyle name="Currency 5 7 5 2 4" xfId="29574" xr:uid="{1C5783AE-F15C-480C-8498-9F909A9F1A5C}"/>
    <cellStyle name="Currency 5 7 5 2 5" xfId="12686" xr:uid="{122DB728-0499-41D1-9B8C-AD3BD5E2FCF3}"/>
    <cellStyle name="Currency 5 7 5 3" xfId="6317" xr:uid="{00000000-0005-0000-0000-0000900D0000}"/>
    <cellStyle name="Currency 5 7 5 3 2" xfId="23200" xr:uid="{C7EEE31D-C5B2-43D6-A861-9D23855AA0D3}"/>
    <cellStyle name="Currency 5 7 5 3 3" xfId="31646" xr:uid="{8783B1CD-E402-4191-93FE-173CECD2A071}"/>
    <cellStyle name="Currency 5 7 5 3 4" xfId="14759" xr:uid="{198FF5A5-82DD-422E-83FE-91D0D73F4A80}"/>
    <cellStyle name="Currency 5 7 5 4" xfId="18982" xr:uid="{74B079AE-2015-423A-A961-194F4B53CBBB}"/>
    <cellStyle name="Currency 5 7 5 5" xfId="27427" xr:uid="{190994F4-C594-4A24-858C-2313F2697B02}"/>
    <cellStyle name="Currency 5 7 5 6" xfId="10541" xr:uid="{CAEB1DA0-3DF8-4BD4-9488-0F4AF2D3CDEC}"/>
    <cellStyle name="Currency 5 7 6" xfId="2445" xr:uid="{00000000-0005-0000-0000-0000910D0000}"/>
    <cellStyle name="Currency 5 7 6 2" xfId="6730" xr:uid="{00000000-0005-0000-0000-0000920D0000}"/>
    <cellStyle name="Currency 5 7 6 2 2" xfId="23613" xr:uid="{DC5C9791-EADF-4B0E-8294-D39984D1F6AF}"/>
    <cellStyle name="Currency 5 7 6 2 3" xfId="32059" xr:uid="{97CCDFE1-D669-4134-B676-CB7CCD2BE60C}"/>
    <cellStyle name="Currency 5 7 6 2 4" xfId="15172" xr:uid="{C553A138-CF2E-4AA1-9EB0-4CD926342779}"/>
    <cellStyle name="Currency 5 7 6 3" xfId="19395" xr:uid="{D9B713F6-8F6A-4D46-B443-63B6207A769F}"/>
    <cellStyle name="Currency 5 7 6 4" xfId="27840" xr:uid="{1FBB140D-27D8-45FC-95CC-47EE66C53980}"/>
    <cellStyle name="Currency 5 7 6 5" xfId="10954" xr:uid="{76B73AF1-5BF9-4790-99E5-BD37B04247D5}"/>
    <cellStyle name="Currency 5 7 7" xfId="2742" xr:uid="{00000000-0005-0000-0000-0000930D0000}"/>
    <cellStyle name="Currency 5 7 8" xfId="2823" xr:uid="{00000000-0005-0000-0000-0000940D0000}"/>
    <cellStyle name="Currency 5 7 8 2" xfId="7047" xr:uid="{00000000-0005-0000-0000-0000950D0000}"/>
    <cellStyle name="Currency 5 7 8 2 2" xfId="23930" xr:uid="{1AC92038-CD82-4343-A8AC-6BC9893C3CA4}"/>
    <cellStyle name="Currency 5 7 8 2 3" xfId="32376" xr:uid="{141075DE-84DD-45D4-A080-D127D8EE7F33}"/>
    <cellStyle name="Currency 5 7 8 2 4" xfId="15489" xr:uid="{B93EFEC2-A1DA-4250-AB75-DA827C0EE4DD}"/>
    <cellStyle name="Currency 5 7 8 3" xfId="19712" xr:uid="{0B13CD55-CD57-41F7-ABE5-D7BBCDCE9581}"/>
    <cellStyle name="Currency 5 7 8 4" xfId="28159" xr:uid="{0BCA8F2D-8F7A-4DE4-BE24-DEAC1CEEEAA5}"/>
    <cellStyle name="Currency 5 7 8 5" xfId="11271" xr:uid="{6A3752B8-8F44-46A5-81B5-C82A23C0875C}"/>
    <cellStyle name="Currency 5 7 9" xfId="4664" xr:uid="{00000000-0005-0000-0000-0000960D0000}"/>
    <cellStyle name="Currency 5 7 9 2" xfId="21547" xr:uid="{66AEC67D-D4E4-4485-834D-CEC2A5FCBC61}"/>
    <cellStyle name="Currency 5 7 9 3" xfId="29993" xr:uid="{0EED7FF7-B3FA-41E9-8E4E-1D7B92CEE452}"/>
    <cellStyle name="Currency 5 7 9 4" xfId="13106" xr:uid="{2125C6E9-DC41-4F83-95E0-21DA4BA093E0}"/>
    <cellStyle name="Currency 5 8" xfId="721" xr:uid="{00000000-0005-0000-0000-0000970D0000}"/>
    <cellStyle name="Currency 5 9" xfId="34152" xr:uid="{D76C915E-D852-4FF3-BA05-E03E9F983ACC}"/>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8 4" xfId="34220" xr:uid="{DE7D7805-E131-40B5-A135-5A56475AE846}"/>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nd of Section" xfId="34139" xr:uid="{6AAB5D22-FD11-475E-B398-A9DF4A42AA85}"/>
    <cellStyle name="Explanatory Text" xfId="234" builtinId="53" customBuiltin="1"/>
    <cellStyle name="FAAST Uploads header" xfId="34089" xr:uid="{45629D41-D5EA-4D8D-859C-02277F8F94A0}"/>
    <cellStyle name="FAAST Uploads header 2" xfId="34179" xr:uid="{F1A91335-BA61-4D75-87C2-1750144E9B42}"/>
    <cellStyle name="Good" xfId="235" builtinId="26" customBuiltin="1"/>
    <cellStyle name="Good 2" xfId="34116" xr:uid="{19854AC3-B2CA-424E-8CBB-E6E41E88D3B8}"/>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2 2 2" xfId="34213" xr:uid="{7D9DA540-0782-423C-A977-1EDD34E0C5AB}"/>
    <cellStyle name="Heading 3" xfId="240" builtinId="18" customBuiltin="1"/>
    <cellStyle name="Heading 3 2" xfId="241" xr:uid="{00000000-0005-0000-0000-0000B40D0000}"/>
    <cellStyle name="Heading 4" xfId="242" builtinId="19" customBuiltin="1"/>
    <cellStyle name="Heading 4 2" xfId="243" xr:uid="{00000000-0005-0000-0000-0000B60D0000}"/>
    <cellStyle name="Heading 4 2 2" xfId="34153" xr:uid="{8DA40ADC-589D-4FAE-BB17-EFEDA70B6632}"/>
    <cellStyle name="Hyperlink" xfId="244" builtinId="8"/>
    <cellStyle name="Hyperlink 2" xfId="245" xr:uid="{00000000-0005-0000-0000-0000B80D0000}"/>
    <cellStyle name="Hyperlink 2 2" xfId="246" xr:uid="{00000000-0005-0000-0000-0000B90D0000}"/>
    <cellStyle name="Hyperlink 2 2 2" xfId="34174" xr:uid="{7A4B3A95-CD07-48EF-9BC9-B435EF202265}"/>
    <cellStyle name="Hyperlink 2 3" xfId="34076" xr:uid="{9AEB022E-B72D-4AAA-817B-DF63F9E98F25}"/>
    <cellStyle name="Hyperlink 2 4" xfId="34113" xr:uid="{B1F500DD-808A-460F-A1C1-0AA3E19263DC}"/>
    <cellStyle name="Hyperlink 2_Dropdowns" xfId="34079" xr:uid="{00A9E7EF-6AE3-43F0-A12C-1BAC0C3EBB86}"/>
    <cellStyle name="Hyperlink 3" xfId="25773" xr:uid="{C3360370-2976-44CE-BC0E-6D1F0C46F996}"/>
    <cellStyle name="Hyperlink 3 2" xfId="34143" xr:uid="{7A17402A-3079-4B9B-AF6B-D8E5A9E7122C}"/>
    <cellStyle name="Hyperlink 3 3" xfId="34068" xr:uid="{D3968ACE-B77D-48DA-9B82-1EE6FFE9E103}"/>
    <cellStyle name="Hyperlink 3_Dropdowns" xfId="34117" xr:uid="{0ABFF581-4C62-437D-AAD2-B9291A00DBBB}"/>
    <cellStyle name="Hyperlink 4" xfId="34119" xr:uid="{51E80B63-1E03-4EA5-B27B-6F3EC26D3E77}"/>
    <cellStyle name="Hyperlink 4 2" xfId="34175" xr:uid="{B8C5E34A-2F7A-4DE0-A3D4-93C75A16CE7F}"/>
    <cellStyle name="Hyperlink 4 3" xfId="34118" xr:uid="{35CD4DA3-7842-4D11-AFE7-CBD26600B3C5}"/>
    <cellStyle name="Hyperlink 4_Dropdowns" xfId="34190" xr:uid="{5E15D8D2-0C0C-4280-9CE8-0E8D1787E1EF}"/>
    <cellStyle name="Hyperlink 5" xfId="34170" xr:uid="{CDAFA336-470C-4255-8E83-F97F020395AF}"/>
    <cellStyle name="Hyperlink 6" xfId="34075" xr:uid="{BF3383F6-9E55-49CC-8032-78E74F6BADEC}"/>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eutral 2" xfId="34112" xr:uid="{640A3896-09D3-45CA-8E16-5909B3749471}"/>
    <cellStyle name="Normal" xfId="0" builtinId="0"/>
    <cellStyle name="Normal 10" xfId="253" xr:uid="{00000000-0005-0000-0000-0000C10D0000}"/>
    <cellStyle name="Normal 10 2" xfId="254" xr:uid="{00000000-0005-0000-0000-0000C20D0000}"/>
    <cellStyle name="Normal 10 2 2" xfId="34207" xr:uid="{5C892619-AFF3-477B-812E-8C823E1BF971}"/>
    <cellStyle name="Normal 10 3" xfId="255" xr:uid="{00000000-0005-0000-0000-0000C30D0000}"/>
    <cellStyle name="Normal 10 4" xfId="34092" xr:uid="{553E21CB-EFBB-448F-9BD8-39354E19533A}"/>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1 3 3" xfId="34104" xr:uid="{A4859104-4112-4A69-8C86-DDBE782AF754}"/>
    <cellStyle name="Normal 11 4" xfId="34109" xr:uid="{43D530C1-9A4A-44B9-91F0-9AFE4E6D3E92}"/>
    <cellStyle name="Normal 11_Dropdowns" xfId="34178" xr:uid="{E8190625-C14D-4269-8931-82C829C610B7}"/>
    <cellStyle name="Normal 12" xfId="259" xr:uid="{00000000-0005-0000-0000-0000C90D0000}"/>
    <cellStyle name="Normal 12 10" xfId="2447" xr:uid="{00000000-0005-0000-0000-0000CA0D0000}"/>
    <cellStyle name="Normal 12 10 2" xfId="6731" xr:uid="{00000000-0005-0000-0000-0000CB0D0000}"/>
    <cellStyle name="Normal 12 10 2 2" xfId="23614" xr:uid="{25B835A3-279A-4F7B-A7DC-B7CA9F02D9E7}"/>
    <cellStyle name="Normal 12 10 2 3" xfId="32060" xr:uid="{1B28F5FF-6614-4394-95A8-99D5E5667794}"/>
    <cellStyle name="Normal 12 10 2 4" xfId="15173" xr:uid="{847D2395-EC4F-4885-9C51-499BD49C0226}"/>
    <cellStyle name="Normal 12 10 3" xfId="19396" xr:uid="{2E88F6B4-7E35-4734-95A6-2634D757690D}"/>
    <cellStyle name="Normal 12 10 4" xfId="27841" xr:uid="{EB3B158C-46BF-4462-9E53-F1D5B40E778D}"/>
    <cellStyle name="Normal 12 10 5" xfId="10955" xr:uid="{74272F02-91A1-4A48-92DB-91FD11D58F82}"/>
    <cellStyle name="Normal 12 11" xfId="4665" xr:uid="{00000000-0005-0000-0000-0000CC0D0000}"/>
    <cellStyle name="Normal 12 11 2" xfId="21548" xr:uid="{E7B10E7E-7AAF-4E28-A111-5F84FD9E676E}"/>
    <cellStyle name="Normal 12 11 3" xfId="29994" xr:uid="{1DDE21D7-814D-403C-A06F-98B393F4B6AF}"/>
    <cellStyle name="Normal 12 11 4" xfId="13107" xr:uid="{3D97D9B7-4F1B-40CF-A746-32C529C35D26}"/>
    <cellStyle name="Normal 12 12" xfId="17330" xr:uid="{A5AD62D3-9ADE-4F74-92D3-890B70ACD052}"/>
    <cellStyle name="Normal 12 13" xfId="25774" xr:uid="{E88B0854-E130-42E6-8FC2-016FE216D015}"/>
    <cellStyle name="Normal 12 14" xfId="8889" xr:uid="{094CF81C-3A03-496F-BF10-8F77387DCD38}"/>
    <cellStyle name="Normal 12 2" xfId="260" xr:uid="{00000000-0005-0000-0000-0000CD0D0000}"/>
    <cellStyle name="Normal 12 2 10" xfId="17331" xr:uid="{1C86FBB4-D9EB-4AEF-95C1-720F4A3E39B7}"/>
    <cellStyle name="Normal 12 2 11" xfId="25775" xr:uid="{FF6AD8AD-A4C6-458F-BA68-00449421702C}"/>
    <cellStyle name="Normal 12 2 12" xfId="34147" xr:uid="{62F749FD-4098-42E3-9126-759D7AE31E75}"/>
    <cellStyle name="Normal 12 2 13" xfId="8890" xr:uid="{5E906013-3B1F-48CA-8442-1F1153619B91}"/>
    <cellStyle name="Normal 12 2 2" xfId="261" xr:uid="{00000000-0005-0000-0000-0000CE0D0000}"/>
    <cellStyle name="Normal 12 2 2 10" xfId="25776" xr:uid="{AE52C919-750C-4CCF-853B-24C75C69754A}"/>
    <cellStyle name="Normal 12 2 2 11" xfId="8891" xr:uid="{1969732B-A379-4AF5-93B4-49BF7F922584}"/>
    <cellStyle name="Normal 12 2 2 2" xfId="262" xr:uid="{00000000-0005-0000-0000-0000CF0D0000}"/>
    <cellStyle name="Normal 12 2 2 2 10" xfId="8892" xr:uid="{3DDCB4FD-FB1E-46E4-97DE-FC3412A0B30E}"/>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24110" xr:uid="{22C8C73D-17D7-422A-862B-6191B517479E}"/>
    <cellStyle name="Normal 12 2 2 2 2 2 2 3" xfId="32556" xr:uid="{C5A1F192-E4A7-4C53-B132-C9B9850DDBAE}"/>
    <cellStyle name="Normal 12 2 2 2 2 2 2 4" xfId="15669" xr:uid="{1A3DD4F0-4CDF-41A0-BB32-3D85D41810F0}"/>
    <cellStyle name="Normal 12 2 2 2 2 2 3" xfId="19892" xr:uid="{6050D86A-A74A-4E28-9F6F-C084DDD251B6}"/>
    <cellStyle name="Normal 12 2 2 2 2 2 4" xfId="28339" xr:uid="{28354512-1585-4227-AA60-2A9BB0206670}"/>
    <cellStyle name="Normal 12 2 2 2 2 2 5" xfId="11451" xr:uid="{61BC05CA-A4F6-43AC-9773-5D65E5A8D3C7}"/>
    <cellStyle name="Normal 12 2 2 2 2 3" xfId="5082" xr:uid="{00000000-0005-0000-0000-0000D30D0000}"/>
    <cellStyle name="Normal 12 2 2 2 2 3 2" xfId="21965" xr:uid="{B214A561-D438-4F4A-A6A9-4A265B0B83C5}"/>
    <cellStyle name="Normal 12 2 2 2 2 3 3" xfId="30411" xr:uid="{160EABBE-D59C-4B88-AD46-443BECC3F4BE}"/>
    <cellStyle name="Normal 12 2 2 2 2 3 4" xfId="13524" xr:uid="{38F502F1-89E0-4ADB-909E-4A8186208355}"/>
    <cellStyle name="Normal 12 2 2 2 2 4" xfId="17747" xr:uid="{784AB104-329E-454C-B4A2-79B4EA7514DB}"/>
    <cellStyle name="Normal 12 2 2 2 2 5" xfId="26192" xr:uid="{C8764667-3F5B-4CC7-BF21-EF70FB6C104B}"/>
    <cellStyle name="Normal 12 2 2 2 2 6" xfId="9306" xr:uid="{526FB3EA-180C-493C-BF36-2BDF8788FABE}"/>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24523" xr:uid="{11298F25-C0F9-4041-B10B-483F538A45A7}"/>
    <cellStyle name="Normal 12 2 2 2 3 2 2 3" xfId="32969" xr:uid="{B94AA47E-E165-4DCE-B1DB-92D561B2457D}"/>
    <cellStyle name="Normal 12 2 2 2 3 2 2 4" xfId="16082" xr:uid="{50457CEE-12CC-41FB-8BC0-338184430EBC}"/>
    <cellStyle name="Normal 12 2 2 2 3 2 3" xfId="20305" xr:uid="{18D2F84B-1289-4842-90A8-01CD3158D5A8}"/>
    <cellStyle name="Normal 12 2 2 2 3 2 4" xfId="28752" xr:uid="{5A3F0CD7-078B-4E96-B18F-0EBADAC8CE53}"/>
    <cellStyle name="Normal 12 2 2 2 3 2 5" xfId="11864" xr:uid="{EC9EB9A3-697A-44B4-B1D0-DCFAB6B2D5F6}"/>
    <cellStyle name="Normal 12 2 2 2 3 3" xfId="5495" xr:uid="{00000000-0005-0000-0000-0000D70D0000}"/>
    <cellStyle name="Normal 12 2 2 2 3 3 2" xfId="22378" xr:uid="{98E020B5-6198-4E0B-9428-D2FE298F3BCA}"/>
    <cellStyle name="Normal 12 2 2 2 3 3 3" xfId="30824" xr:uid="{BA1D6034-55A6-44AC-8EA7-17D755A146BA}"/>
    <cellStyle name="Normal 12 2 2 2 3 3 4" xfId="13937" xr:uid="{23648D2F-B018-4809-89A4-B074CCAF0098}"/>
    <cellStyle name="Normal 12 2 2 2 3 4" xfId="18160" xr:uid="{B0CB8C27-399D-4B37-B701-0CD8A7F727E5}"/>
    <cellStyle name="Normal 12 2 2 2 3 5" xfId="26605" xr:uid="{53466DC6-F787-4704-AF86-98E136957512}"/>
    <cellStyle name="Normal 12 2 2 2 3 6" xfId="9719" xr:uid="{6DCFBF6E-7161-43D2-A665-60D6C81DD861}"/>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24936" xr:uid="{FBAE1B19-7C3B-4C79-891D-04D1A472E1E0}"/>
    <cellStyle name="Normal 12 2 2 2 4 2 2 3" xfId="33382" xr:uid="{D38583A6-350F-415C-9938-EE4A9E311309}"/>
    <cellStyle name="Normal 12 2 2 2 4 2 2 4" xfId="16495" xr:uid="{0599F85C-674C-4238-B168-B7F40D163ABA}"/>
    <cellStyle name="Normal 12 2 2 2 4 2 3" xfId="20718" xr:uid="{2B46EBF6-CA33-4537-B28E-02EEE3BAF999}"/>
    <cellStyle name="Normal 12 2 2 2 4 2 4" xfId="29165" xr:uid="{CF782606-9DF9-4422-96DF-64473A3CDE50}"/>
    <cellStyle name="Normal 12 2 2 2 4 2 5" xfId="12277" xr:uid="{916C1EA1-CF00-4C9B-8103-D2FCBD7B93E5}"/>
    <cellStyle name="Normal 12 2 2 2 4 3" xfId="5908" xr:uid="{00000000-0005-0000-0000-0000DB0D0000}"/>
    <cellStyle name="Normal 12 2 2 2 4 3 2" xfId="22791" xr:uid="{AEA25B5B-EBCA-42C7-A3EA-E5AB6539C54F}"/>
    <cellStyle name="Normal 12 2 2 2 4 3 3" xfId="31237" xr:uid="{90065769-2AE1-4234-BC30-0E6EECB3A54A}"/>
    <cellStyle name="Normal 12 2 2 2 4 3 4" xfId="14350" xr:uid="{0A0F6212-7845-433A-A55E-FBFBBB7B89F1}"/>
    <cellStyle name="Normal 12 2 2 2 4 4" xfId="18573" xr:uid="{3E94DE95-F8E8-4EF6-BE77-8BFCA3F70A55}"/>
    <cellStyle name="Normal 12 2 2 2 4 5" xfId="27018" xr:uid="{ADE95C5D-DDE2-41D9-9E5F-3551909838A7}"/>
    <cellStyle name="Normal 12 2 2 2 4 6" xfId="10132" xr:uid="{CFA58411-440A-4FC3-B768-715A7B40B187}"/>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25349" xr:uid="{2C200A6F-9EF1-4C0F-A595-8789B18F16D0}"/>
    <cellStyle name="Normal 12 2 2 2 5 2 2 3" xfId="33795" xr:uid="{B5D3F9FE-DEB0-4902-8F27-09D77A585E73}"/>
    <cellStyle name="Normal 12 2 2 2 5 2 2 4" xfId="16908" xr:uid="{BC08BD1D-B842-44A6-ADF0-084203524138}"/>
    <cellStyle name="Normal 12 2 2 2 5 2 3" xfId="21131" xr:uid="{D92836DD-3F99-4102-B070-37D47E0906E2}"/>
    <cellStyle name="Normal 12 2 2 2 5 2 4" xfId="29578" xr:uid="{6E395E82-A0EF-4322-B3B1-32DE77434348}"/>
    <cellStyle name="Normal 12 2 2 2 5 2 5" xfId="12690" xr:uid="{A648CAE8-5A11-4BFE-9CC3-A38628F279A4}"/>
    <cellStyle name="Normal 12 2 2 2 5 3" xfId="6321" xr:uid="{00000000-0005-0000-0000-0000DF0D0000}"/>
    <cellStyle name="Normal 12 2 2 2 5 3 2" xfId="23204" xr:uid="{18BA3A59-D1A8-4A11-88F9-29609F5A9962}"/>
    <cellStyle name="Normal 12 2 2 2 5 3 3" xfId="31650" xr:uid="{A80688B4-D580-4F63-B616-444582389247}"/>
    <cellStyle name="Normal 12 2 2 2 5 3 4" xfId="14763" xr:uid="{9EB2DCCD-733E-4C62-9514-F0550046F925}"/>
    <cellStyle name="Normal 12 2 2 2 5 4" xfId="18986" xr:uid="{525B4FBB-E81D-4C74-A828-DBB38FFA0C49}"/>
    <cellStyle name="Normal 12 2 2 2 5 5" xfId="27431" xr:uid="{D9EB6B6A-DF9A-4AC0-A448-020EE90D587F}"/>
    <cellStyle name="Normal 12 2 2 2 5 6" xfId="10545" xr:uid="{4DF3C9E6-C02F-49E1-92BF-FC570785A9DA}"/>
    <cellStyle name="Normal 12 2 2 2 6" xfId="2450" xr:uid="{00000000-0005-0000-0000-0000E00D0000}"/>
    <cellStyle name="Normal 12 2 2 2 6 2" xfId="6734" xr:uid="{00000000-0005-0000-0000-0000E10D0000}"/>
    <cellStyle name="Normal 12 2 2 2 6 2 2" xfId="23617" xr:uid="{55CDBBE9-882F-49DD-9684-C165523079CA}"/>
    <cellStyle name="Normal 12 2 2 2 6 2 3" xfId="32063" xr:uid="{A104DD39-0720-4B7D-92B1-774A8B6DEB55}"/>
    <cellStyle name="Normal 12 2 2 2 6 2 4" xfId="15176" xr:uid="{EECD5FC2-0B84-414B-B4C1-B2CDA5257936}"/>
    <cellStyle name="Normal 12 2 2 2 6 3" xfId="19399" xr:uid="{AFFF712F-E042-489E-93D9-CECAA8AEF0FB}"/>
    <cellStyle name="Normal 12 2 2 2 6 4" xfId="27844" xr:uid="{AFE055C4-1031-435E-9BC2-EFC1EB5E2C64}"/>
    <cellStyle name="Normal 12 2 2 2 6 5" xfId="10958" xr:uid="{6DF57F45-06DF-4928-9EC2-EE1E7FDB41D8}"/>
    <cellStyle name="Normal 12 2 2 2 7" xfId="4668" xr:uid="{00000000-0005-0000-0000-0000E20D0000}"/>
    <cellStyle name="Normal 12 2 2 2 7 2" xfId="21551" xr:uid="{C5C59BA5-A557-4A1D-A97D-200DE2F26DA6}"/>
    <cellStyle name="Normal 12 2 2 2 7 3" xfId="29997" xr:uid="{093D0A2C-A18B-4C63-A08E-E24B5DBA9DD4}"/>
    <cellStyle name="Normal 12 2 2 2 7 4" xfId="13110" xr:uid="{3112B32B-8F46-4A32-B63F-175890A69434}"/>
    <cellStyle name="Normal 12 2 2 2 8" xfId="17333" xr:uid="{55AAC94A-8FE0-4230-9C11-C67A069FA7CF}"/>
    <cellStyle name="Normal 12 2 2 2 9" xfId="25777" xr:uid="{A7B057E5-3906-4185-9BDB-34F6B75DCCA4}"/>
    <cellStyle name="Normal 12 2 2 3" xfId="762" xr:uid="{00000000-0005-0000-0000-0000E30D0000}"/>
    <cellStyle name="Normal 12 2 2 3 2" xfId="3003" xr:uid="{00000000-0005-0000-0000-0000E40D0000}"/>
    <cellStyle name="Normal 12 2 2 3 2 2" xfId="7226" xr:uid="{00000000-0005-0000-0000-0000E50D0000}"/>
    <cellStyle name="Normal 12 2 2 3 2 2 2" xfId="24109" xr:uid="{A6880E47-C264-4ED0-ADBE-6D8BACE10CCE}"/>
    <cellStyle name="Normal 12 2 2 3 2 2 3" xfId="32555" xr:uid="{16F221A7-39AE-49FC-8AAB-5B07A71341CC}"/>
    <cellStyle name="Normal 12 2 2 3 2 2 4" xfId="15668" xr:uid="{38C9A5DE-7408-418F-AF0B-6DE604800E6E}"/>
    <cellStyle name="Normal 12 2 2 3 2 3" xfId="19891" xr:uid="{586E15D4-DE42-4F8C-BB70-3BA60C92470B}"/>
    <cellStyle name="Normal 12 2 2 3 2 4" xfId="28338" xr:uid="{C2FFA21F-ED23-4256-88A9-FA0CD66EA491}"/>
    <cellStyle name="Normal 12 2 2 3 2 5" xfId="11450" xr:uid="{9B20A81C-461E-4AE8-9D90-E4D178E79951}"/>
    <cellStyle name="Normal 12 2 2 3 3" xfId="5081" xr:uid="{00000000-0005-0000-0000-0000E60D0000}"/>
    <cellStyle name="Normal 12 2 2 3 3 2" xfId="21964" xr:uid="{63FD85EE-443D-4C05-87C4-296D32059332}"/>
    <cellStyle name="Normal 12 2 2 3 3 3" xfId="30410" xr:uid="{EF4A7DD0-299B-4CAB-BCBD-512A52F402C7}"/>
    <cellStyle name="Normal 12 2 2 3 3 4" xfId="13523" xr:uid="{E478ACEC-8FB4-4CDB-BAC8-C45FCC18AB26}"/>
    <cellStyle name="Normal 12 2 2 3 4" xfId="17746" xr:uid="{61292F24-0122-44DC-B8F4-82EB2E9D042C}"/>
    <cellStyle name="Normal 12 2 2 3 5" xfId="26191" xr:uid="{89F7CA19-2E83-4675-BF14-0583857C0E07}"/>
    <cellStyle name="Normal 12 2 2 3 6" xfId="9305" xr:uid="{57F00571-6092-4856-ABB6-B49D68B8AC25}"/>
    <cellStyle name="Normal 12 2 2 4" xfId="1185" xr:uid="{00000000-0005-0000-0000-0000E70D0000}"/>
    <cellStyle name="Normal 12 2 2 4 2" xfId="3416" xr:uid="{00000000-0005-0000-0000-0000E80D0000}"/>
    <cellStyle name="Normal 12 2 2 4 2 2" xfId="7639" xr:uid="{00000000-0005-0000-0000-0000E90D0000}"/>
    <cellStyle name="Normal 12 2 2 4 2 2 2" xfId="24522" xr:uid="{C6FD6C89-E3A3-4EF7-943D-40A536AAA088}"/>
    <cellStyle name="Normal 12 2 2 4 2 2 3" xfId="32968" xr:uid="{A8F08578-A793-4B4B-B331-2BF69D696309}"/>
    <cellStyle name="Normal 12 2 2 4 2 2 4" xfId="16081" xr:uid="{3D50D6E2-558B-4C4F-828C-A69B14EBB42B}"/>
    <cellStyle name="Normal 12 2 2 4 2 3" xfId="20304" xr:uid="{4A8FF4A4-B270-4328-8F62-AAD61330AFFA}"/>
    <cellStyle name="Normal 12 2 2 4 2 4" xfId="28751" xr:uid="{500FCA7E-8296-4949-B514-639DC80D8B0E}"/>
    <cellStyle name="Normal 12 2 2 4 2 5" xfId="11863" xr:uid="{6DA2AD0B-8425-474A-831C-AEF06B7031AE}"/>
    <cellStyle name="Normal 12 2 2 4 3" xfId="5494" xr:uid="{00000000-0005-0000-0000-0000EA0D0000}"/>
    <cellStyle name="Normal 12 2 2 4 3 2" xfId="22377" xr:uid="{5DE19A8A-CD2D-4A17-948F-7B0763451BB1}"/>
    <cellStyle name="Normal 12 2 2 4 3 3" xfId="30823" xr:uid="{07C2703E-27F1-4869-B8E2-2F102DD991BB}"/>
    <cellStyle name="Normal 12 2 2 4 3 4" xfId="13936" xr:uid="{6573D0B0-B19C-4FC8-B11E-9C6BD2F87CBA}"/>
    <cellStyle name="Normal 12 2 2 4 4" xfId="18159" xr:uid="{CC315792-A140-44DD-85D4-0D3D24EB847A}"/>
    <cellStyle name="Normal 12 2 2 4 5" xfId="26604" xr:uid="{EC8A8B1A-8DD5-4A98-8B87-F4257B70A776}"/>
    <cellStyle name="Normal 12 2 2 4 6" xfId="9718" xr:uid="{ADED5AC1-8680-4F52-B914-1BD74EF12C34}"/>
    <cellStyle name="Normal 12 2 2 5" xfId="1599" xr:uid="{00000000-0005-0000-0000-0000EB0D0000}"/>
    <cellStyle name="Normal 12 2 2 5 2" xfId="3829" xr:uid="{00000000-0005-0000-0000-0000EC0D0000}"/>
    <cellStyle name="Normal 12 2 2 5 2 2" xfId="8052" xr:uid="{00000000-0005-0000-0000-0000ED0D0000}"/>
    <cellStyle name="Normal 12 2 2 5 2 2 2" xfId="24935" xr:uid="{09850102-5457-4722-97FC-E6549ACD96E2}"/>
    <cellStyle name="Normal 12 2 2 5 2 2 3" xfId="33381" xr:uid="{52AAF12E-6894-417C-85F4-DE4E69445DE1}"/>
    <cellStyle name="Normal 12 2 2 5 2 2 4" xfId="16494" xr:uid="{59A73B63-1909-4CBE-AD6C-85422764E896}"/>
    <cellStyle name="Normal 12 2 2 5 2 3" xfId="20717" xr:uid="{9B85A067-BA69-4713-9F36-D1368F632F0E}"/>
    <cellStyle name="Normal 12 2 2 5 2 4" xfId="29164" xr:uid="{A187EBA9-4917-4F34-83F6-7E49291D79B5}"/>
    <cellStyle name="Normal 12 2 2 5 2 5" xfId="12276" xr:uid="{CDF99A8D-CDE2-43BE-8327-ABEF418A921B}"/>
    <cellStyle name="Normal 12 2 2 5 3" xfId="5907" xr:uid="{00000000-0005-0000-0000-0000EE0D0000}"/>
    <cellStyle name="Normal 12 2 2 5 3 2" xfId="22790" xr:uid="{18B29031-16C5-490A-B74C-952131605921}"/>
    <cellStyle name="Normal 12 2 2 5 3 3" xfId="31236" xr:uid="{B8F0DAE1-584A-4EA5-B400-9BF6F1210048}"/>
    <cellStyle name="Normal 12 2 2 5 3 4" xfId="14349" xr:uid="{26F32C1C-8B59-401E-BDB2-5FC423E210EF}"/>
    <cellStyle name="Normal 12 2 2 5 4" xfId="18572" xr:uid="{C211F5DA-FCD7-4A4A-8E7B-685D79F58CEC}"/>
    <cellStyle name="Normal 12 2 2 5 5" xfId="27017" xr:uid="{16BDFBFF-C85F-4F47-A77B-232283FBF712}"/>
    <cellStyle name="Normal 12 2 2 5 6" xfId="10131" xr:uid="{F1E78626-8F11-4C47-ABAA-9EEF9FAA5119}"/>
    <cellStyle name="Normal 12 2 2 6" xfId="2013" xr:uid="{00000000-0005-0000-0000-0000EF0D0000}"/>
    <cellStyle name="Normal 12 2 2 6 2" xfId="4242" xr:uid="{00000000-0005-0000-0000-0000F00D0000}"/>
    <cellStyle name="Normal 12 2 2 6 2 2" xfId="8465" xr:uid="{00000000-0005-0000-0000-0000F10D0000}"/>
    <cellStyle name="Normal 12 2 2 6 2 2 2" xfId="25348" xr:uid="{3CC0B5EF-79FC-4420-A098-AEE55DFFDFCD}"/>
    <cellStyle name="Normal 12 2 2 6 2 2 3" xfId="33794" xr:uid="{ECE89F6E-50DC-4653-B631-91B0551618C8}"/>
    <cellStyle name="Normal 12 2 2 6 2 2 4" xfId="16907" xr:uid="{B1F52754-CC98-477E-88B8-2ED26C9614D5}"/>
    <cellStyle name="Normal 12 2 2 6 2 3" xfId="21130" xr:uid="{AF9742F7-EBE9-4FDB-85BA-33C84D03C17F}"/>
    <cellStyle name="Normal 12 2 2 6 2 4" xfId="29577" xr:uid="{D5BB993F-8E2D-4E95-AEB2-8B995ADEB0A6}"/>
    <cellStyle name="Normal 12 2 2 6 2 5" xfId="12689" xr:uid="{C3436116-1A43-45F9-A57E-E526FBF3CC9B}"/>
    <cellStyle name="Normal 12 2 2 6 3" xfId="6320" xr:uid="{00000000-0005-0000-0000-0000F20D0000}"/>
    <cellStyle name="Normal 12 2 2 6 3 2" xfId="23203" xr:uid="{8D009C99-D44D-44B1-820D-17FC0F2370B0}"/>
    <cellStyle name="Normal 12 2 2 6 3 3" xfId="31649" xr:uid="{097D3E5C-943F-41CE-9FDC-63E085A7D673}"/>
    <cellStyle name="Normal 12 2 2 6 3 4" xfId="14762" xr:uid="{ED1EB241-6B0B-4680-8B7C-320E3424E80E}"/>
    <cellStyle name="Normal 12 2 2 6 4" xfId="18985" xr:uid="{359E2C81-D4F4-4225-970D-4226BF230705}"/>
    <cellStyle name="Normal 12 2 2 6 5" xfId="27430" xr:uid="{FFC771BC-7F25-4F8D-8195-A1D94EEA5483}"/>
    <cellStyle name="Normal 12 2 2 6 6" xfId="10544" xr:uid="{1AC4C0D9-3DF4-49C7-AA4E-FC117F159F33}"/>
    <cellStyle name="Normal 12 2 2 7" xfId="2449" xr:uid="{00000000-0005-0000-0000-0000F30D0000}"/>
    <cellStyle name="Normal 12 2 2 7 2" xfId="6733" xr:uid="{00000000-0005-0000-0000-0000F40D0000}"/>
    <cellStyle name="Normal 12 2 2 7 2 2" xfId="23616" xr:uid="{FF52558D-E704-4B45-8A43-9E435A2C2D58}"/>
    <cellStyle name="Normal 12 2 2 7 2 3" xfId="32062" xr:uid="{6513AB8A-B371-4A9D-9C4D-735934CDB91E}"/>
    <cellStyle name="Normal 12 2 2 7 2 4" xfId="15175" xr:uid="{FC94F69C-E662-452B-8751-9CE9A4FDCE27}"/>
    <cellStyle name="Normal 12 2 2 7 3" xfId="19398" xr:uid="{0F3E5DB8-FA1E-4363-B3E9-2DB191F5B605}"/>
    <cellStyle name="Normal 12 2 2 7 4" xfId="27843" xr:uid="{9AFC1DAC-E1C6-486E-AF92-8351262B7596}"/>
    <cellStyle name="Normal 12 2 2 7 5" xfId="10957" xr:uid="{3A6FF1F3-454B-44D4-8231-6A30A196F070}"/>
    <cellStyle name="Normal 12 2 2 8" xfId="4667" xr:uid="{00000000-0005-0000-0000-0000F50D0000}"/>
    <cellStyle name="Normal 12 2 2 8 2" xfId="21550" xr:uid="{F38D023D-D460-4EDD-8861-F6E3294D7145}"/>
    <cellStyle name="Normal 12 2 2 8 3" xfId="29996" xr:uid="{326BA4DE-3964-48B8-BFE1-9D9B7B92A15A}"/>
    <cellStyle name="Normal 12 2 2 8 4" xfId="13109" xr:uid="{02517A30-7D7A-4899-BB3A-023A5FC195A5}"/>
    <cellStyle name="Normal 12 2 2 9" xfId="17332" xr:uid="{89D3D8EC-520F-4FA0-8BD7-71756CC01D57}"/>
    <cellStyle name="Normal 12 2 3" xfId="263" xr:uid="{00000000-0005-0000-0000-0000F60D0000}"/>
    <cellStyle name="Normal 12 2 3 10" xfId="8893" xr:uid="{87879F82-D812-4999-A065-CECEF4900653}"/>
    <cellStyle name="Normal 12 2 3 2" xfId="764" xr:uid="{00000000-0005-0000-0000-0000F70D0000}"/>
    <cellStyle name="Normal 12 2 3 2 2" xfId="3005" xr:uid="{00000000-0005-0000-0000-0000F80D0000}"/>
    <cellStyle name="Normal 12 2 3 2 2 2" xfId="7228" xr:uid="{00000000-0005-0000-0000-0000F90D0000}"/>
    <cellStyle name="Normal 12 2 3 2 2 2 2" xfId="24111" xr:uid="{DF1F9A38-3B7A-4C6F-BFFB-74C1C8D4B832}"/>
    <cellStyle name="Normal 12 2 3 2 2 2 3" xfId="32557" xr:uid="{E650A362-6925-4643-A982-3C085669FFBA}"/>
    <cellStyle name="Normal 12 2 3 2 2 2 4" xfId="15670" xr:uid="{EBC0B365-54AC-42D7-AE33-69FCCAFD5860}"/>
    <cellStyle name="Normal 12 2 3 2 2 3" xfId="19893" xr:uid="{429727A9-A3C8-4383-AB1A-2A48A20D58C1}"/>
    <cellStyle name="Normal 12 2 3 2 2 4" xfId="28340" xr:uid="{815A72E7-1849-4A35-B625-A3B787BF8576}"/>
    <cellStyle name="Normal 12 2 3 2 2 5" xfId="11452" xr:uid="{D47CDC22-64CF-447F-91F1-006B2DA0584B}"/>
    <cellStyle name="Normal 12 2 3 2 3" xfId="5083" xr:uid="{00000000-0005-0000-0000-0000FA0D0000}"/>
    <cellStyle name="Normal 12 2 3 2 3 2" xfId="21966" xr:uid="{423EC08B-D7E4-455F-9EA6-10DA45592E24}"/>
    <cellStyle name="Normal 12 2 3 2 3 3" xfId="30412" xr:uid="{E3020233-B431-4F21-A7EB-8E71FE4C197A}"/>
    <cellStyle name="Normal 12 2 3 2 3 4" xfId="13525" xr:uid="{70AB7BCD-0E8F-455A-9667-DB3D089C64BD}"/>
    <cellStyle name="Normal 12 2 3 2 4" xfId="17748" xr:uid="{A099B448-FC6B-4879-80E0-F8FE03C0E423}"/>
    <cellStyle name="Normal 12 2 3 2 5" xfId="26193" xr:uid="{E2B7AB04-F8CE-4EEA-BA23-42F63382600D}"/>
    <cellStyle name="Normal 12 2 3 2 6" xfId="9307" xr:uid="{2FAD26B8-4423-4C97-87DB-3347BDADA052}"/>
    <cellStyle name="Normal 12 2 3 3" xfId="1187" xr:uid="{00000000-0005-0000-0000-0000FB0D0000}"/>
    <cellStyle name="Normal 12 2 3 3 2" xfId="3418" xr:uid="{00000000-0005-0000-0000-0000FC0D0000}"/>
    <cellStyle name="Normal 12 2 3 3 2 2" xfId="7641" xr:uid="{00000000-0005-0000-0000-0000FD0D0000}"/>
    <cellStyle name="Normal 12 2 3 3 2 2 2" xfId="24524" xr:uid="{99E29F61-1D08-41DB-8BD3-69C1F6656E96}"/>
    <cellStyle name="Normal 12 2 3 3 2 2 3" xfId="32970" xr:uid="{68DD8143-FBB6-4862-A16D-7075934FDDA7}"/>
    <cellStyle name="Normal 12 2 3 3 2 2 4" xfId="16083" xr:uid="{93C7AE28-D777-4015-9A8B-29142999833E}"/>
    <cellStyle name="Normal 12 2 3 3 2 3" xfId="20306" xr:uid="{1C50EFBE-C7F1-45AE-910B-0D18D3F143F3}"/>
    <cellStyle name="Normal 12 2 3 3 2 4" xfId="28753" xr:uid="{D14BD01A-DFC8-48C3-9A90-A3566E5432FC}"/>
    <cellStyle name="Normal 12 2 3 3 2 5" xfId="11865" xr:uid="{8D1433EC-20C5-467D-AA8E-1F19F7F983EA}"/>
    <cellStyle name="Normal 12 2 3 3 3" xfId="5496" xr:uid="{00000000-0005-0000-0000-0000FE0D0000}"/>
    <cellStyle name="Normal 12 2 3 3 3 2" xfId="22379" xr:uid="{9DE54265-E6F9-4E60-AAF0-045D22A194F4}"/>
    <cellStyle name="Normal 12 2 3 3 3 3" xfId="30825" xr:uid="{686EE2CB-80DB-4F8F-BD8F-41A0F8B3AB50}"/>
    <cellStyle name="Normal 12 2 3 3 3 4" xfId="13938" xr:uid="{6133C2A0-7F8F-462B-9A5F-8A1FD9A7069C}"/>
    <cellStyle name="Normal 12 2 3 3 4" xfId="18161" xr:uid="{72BCE893-F790-4B38-8F69-4F25CE48931A}"/>
    <cellStyle name="Normal 12 2 3 3 5" xfId="26606" xr:uid="{7F4CB144-8F9F-4864-A4DA-3FCFD66B477A}"/>
    <cellStyle name="Normal 12 2 3 3 6" xfId="9720" xr:uid="{9FD879BC-9864-4573-9C20-DF5B14E769D9}"/>
    <cellStyle name="Normal 12 2 3 4" xfId="1601" xr:uid="{00000000-0005-0000-0000-0000FF0D0000}"/>
    <cellStyle name="Normal 12 2 3 4 2" xfId="3831" xr:uid="{00000000-0005-0000-0000-0000000E0000}"/>
    <cellStyle name="Normal 12 2 3 4 2 2" xfId="8054" xr:uid="{00000000-0005-0000-0000-0000010E0000}"/>
    <cellStyle name="Normal 12 2 3 4 2 2 2" xfId="24937" xr:uid="{537AD0BA-C034-4380-86F3-76B4E9452E0A}"/>
    <cellStyle name="Normal 12 2 3 4 2 2 3" xfId="33383" xr:uid="{03E4E9D1-5246-42CA-8DCC-7BB1F8ACD348}"/>
    <cellStyle name="Normal 12 2 3 4 2 2 4" xfId="16496" xr:uid="{0EAFB193-16FD-4348-B7B9-F61A8042F20C}"/>
    <cellStyle name="Normal 12 2 3 4 2 3" xfId="20719" xr:uid="{9B8EE9EB-D4CA-4BA1-B06C-0E16BC4E7855}"/>
    <cellStyle name="Normal 12 2 3 4 2 4" xfId="29166" xr:uid="{5E046988-FCA9-4303-9F7E-CCC65FBED05C}"/>
    <cellStyle name="Normal 12 2 3 4 2 5" xfId="12278" xr:uid="{AA9C303B-89D6-4D67-B31B-BFA84FFBC371}"/>
    <cellStyle name="Normal 12 2 3 4 3" xfId="5909" xr:uid="{00000000-0005-0000-0000-0000020E0000}"/>
    <cellStyle name="Normal 12 2 3 4 3 2" xfId="22792" xr:uid="{24963D84-4C9D-44A9-8277-76528F84A303}"/>
    <cellStyle name="Normal 12 2 3 4 3 3" xfId="31238" xr:uid="{DDF8CDED-9219-4D4F-924F-79391F3EEF8C}"/>
    <cellStyle name="Normal 12 2 3 4 3 4" xfId="14351" xr:uid="{E5C219A2-DD21-4218-AB5C-EF5507DC5FE2}"/>
    <cellStyle name="Normal 12 2 3 4 4" xfId="18574" xr:uid="{31A6506E-0D82-4F91-AF32-4E630C84D6C2}"/>
    <cellStyle name="Normal 12 2 3 4 5" xfId="27019" xr:uid="{E330DD16-A58E-4C7F-A7D9-118EC372F3D8}"/>
    <cellStyle name="Normal 12 2 3 4 6" xfId="10133" xr:uid="{F443A188-C87F-40A2-8932-AC055E10BDB8}"/>
    <cellStyle name="Normal 12 2 3 5" xfId="2015" xr:uid="{00000000-0005-0000-0000-0000030E0000}"/>
    <cellStyle name="Normal 12 2 3 5 2" xfId="4244" xr:uid="{00000000-0005-0000-0000-0000040E0000}"/>
    <cellStyle name="Normal 12 2 3 5 2 2" xfId="8467" xr:uid="{00000000-0005-0000-0000-0000050E0000}"/>
    <cellStyle name="Normal 12 2 3 5 2 2 2" xfId="25350" xr:uid="{F3DDE8BC-DF79-46F3-A204-A3B50DC26B56}"/>
    <cellStyle name="Normal 12 2 3 5 2 2 3" xfId="33796" xr:uid="{7C6525A8-AD9C-4609-91C8-09B4E49C67D3}"/>
    <cellStyle name="Normal 12 2 3 5 2 2 4" xfId="16909" xr:uid="{DB446F17-3C62-4343-915D-8B52F8A0C60C}"/>
    <cellStyle name="Normal 12 2 3 5 2 3" xfId="21132" xr:uid="{42652B7C-E509-4EDF-8DBE-0B8E2F69E845}"/>
    <cellStyle name="Normal 12 2 3 5 2 4" xfId="29579" xr:uid="{C564AC98-7E70-4DA0-A1F1-42667656C41A}"/>
    <cellStyle name="Normal 12 2 3 5 2 5" xfId="12691" xr:uid="{A5259B64-C939-4F03-800C-CC9603C36974}"/>
    <cellStyle name="Normal 12 2 3 5 3" xfId="6322" xr:uid="{00000000-0005-0000-0000-0000060E0000}"/>
    <cellStyle name="Normal 12 2 3 5 3 2" xfId="23205" xr:uid="{DA780635-334E-45F6-8586-73DA8B3632A1}"/>
    <cellStyle name="Normal 12 2 3 5 3 3" xfId="31651" xr:uid="{AEC4035C-7915-4E2B-A764-2A7C50140496}"/>
    <cellStyle name="Normal 12 2 3 5 3 4" xfId="14764" xr:uid="{B43531AA-89E4-4349-94B1-03959DD4CC26}"/>
    <cellStyle name="Normal 12 2 3 5 4" xfId="18987" xr:uid="{C8D2969B-2D18-4AD3-B5A5-D25B9752FEA2}"/>
    <cellStyle name="Normal 12 2 3 5 5" xfId="27432" xr:uid="{F878AA10-AC9A-42FC-9B2B-E72944C66563}"/>
    <cellStyle name="Normal 12 2 3 5 6" xfId="10546" xr:uid="{0D327CBE-4662-40A3-A21D-0E04C6FAE3C1}"/>
    <cellStyle name="Normal 12 2 3 6" xfId="2451" xr:uid="{00000000-0005-0000-0000-0000070E0000}"/>
    <cellStyle name="Normal 12 2 3 6 2" xfId="6735" xr:uid="{00000000-0005-0000-0000-0000080E0000}"/>
    <cellStyle name="Normal 12 2 3 6 2 2" xfId="23618" xr:uid="{266184C0-6606-4F68-95EC-24A262063A05}"/>
    <cellStyle name="Normal 12 2 3 6 2 3" xfId="32064" xr:uid="{4B2E6773-3C8A-4E04-9908-D7DED784D8CE}"/>
    <cellStyle name="Normal 12 2 3 6 2 4" xfId="15177" xr:uid="{BFE652B3-1613-4920-8769-1EB17348A797}"/>
    <cellStyle name="Normal 12 2 3 6 3" xfId="19400" xr:uid="{F558563D-B186-46BD-A302-7DCAB7A6ED72}"/>
    <cellStyle name="Normal 12 2 3 6 4" xfId="27845" xr:uid="{BF073137-D2F8-4775-84F5-AC6C8764BD0E}"/>
    <cellStyle name="Normal 12 2 3 6 5" xfId="10959" xr:uid="{AF4F968C-2A02-48CB-BB19-4E2D146F2410}"/>
    <cellStyle name="Normal 12 2 3 7" xfId="4669" xr:uid="{00000000-0005-0000-0000-0000090E0000}"/>
    <cellStyle name="Normal 12 2 3 7 2" xfId="21552" xr:uid="{0C67D9C1-E9F7-4252-8206-EC3B834950BA}"/>
    <cellStyle name="Normal 12 2 3 7 3" xfId="29998" xr:uid="{C38D8CA9-E806-4991-B330-1CF260FDF943}"/>
    <cellStyle name="Normal 12 2 3 7 4" xfId="13111" xr:uid="{0C3E500C-B91D-4FEA-B5C9-EB7D4D922B4A}"/>
    <cellStyle name="Normal 12 2 3 8" xfId="17334" xr:uid="{EE91964D-BCEC-45B3-B7EA-CE5477439FFD}"/>
    <cellStyle name="Normal 12 2 3 9" xfId="25778" xr:uid="{EB138214-0EA2-4570-93B1-0E32A68B4C48}"/>
    <cellStyle name="Normal 12 2 4" xfId="761" xr:uid="{00000000-0005-0000-0000-00000A0E0000}"/>
    <cellStyle name="Normal 12 2 4 2" xfId="3002" xr:uid="{00000000-0005-0000-0000-00000B0E0000}"/>
    <cellStyle name="Normal 12 2 4 2 2" xfId="7225" xr:uid="{00000000-0005-0000-0000-00000C0E0000}"/>
    <cellStyle name="Normal 12 2 4 2 2 2" xfId="24108" xr:uid="{20E4D0CE-2EFD-4EE8-8845-ADAA43178B8F}"/>
    <cellStyle name="Normal 12 2 4 2 2 3" xfId="32554" xr:uid="{C3B7FBE4-F666-4CC6-81E6-2113D36EB4E9}"/>
    <cellStyle name="Normal 12 2 4 2 2 4" xfId="15667" xr:uid="{F6C2DADD-1111-44BA-A53D-C71D48125366}"/>
    <cellStyle name="Normal 12 2 4 2 3" xfId="19890" xr:uid="{49F1AED8-83F5-4947-82F3-942F77A7DDCA}"/>
    <cellStyle name="Normal 12 2 4 2 4" xfId="28337" xr:uid="{8131B640-0452-4696-ADC4-C76931032A25}"/>
    <cellStyle name="Normal 12 2 4 2 5" xfId="11449" xr:uid="{D6A93172-139F-476E-A75B-8D90CBFE50E6}"/>
    <cellStyle name="Normal 12 2 4 3" xfId="5080" xr:uid="{00000000-0005-0000-0000-00000D0E0000}"/>
    <cellStyle name="Normal 12 2 4 3 2" xfId="21963" xr:uid="{0B332781-FBDD-459E-9F4C-2C8C4262723B}"/>
    <cellStyle name="Normal 12 2 4 3 3" xfId="30409" xr:uid="{21D4C8F6-E35F-42A9-B77C-11867E5DD8C5}"/>
    <cellStyle name="Normal 12 2 4 3 4" xfId="13522" xr:uid="{963F40E6-6077-4673-A3AC-493BB526ED18}"/>
    <cellStyle name="Normal 12 2 4 4" xfId="17745" xr:uid="{F4B61E87-AF1D-4B29-8EC8-BC18F441E112}"/>
    <cellStyle name="Normal 12 2 4 5" xfId="26190" xr:uid="{D29EDA13-6547-4A35-B006-3B7DBC30932D}"/>
    <cellStyle name="Normal 12 2 4 6" xfId="9304" xr:uid="{EA0FA025-CC3A-4136-B16C-19076FB35402}"/>
    <cellStyle name="Normal 12 2 5" xfId="1184" xr:uid="{00000000-0005-0000-0000-00000E0E0000}"/>
    <cellStyle name="Normal 12 2 5 2" xfId="3415" xr:uid="{00000000-0005-0000-0000-00000F0E0000}"/>
    <cellStyle name="Normal 12 2 5 2 2" xfId="7638" xr:uid="{00000000-0005-0000-0000-0000100E0000}"/>
    <cellStyle name="Normal 12 2 5 2 2 2" xfId="24521" xr:uid="{26D16D5F-A007-416B-9263-5B145276FF2D}"/>
    <cellStyle name="Normal 12 2 5 2 2 3" xfId="32967" xr:uid="{AE0607EF-B594-4DF6-9C85-0963B6EF0894}"/>
    <cellStyle name="Normal 12 2 5 2 2 4" xfId="16080" xr:uid="{283CC028-C7FF-4625-B739-9565B3C51991}"/>
    <cellStyle name="Normal 12 2 5 2 3" xfId="20303" xr:uid="{A5D87788-3BEE-4591-B582-892A558CE376}"/>
    <cellStyle name="Normal 12 2 5 2 4" xfId="28750" xr:uid="{730941E6-9A52-445A-8DCB-E1336EA803FB}"/>
    <cellStyle name="Normal 12 2 5 2 5" xfId="11862" xr:uid="{527023B0-CD06-41BD-B897-6828F71E0760}"/>
    <cellStyle name="Normal 12 2 5 3" xfId="5493" xr:uid="{00000000-0005-0000-0000-0000110E0000}"/>
    <cellStyle name="Normal 12 2 5 3 2" xfId="22376" xr:uid="{3D61F4B0-1C41-49C8-867F-B23273618DD2}"/>
    <cellStyle name="Normal 12 2 5 3 3" xfId="30822" xr:uid="{FFE6CC1E-3715-4C8D-AA58-AFD83C22A507}"/>
    <cellStyle name="Normal 12 2 5 3 4" xfId="13935" xr:uid="{BA4FAA02-0ED2-46F6-8573-C0D22944AC7A}"/>
    <cellStyle name="Normal 12 2 5 4" xfId="18158" xr:uid="{8A53F5A3-EB16-4C19-8127-1D8588A7F7ED}"/>
    <cellStyle name="Normal 12 2 5 5" xfId="26603" xr:uid="{8CD38796-7DAA-408C-B08B-BAB9C2E5E6FE}"/>
    <cellStyle name="Normal 12 2 5 6" xfId="9717" xr:uid="{0DD3E010-5506-49F6-A9C7-0F739535278C}"/>
    <cellStyle name="Normal 12 2 6" xfId="1598" xr:uid="{00000000-0005-0000-0000-0000120E0000}"/>
    <cellStyle name="Normal 12 2 6 2" xfId="3828" xr:uid="{00000000-0005-0000-0000-0000130E0000}"/>
    <cellStyle name="Normal 12 2 6 2 2" xfId="8051" xr:uid="{00000000-0005-0000-0000-0000140E0000}"/>
    <cellStyle name="Normal 12 2 6 2 2 2" xfId="24934" xr:uid="{20CAF079-D013-49A9-B1F8-668C4EE8BDA0}"/>
    <cellStyle name="Normal 12 2 6 2 2 3" xfId="33380" xr:uid="{84BD09F1-09DB-4D4A-9632-7E8486119199}"/>
    <cellStyle name="Normal 12 2 6 2 2 4" xfId="16493" xr:uid="{2C90EA17-A156-4896-A995-F2CEF2B9D43D}"/>
    <cellStyle name="Normal 12 2 6 2 3" xfId="20716" xr:uid="{3BFDEFA1-02F5-4BBF-BF96-29B13C4CA05B}"/>
    <cellStyle name="Normal 12 2 6 2 4" xfId="29163" xr:uid="{81BF48C4-DA2F-4385-965C-45BB290E24CB}"/>
    <cellStyle name="Normal 12 2 6 2 5" xfId="12275" xr:uid="{336F45A2-2B6A-4373-A814-1F8A5034C3E1}"/>
    <cellStyle name="Normal 12 2 6 3" xfId="5906" xr:uid="{00000000-0005-0000-0000-0000150E0000}"/>
    <cellStyle name="Normal 12 2 6 3 2" xfId="22789" xr:uid="{C7CB8D79-B14D-4A0A-BE49-4E578889F68F}"/>
    <cellStyle name="Normal 12 2 6 3 3" xfId="31235" xr:uid="{F363E78D-F3EE-4CAD-9A57-F2A94E010982}"/>
    <cellStyle name="Normal 12 2 6 3 4" xfId="14348" xr:uid="{D65BA811-FDDC-42D8-A9FF-3A9504BECC0E}"/>
    <cellStyle name="Normal 12 2 6 4" xfId="18571" xr:uid="{EB28520D-E36C-41C3-9004-E9300EE5A435}"/>
    <cellStyle name="Normal 12 2 6 5" xfId="27016" xr:uid="{3B51E21C-CE37-4A5F-BF3B-FAE9E7EAC07E}"/>
    <cellStyle name="Normal 12 2 6 6" xfId="10130" xr:uid="{8DAB53A5-346B-4BB1-B60C-2498FEB44325}"/>
    <cellStyle name="Normal 12 2 7" xfId="2012" xr:uid="{00000000-0005-0000-0000-0000160E0000}"/>
    <cellStyle name="Normal 12 2 7 2" xfId="4241" xr:uid="{00000000-0005-0000-0000-0000170E0000}"/>
    <cellStyle name="Normal 12 2 7 2 2" xfId="8464" xr:uid="{00000000-0005-0000-0000-0000180E0000}"/>
    <cellStyle name="Normal 12 2 7 2 2 2" xfId="25347" xr:uid="{635BABE1-0028-446E-BDC0-9B06F3315188}"/>
    <cellStyle name="Normal 12 2 7 2 2 3" xfId="33793" xr:uid="{248BB4CB-9F1C-4B37-A3EE-63CA690C63BE}"/>
    <cellStyle name="Normal 12 2 7 2 2 4" xfId="16906" xr:uid="{EF55640C-F3FC-471A-AAA2-D85AD8A13DDD}"/>
    <cellStyle name="Normal 12 2 7 2 3" xfId="21129" xr:uid="{31FDEAA5-F295-415E-8552-AE226FCBEB1F}"/>
    <cellStyle name="Normal 12 2 7 2 4" xfId="29576" xr:uid="{9CE721FF-B901-4EA7-95FD-49A8AF43820E}"/>
    <cellStyle name="Normal 12 2 7 2 5" xfId="12688" xr:uid="{9B9A81E3-6C38-4677-8B9A-5CAF91206163}"/>
    <cellStyle name="Normal 12 2 7 3" xfId="6319" xr:uid="{00000000-0005-0000-0000-0000190E0000}"/>
    <cellStyle name="Normal 12 2 7 3 2" xfId="23202" xr:uid="{A0FB6215-E5CF-4F88-8698-B092CE94E034}"/>
    <cellStyle name="Normal 12 2 7 3 3" xfId="31648" xr:uid="{844350CB-11E0-4AAA-81BA-2D9E89DE1238}"/>
    <cellStyle name="Normal 12 2 7 3 4" xfId="14761" xr:uid="{B2AA3CC6-2185-49D8-B080-F73488765C48}"/>
    <cellStyle name="Normal 12 2 7 4" xfId="18984" xr:uid="{64792E3A-F818-42CB-825D-DC2D6E207059}"/>
    <cellStyle name="Normal 12 2 7 5" xfId="27429" xr:uid="{26D482B2-C497-408D-9EAC-E03EDCA94E15}"/>
    <cellStyle name="Normal 12 2 7 6" xfId="10543" xr:uid="{37462663-0D50-4CDA-8B84-5A25C079B3CA}"/>
    <cellStyle name="Normal 12 2 8" xfId="2448" xr:uid="{00000000-0005-0000-0000-00001A0E0000}"/>
    <cellStyle name="Normal 12 2 8 2" xfId="6732" xr:uid="{00000000-0005-0000-0000-00001B0E0000}"/>
    <cellStyle name="Normal 12 2 8 2 2" xfId="23615" xr:uid="{71DD4C7C-1FB6-4346-8210-BC95E9B9EABA}"/>
    <cellStyle name="Normal 12 2 8 2 3" xfId="32061" xr:uid="{F269E306-C57E-4EB8-888F-1A2AC488836C}"/>
    <cellStyle name="Normal 12 2 8 2 4" xfId="15174" xr:uid="{4C4B66CA-AC76-4D32-8FA5-7E0C7F4BF067}"/>
    <cellStyle name="Normal 12 2 8 3" xfId="19397" xr:uid="{3BAB1BEE-9D8A-41B3-B98B-E9509EA9B96E}"/>
    <cellStyle name="Normal 12 2 8 4" xfId="27842" xr:uid="{67B8397D-1D2E-4FF0-AB53-4E05299E297A}"/>
    <cellStyle name="Normal 12 2 8 5" xfId="10956" xr:uid="{B064AA97-E4E2-43BE-8B54-C69F961F1F90}"/>
    <cellStyle name="Normal 12 2 9" xfId="4666" xr:uid="{00000000-0005-0000-0000-00001C0E0000}"/>
    <cellStyle name="Normal 12 2 9 2" xfId="21549" xr:uid="{7E715B36-C059-42F8-9156-B98AAB6734D0}"/>
    <cellStyle name="Normal 12 2 9 3" xfId="29995" xr:uid="{3690BD3F-80AA-4AAF-8BD2-42A18331408A}"/>
    <cellStyle name="Normal 12 2 9 4" xfId="13108" xr:uid="{780B1595-31FD-471A-B728-AF33268B0BFE}"/>
    <cellStyle name="Normal 12 3" xfId="264" xr:uid="{00000000-0005-0000-0000-00001D0E0000}"/>
    <cellStyle name="Normal 12 3 10" xfId="25779" xr:uid="{BF821A37-362E-49DA-8DBE-370B841556AB}"/>
    <cellStyle name="Normal 12 3 11" xfId="34144" xr:uid="{106BB153-1811-4A1A-9728-EC711EF02C83}"/>
    <cellStyle name="Normal 12 3 12" xfId="8894" xr:uid="{E4C9D011-D6B7-41B3-ADE3-D5C76E1FCE90}"/>
    <cellStyle name="Normal 12 3 2" xfId="265" xr:uid="{00000000-0005-0000-0000-00001E0E0000}"/>
    <cellStyle name="Normal 12 3 2 10" xfId="8895" xr:uid="{8B2F1E74-950D-4C62-8F34-0B378537FBEB}"/>
    <cellStyle name="Normal 12 3 2 2" xfId="766" xr:uid="{00000000-0005-0000-0000-00001F0E0000}"/>
    <cellStyle name="Normal 12 3 2 2 2" xfId="3007" xr:uid="{00000000-0005-0000-0000-0000200E0000}"/>
    <cellStyle name="Normal 12 3 2 2 2 2" xfId="7230" xr:uid="{00000000-0005-0000-0000-0000210E0000}"/>
    <cellStyle name="Normal 12 3 2 2 2 2 2" xfId="24113" xr:uid="{933882CD-C35C-4CAF-9272-572AF9563870}"/>
    <cellStyle name="Normal 12 3 2 2 2 2 3" xfId="32559" xr:uid="{4F41C180-5D27-411F-8A9F-E45178EF6733}"/>
    <cellStyle name="Normal 12 3 2 2 2 2 4" xfId="15672" xr:uid="{414F7A0C-80A8-4D2B-9A85-E1966643E66B}"/>
    <cellStyle name="Normal 12 3 2 2 2 3" xfId="19895" xr:uid="{9080433C-281F-4BF6-BBB0-1538B1EF778D}"/>
    <cellStyle name="Normal 12 3 2 2 2 4" xfId="28342" xr:uid="{E0CDDA41-2544-473E-BA92-715BCECC0041}"/>
    <cellStyle name="Normal 12 3 2 2 2 5" xfId="11454" xr:uid="{72301A39-343B-4917-A596-16A24AD49C70}"/>
    <cellStyle name="Normal 12 3 2 2 3" xfId="5085" xr:uid="{00000000-0005-0000-0000-0000220E0000}"/>
    <cellStyle name="Normal 12 3 2 2 3 2" xfId="21968" xr:uid="{36CBDCB0-3C01-4F0E-A8F8-09FF886B5FDD}"/>
    <cellStyle name="Normal 12 3 2 2 3 3" xfId="30414" xr:uid="{266B5D08-AD16-48CD-8D71-348AC8AF583D}"/>
    <cellStyle name="Normal 12 3 2 2 3 4" xfId="13527" xr:uid="{F29F7BE6-86E6-4851-8729-77753451CE36}"/>
    <cellStyle name="Normal 12 3 2 2 4" xfId="17750" xr:uid="{8287981C-4115-405D-A673-BF8A0691BD5A}"/>
    <cellStyle name="Normal 12 3 2 2 5" xfId="26195" xr:uid="{BAB1030A-6168-4273-8D8F-926C10302A6A}"/>
    <cellStyle name="Normal 12 3 2 2 6" xfId="9309" xr:uid="{D424732C-0A10-45C9-9A41-6D73D4079BBB}"/>
    <cellStyle name="Normal 12 3 2 3" xfId="1189" xr:uid="{00000000-0005-0000-0000-0000230E0000}"/>
    <cellStyle name="Normal 12 3 2 3 2" xfId="3420" xr:uid="{00000000-0005-0000-0000-0000240E0000}"/>
    <cellStyle name="Normal 12 3 2 3 2 2" xfId="7643" xr:uid="{00000000-0005-0000-0000-0000250E0000}"/>
    <cellStyle name="Normal 12 3 2 3 2 2 2" xfId="24526" xr:uid="{41025FB8-4D95-4A23-A000-1793B8225868}"/>
    <cellStyle name="Normal 12 3 2 3 2 2 3" xfId="32972" xr:uid="{182FDDC3-6F07-46D4-ABD8-3CB5DC079DB2}"/>
    <cellStyle name="Normal 12 3 2 3 2 2 4" xfId="16085" xr:uid="{5023059D-CD00-4875-869D-311361D6AA9A}"/>
    <cellStyle name="Normal 12 3 2 3 2 3" xfId="20308" xr:uid="{E9C28DBA-5A44-4589-9CBC-9E191A659506}"/>
    <cellStyle name="Normal 12 3 2 3 2 4" xfId="28755" xr:uid="{81B62F2A-48B6-44F4-A236-82E1390E606B}"/>
    <cellStyle name="Normal 12 3 2 3 2 5" xfId="11867" xr:uid="{B537E5D9-D6D7-4DB3-A840-831D93B655F1}"/>
    <cellStyle name="Normal 12 3 2 3 3" xfId="5498" xr:uid="{00000000-0005-0000-0000-0000260E0000}"/>
    <cellStyle name="Normal 12 3 2 3 3 2" xfId="22381" xr:uid="{5E53E3CC-C5B8-40FE-8612-E0A6EC77AF7B}"/>
    <cellStyle name="Normal 12 3 2 3 3 3" xfId="30827" xr:uid="{E750AD62-9F22-4C06-BA74-6D7783F866C6}"/>
    <cellStyle name="Normal 12 3 2 3 3 4" xfId="13940" xr:uid="{023952D6-8103-46C3-B7F0-34FB0C07AEFD}"/>
    <cellStyle name="Normal 12 3 2 3 4" xfId="18163" xr:uid="{4AFCE3ED-DD76-4166-8E77-9E11B0D1EDFC}"/>
    <cellStyle name="Normal 12 3 2 3 5" xfId="26608" xr:uid="{74E4D6BC-BEE6-4791-B68C-62E09598A3DD}"/>
    <cellStyle name="Normal 12 3 2 3 6" xfId="9722" xr:uid="{976553CF-BDD0-4842-8A8A-D3392856FCEE}"/>
    <cellStyle name="Normal 12 3 2 4" xfId="1603" xr:uid="{00000000-0005-0000-0000-0000270E0000}"/>
    <cellStyle name="Normal 12 3 2 4 2" xfId="3833" xr:uid="{00000000-0005-0000-0000-0000280E0000}"/>
    <cellStyle name="Normal 12 3 2 4 2 2" xfId="8056" xr:uid="{00000000-0005-0000-0000-0000290E0000}"/>
    <cellStyle name="Normal 12 3 2 4 2 2 2" xfId="24939" xr:uid="{7C3E8B56-1DD1-44C4-81C8-8A51DA168970}"/>
    <cellStyle name="Normal 12 3 2 4 2 2 3" xfId="33385" xr:uid="{46FF320D-A822-4D8B-BDCE-748FE029D052}"/>
    <cellStyle name="Normal 12 3 2 4 2 2 4" xfId="16498" xr:uid="{415F11F6-A7B6-406D-BB24-864340639414}"/>
    <cellStyle name="Normal 12 3 2 4 2 3" xfId="20721" xr:uid="{91DEF976-6930-41C2-825D-3481704573E9}"/>
    <cellStyle name="Normal 12 3 2 4 2 4" xfId="29168" xr:uid="{B60DE1FC-C188-4F3D-BA8E-53F394858307}"/>
    <cellStyle name="Normal 12 3 2 4 2 5" xfId="12280" xr:uid="{6547B59A-BD55-4E35-8ED1-A410617225F7}"/>
    <cellStyle name="Normal 12 3 2 4 3" xfId="5911" xr:uid="{00000000-0005-0000-0000-00002A0E0000}"/>
    <cellStyle name="Normal 12 3 2 4 3 2" xfId="22794" xr:uid="{9B170502-AE6B-4934-B9C0-A86363ACEB65}"/>
    <cellStyle name="Normal 12 3 2 4 3 3" xfId="31240" xr:uid="{902B8016-1D87-47C6-ABFE-EBB4E4335FDC}"/>
    <cellStyle name="Normal 12 3 2 4 3 4" xfId="14353" xr:uid="{5AA970E8-49CD-4606-ABE7-ECACA27407AF}"/>
    <cellStyle name="Normal 12 3 2 4 4" xfId="18576" xr:uid="{4504FD60-FEA9-47BE-9707-45FEC2D77236}"/>
    <cellStyle name="Normal 12 3 2 4 5" xfId="27021" xr:uid="{E5522F34-816F-442C-922A-25D1F5E89B5B}"/>
    <cellStyle name="Normal 12 3 2 4 6" xfId="10135" xr:uid="{F93B5A07-5C53-4C19-966E-17C13951E631}"/>
    <cellStyle name="Normal 12 3 2 5" xfId="2017" xr:uid="{00000000-0005-0000-0000-00002B0E0000}"/>
    <cellStyle name="Normal 12 3 2 5 2" xfId="4246" xr:uid="{00000000-0005-0000-0000-00002C0E0000}"/>
    <cellStyle name="Normal 12 3 2 5 2 2" xfId="8469" xr:uid="{00000000-0005-0000-0000-00002D0E0000}"/>
    <cellStyle name="Normal 12 3 2 5 2 2 2" xfId="25352" xr:uid="{E9E67812-611D-4BB0-9E96-D896D8A09461}"/>
    <cellStyle name="Normal 12 3 2 5 2 2 3" xfId="33798" xr:uid="{85C0DBB6-98F7-42BA-A4CD-FC6AB5453154}"/>
    <cellStyle name="Normal 12 3 2 5 2 2 4" xfId="16911" xr:uid="{35926F1B-8831-454E-82BE-43CB1FF9C1CA}"/>
    <cellStyle name="Normal 12 3 2 5 2 3" xfId="21134" xr:uid="{26DB69A5-FD35-4B1A-B587-F841936FA8C3}"/>
    <cellStyle name="Normal 12 3 2 5 2 4" xfId="29581" xr:uid="{CCF4D537-D306-4803-9578-99DF362DAF14}"/>
    <cellStyle name="Normal 12 3 2 5 2 5" xfId="12693" xr:uid="{65F33593-6DDD-4637-915C-FFE62793D0FB}"/>
    <cellStyle name="Normal 12 3 2 5 3" xfId="6324" xr:uid="{00000000-0005-0000-0000-00002E0E0000}"/>
    <cellStyle name="Normal 12 3 2 5 3 2" xfId="23207" xr:uid="{8A6B593E-F179-462D-B0DE-8AACB786D2C5}"/>
    <cellStyle name="Normal 12 3 2 5 3 3" xfId="31653" xr:uid="{9FCAF2A1-47AE-45E7-A2A7-F7F9F0BC85A1}"/>
    <cellStyle name="Normal 12 3 2 5 3 4" xfId="14766" xr:uid="{0A2D161F-6057-4E87-9EFD-F83465A1070D}"/>
    <cellStyle name="Normal 12 3 2 5 4" xfId="18989" xr:uid="{433D02D8-E1AB-49EA-B425-25BC10804A06}"/>
    <cellStyle name="Normal 12 3 2 5 5" xfId="27434" xr:uid="{B7CA9095-A125-430E-B6AB-A91907DCDDB8}"/>
    <cellStyle name="Normal 12 3 2 5 6" xfId="10548" xr:uid="{636D07C6-FEB7-4EC7-B14C-CE3DF6120FD8}"/>
    <cellStyle name="Normal 12 3 2 6" xfId="2453" xr:uid="{00000000-0005-0000-0000-00002F0E0000}"/>
    <cellStyle name="Normal 12 3 2 6 2" xfId="6737" xr:uid="{00000000-0005-0000-0000-0000300E0000}"/>
    <cellStyle name="Normal 12 3 2 6 2 2" xfId="23620" xr:uid="{C25B781C-48FC-45CA-B58B-FEC3CEA46679}"/>
    <cellStyle name="Normal 12 3 2 6 2 3" xfId="32066" xr:uid="{D31496D2-15DA-4E6B-8BC5-B22557F02565}"/>
    <cellStyle name="Normal 12 3 2 6 2 4" xfId="15179" xr:uid="{E7140C96-29F4-473A-9E74-B7B079E23DA2}"/>
    <cellStyle name="Normal 12 3 2 6 3" xfId="19402" xr:uid="{68B32593-D241-4D4F-AC23-5C5873B5DE64}"/>
    <cellStyle name="Normal 12 3 2 6 4" xfId="27847" xr:uid="{7DB374CA-59E6-4528-892D-275709C6B149}"/>
    <cellStyle name="Normal 12 3 2 6 5" xfId="10961" xr:uid="{E1106E79-4F4E-4E62-84BD-EB2ACC0977A8}"/>
    <cellStyle name="Normal 12 3 2 7" xfId="4671" xr:uid="{00000000-0005-0000-0000-0000310E0000}"/>
    <cellStyle name="Normal 12 3 2 7 2" xfId="21554" xr:uid="{0963DCEC-4E46-4BB1-B23E-12645C213F9B}"/>
    <cellStyle name="Normal 12 3 2 7 3" xfId="30000" xr:uid="{05C99774-B4F4-438D-9B24-1F4D43C64914}"/>
    <cellStyle name="Normal 12 3 2 7 4" xfId="13113" xr:uid="{F99AD637-6729-446C-A667-F78BCAA44CD7}"/>
    <cellStyle name="Normal 12 3 2 8" xfId="17336" xr:uid="{A0EBA879-C9A5-4D9F-BDC4-C9462746599C}"/>
    <cellStyle name="Normal 12 3 2 9" xfId="25780" xr:uid="{8A87324E-5ABC-4AAD-BC29-6268A4EF953F}"/>
    <cellStyle name="Normal 12 3 3" xfId="765" xr:uid="{00000000-0005-0000-0000-0000320E0000}"/>
    <cellStyle name="Normal 12 3 3 2" xfId="3006" xr:uid="{00000000-0005-0000-0000-0000330E0000}"/>
    <cellStyle name="Normal 12 3 3 2 2" xfId="7229" xr:uid="{00000000-0005-0000-0000-0000340E0000}"/>
    <cellStyle name="Normal 12 3 3 2 2 2" xfId="24112" xr:uid="{D5CBBB00-150A-48F2-948C-064BD847F994}"/>
    <cellStyle name="Normal 12 3 3 2 2 3" xfId="32558" xr:uid="{90B755AF-386E-48EE-9A66-69FF8876C76F}"/>
    <cellStyle name="Normal 12 3 3 2 2 4" xfId="15671" xr:uid="{D0847F8B-AFFA-4C24-BACF-014CCA20081E}"/>
    <cellStyle name="Normal 12 3 3 2 3" xfId="19894" xr:uid="{1BB98186-DF5E-4BBA-AEFD-989E77063455}"/>
    <cellStyle name="Normal 12 3 3 2 4" xfId="28341" xr:uid="{2BEDD898-4D27-4355-A7D3-C5BC94FA4B29}"/>
    <cellStyle name="Normal 12 3 3 2 5" xfId="11453" xr:uid="{5FFE44B0-472B-4BAA-B546-C71EBF177245}"/>
    <cellStyle name="Normal 12 3 3 3" xfId="5084" xr:uid="{00000000-0005-0000-0000-0000350E0000}"/>
    <cellStyle name="Normal 12 3 3 3 2" xfId="21967" xr:uid="{373E9466-257B-4D87-AE43-503E36606BED}"/>
    <cellStyle name="Normal 12 3 3 3 3" xfId="30413" xr:uid="{1E5C0B7C-0B4D-49E3-808E-CA931EE2C0C0}"/>
    <cellStyle name="Normal 12 3 3 3 4" xfId="13526" xr:uid="{2CDA3924-BAA2-4832-8961-E9F2B782B4D7}"/>
    <cellStyle name="Normal 12 3 3 4" xfId="17749" xr:uid="{EBA75CC2-DB21-4F17-B16B-0E6887DDFB23}"/>
    <cellStyle name="Normal 12 3 3 5" xfId="26194" xr:uid="{C9EFEB70-E647-43ED-B12D-423277F7A8FF}"/>
    <cellStyle name="Normal 12 3 3 6" xfId="9308" xr:uid="{63ABDFC8-876D-4BBC-84C7-ACC3B6431320}"/>
    <cellStyle name="Normal 12 3 4" xfId="1188" xr:uid="{00000000-0005-0000-0000-0000360E0000}"/>
    <cellStyle name="Normal 12 3 4 2" xfId="3419" xr:uid="{00000000-0005-0000-0000-0000370E0000}"/>
    <cellStyle name="Normal 12 3 4 2 2" xfId="7642" xr:uid="{00000000-0005-0000-0000-0000380E0000}"/>
    <cellStyle name="Normal 12 3 4 2 2 2" xfId="24525" xr:uid="{EC9AD59A-A6A4-4B4D-A5C7-04DC0CF19C56}"/>
    <cellStyle name="Normal 12 3 4 2 2 3" xfId="32971" xr:uid="{A51E0E54-3576-4809-895E-62BC8C0D9D1E}"/>
    <cellStyle name="Normal 12 3 4 2 2 4" xfId="16084" xr:uid="{C05AC964-DCC3-460E-BCBF-0FA4BA1D0F2B}"/>
    <cellStyle name="Normal 12 3 4 2 3" xfId="20307" xr:uid="{86B62944-0C7F-4B65-89E9-7AC0B9C63C80}"/>
    <cellStyle name="Normal 12 3 4 2 4" xfId="28754" xr:uid="{584DAE99-C161-4AAB-AD1B-5B2985034C0D}"/>
    <cellStyle name="Normal 12 3 4 2 5" xfId="11866" xr:uid="{EAECA0D7-2BC0-4E4F-9A16-ACB1E08B9B5E}"/>
    <cellStyle name="Normal 12 3 4 3" xfId="5497" xr:uid="{00000000-0005-0000-0000-0000390E0000}"/>
    <cellStyle name="Normal 12 3 4 3 2" xfId="22380" xr:uid="{A4E8BFA8-383E-481E-94C6-0BE5A059DBA2}"/>
    <cellStyle name="Normal 12 3 4 3 3" xfId="30826" xr:uid="{8EAD5556-2F94-44BD-9983-128B8BA15FD4}"/>
    <cellStyle name="Normal 12 3 4 3 4" xfId="13939" xr:uid="{964834B8-D0AC-459C-A8AB-009A294790FD}"/>
    <cellStyle name="Normal 12 3 4 4" xfId="18162" xr:uid="{551C171F-DDBB-42A5-9F50-269D9DFA54B6}"/>
    <cellStyle name="Normal 12 3 4 5" xfId="26607" xr:uid="{7066AC28-5524-4BF0-ACEB-4D70CB5E3AAA}"/>
    <cellStyle name="Normal 12 3 4 6" xfId="9721" xr:uid="{E3C0D648-C6FD-44E8-9516-D2B2D5E7D181}"/>
    <cellStyle name="Normal 12 3 5" xfId="1602" xr:uid="{00000000-0005-0000-0000-00003A0E0000}"/>
    <cellStyle name="Normal 12 3 5 2" xfId="3832" xr:uid="{00000000-0005-0000-0000-00003B0E0000}"/>
    <cellStyle name="Normal 12 3 5 2 2" xfId="8055" xr:uid="{00000000-0005-0000-0000-00003C0E0000}"/>
    <cellStyle name="Normal 12 3 5 2 2 2" xfId="24938" xr:uid="{86082843-2B25-4A03-9ACB-4D81F247C6BA}"/>
    <cellStyle name="Normal 12 3 5 2 2 3" xfId="33384" xr:uid="{F2F8C466-6515-48A3-8657-D4E2ECCA9F2C}"/>
    <cellStyle name="Normal 12 3 5 2 2 4" xfId="16497" xr:uid="{58CF6250-9CC1-4F17-8DAE-A98676D62499}"/>
    <cellStyle name="Normal 12 3 5 2 3" xfId="20720" xr:uid="{A10A55C5-1265-4D35-A55B-20EC4FAF7530}"/>
    <cellStyle name="Normal 12 3 5 2 4" xfId="29167" xr:uid="{EE06F0BD-6B2B-4388-A30B-C16FC3AF54B4}"/>
    <cellStyle name="Normal 12 3 5 2 5" xfId="12279" xr:uid="{4AD93D52-9117-4778-8B9A-46DF2D04A809}"/>
    <cellStyle name="Normal 12 3 5 3" xfId="5910" xr:uid="{00000000-0005-0000-0000-00003D0E0000}"/>
    <cellStyle name="Normal 12 3 5 3 2" xfId="22793" xr:uid="{80B1FC1B-5AF1-484F-A733-F52C4FE51F7B}"/>
    <cellStyle name="Normal 12 3 5 3 3" xfId="31239" xr:uid="{BE75F3EC-55D7-422E-AB98-80A2D4DD94D2}"/>
    <cellStyle name="Normal 12 3 5 3 4" xfId="14352" xr:uid="{D70A7C6F-B7E6-4191-BD47-145184C30E7C}"/>
    <cellStyle name="Normal 12 3 5 4" xfId="18575" xr:uid="{01E1846D-06B5-47D9-8DFB-EC6A4ECA8319}"/>
    <cellStyle name="Normal 12 3 5 5" xfId="27020" xr:uid="{CAF66071-EF59-4FFC-902B-4F868BD6903A}"/>
    <cellStyle name="Normal 12 3 5 6" xfId="10134" xr:uid="{CD84E3D4-3D2F-4277-8F34-48707886B324}"/>
    <cellStyle name="Normal 12 3 6" xfId="2016" xr:uid="{00000000-0005-0000-0000-00003E0E0000}"/>
    <cellStyle name="Normal 12 3 6 2" xfId="4245" xr:uid="{00000000-0005-0000-0000-00003F0E0000}"/>
    <cellStyle name="Normal 12 3 6 2 2" xfId="8468" xr:uid="{00000000-0005-0000-0000-0000400E0000}"/>
    <cellStyle name="Normal 12 3 6 2 2 2" xfId="25351" xr:uid="{E8A775A6-1D41-4126-8B0E-1B07BB6E3CDD}"/>
    <cellStyle name="Normal 12 3 6 2 2 3" xfId="33797" xr:uid="{6C3EFB23-75E5-4900-A85F-B475A37E45FF}"/>
    <cellStyle name="Normal 12 3 6 2 2 4" xfId="16910" xr:uid="{993A7233-731A-4392-BF1C-321F29CE37AF}"/>
    <cellStyle name="Normal 12 3 6 2 3" xfId="21133" xr:uid="{7F9F0A5B-3FE6-403F-88BE-C14BD5F9DB8C}"/>
    <cellStyle name="Normal 12 3 6 2 4" xfId="29580" xr:uid="{FDB5EA29-80F4-40DD-8AA2-447BFDEF953A}"/>
    <cellStyle name="Normal 12 3 6 2 5" xfId="12692" xr:uid="{0EE73534-947D-4C50-93C1-6A0F9D1FC859}"/>
    <cellStyle name="Normal 12 3 6 3" xfId="6323" xr:uid="{00000000-0005-0000-0000-0000410E0000}"/>
    <cellStyle name="Normal 12 3 6 3 2" xfId="23206" xr:uid="{882641D3-F482-48B1-B54F-796B48F5D5BD}"/>
    <cellStyle name="Normal 12 3 6 3 3" xfId="31652" xr:uid="{6848015F-CDA4-480E-88D2-C0B5C60A5E31}"/>
    <cellStyle name="Normal 12 3 6 3 4" xfId="14765" xr:uid="{B6E062AA-17DC-473C-B6C9-E351656C789A}"/>
    <cellStyle name="Normal 12 3 6 4" xfId="18988" xr:uid="{965BD720-5E5F-494A-9132-20BD1340B259}"/>
    <cellStyle name="Normal 12 3 6 5" xfId="27433" xr:uid="{59C5920F-555B-46F6-970D-69C34E2E336F}"/>
    <cellStyle name="Normal 12 3 6 6" xfId="10547" xr:uid="{E745715D-DC31-446A-ACCB-814695E6A992}"/>
    <cellStyle name="Normal 12 3 7" xfId="2452" xr:uid="{00000000-0005-0000-0000-0000420E0000}"/>
    <cellStyle name="Normal 12 3 7 2" xfId="6736" xr:uid="{00000000-0005-0000-0000-0000430E0000}"/>
    <cellStyle name="Normal 12 3 7 2 2" xfId="23619" xr:uid="{8E15D9AE-1CC6-4D24-B9B6-819E229077ED}"/>
    <cellStyle name="Normal 12 3 7 2 3" xfId="32065" xr:uid="{1C791F67-13AE-4F64-B49C-1B1A2CDFAE09}"/>
    <cellStyle name="Normal 12 3 7 2 4" xfId="15178" xr:uid="{CC3082EC-5DD2-40B8-BC87-B59D016C3D2A}"/>
    <cellStyle name="Normal 12 3 7 3" xfId="19401" xr:uid="{E6D5ED30-F9CC-4449-9757-C38BFFEB56BB}"/>
    <cellStyle name="Normal 12 3 7 4" xfId="27846" xr:uid="{C6EB70CA-9AA0-4CD7-85A1-2117E2FADAD0}"/>
    <cellStyle name="Normal 12 3 7 5" xfId="10960" xr:uid="{C8CA9B4E-0BF2-4895-9E32-A176013B4AF7}"/>
    <cellStyle name="Normal 12 3 8" xfId="4670" xr:uid="{00000000-0005-0000-0000-0000440E0000}"/>
    <cellStyle name="Normal 12 3 8 2" xfId="21553" xr:uid="{00AD3B4B-8036-469C-AF5D-7E73B5137D9D}"/>
    <cellStyle name="Normal 12 3 8 3" xfId="29999" xr:uid="{E7034A04-604D-4F6A-8E1C-9D7A126332CA}"/>
    <cellStyle name="Normal 12 3 8 4" xfId="13112" xr:uid="{15B6CBAD-8223-4BA4-B7C9-B95A619F5CF7}"/>
    <cellStyle name="Normal 12 3 9" xfId="17335" xr:uid="{9C01BF84-7192-4B4D-BE69-7E1E9787EF4E}"/>
    <cellStyle name="Normal 12 4" xfId="266" xr:uid="{00000000-0005-0000-0000-0000450E0000}"/>
    <cellStyle name="Normal 12 4 10" xfId="8896" xr:uid="{48A0ABF0-AFF6-4410-AAC8-B58E71BF32B3}"/>
    <cellStyle name="Normal 12 4 2" xfId="767" xr:uid="{00000000-0005-0000-0000-0000460E0000}"/>
    <cellStyle name="Normal 12 4 2 2" xfId="3008" xr:uid="{00000000-0005-0000-0000-0000470E0000}"/>
    <cellStyle name="Normal 12 4 2 2 2" xfId="7231" xr:uid="{00000000-0005-0000-0000-0000480E0000}"/>
    <cellStyle name="Normal 12 4 2 2 2 2" xfId="24114" xr:uid="{CFE4C559-C17E-436A-B0B1-B8F4037B9EE6}"/>
    <cellStyle name="Normal 12 4 2 2 2 3" xfId="32560" xr:uid="{AD94160F-A1F6-4DCA-8C30-B3ABA615FA90}"/>
    <cellStyle name="Normal 12 4 2 2 2 4" xfId="15673" xr:uid="{321D5B77-BEF4-4B63-B519-B8B3C2D01D2E}"/>
    <cellStyle name="Normal 12 4 2 2 3" xfId="19896" xr:uid="{04A50C99-8C75-432E-AF99-6AA0639CF21C}"/>
    <cellStyle name="Normal 12 4 2 2 4" xfId="28343" xr:uid="{CEF9267D-324A-4634-BB69-78FB315799FF}"/>
    <cellStyle name="Normal 12 4 2 2 5" xfId="11455" xr:uid="{F0323704-AC09-46BC-8EC0-5A50B14BB503}"/>
    <cellStyle name="Normal 12 4 2 3" xfId="5086" xr:uid="{00000000-0005-0000-0000-0000490E0000}"/>
    <cellStyle name="Normal 12 4 2 3 2" xfId="21969" xr:uid="{33492015-35F8-473A-8AE7-3B9FAFF5F7F9}"/>
    <cellStyle name="Normal 12 4 2 3 3" xfId="30415" xr:uid="{71F032F5-956A-4E31-875B-35BD4573CEEA}"/>
    <cellStyle name="Normal 12 4 2 3 4" xfId="13528" xr:uid="{897CA7CB-E0B3-4903-8919-F52CE62C9C80}"/>
    <cellStyle name="Normal 12 4 2 4" xfId="17751" xr:uid="{EF15AD01-22AC-4301-B85C-3D1BBC88FDA5}"/>
    <cellStyle name="Normal 12 4 2 5" xfId="26196" xr:uid="{5E16F7CE-3939-4FDD-ADBB-B949C9B7CA5C}"/>
    <cellStyle name="Normal 12 4 2 6" xfId="9310" xr:uid="{5CE34B15-7E54-4959-A420-6369206C7A99}"/>
    <cellStyle name="Normal 12 4 3" xfId="1190" xr:uid="{00000000-0005-0000-0000-00004A0E0000}"/>
    <cellStyle name="Normal 12 4 3 2" xfId="3421" xr:uid="{00000000-0005-0000-0000-00004B0E0000}"/>
    <cellStyle name="Normal 12 4 3 2 2" xfId="7644" xr:uid="{00000000-0005-0000-0000-00004C0E0000}"/>
    <cellStyle name="Normal 12 4 3 2 2 2" xfId="24527" xr:uid="{ACEDD217-21AD-4E07-B246-F7682088E8B5}"/>
    <cellStyle name="Normal 12 4 3 2 2 3" xfId="32973" xr:uid="{25B67738-9518-44D3-B390-8AD9DB3E0E69}"/>
    <cellStyle name="Normal 12 4 3 2 2 4" xfId="16086" xr:uid="{9F341AF0-1AC7-4CAB-A4F5-F3D31348ED65}"/>
    <cellStyle name="Normal 12 4 3 2 3" xfId="20309" xr:uid="{06D0E007-5DCD-4BA0-9967-9EA657937C67}"/>
    <cellStyle name="Normal 12 4 3 2 4" xfId="28756" xr:uid="{EC14E6D4-421A-42DA-A94F-DB88663CC12F}"/>
    <cellStyle name="Normal 12 4 3 2 5" xfId="11868" xr:uid="{84200E4B-362B-4986-95B5-99FD3140E4B7}"/>
    <cellStyle name="Normal 12 4 3 3" xfId="5499" xr:uid="{00000000-0005-0000-0000-00004D0E0000}"/>
    <cellStyle name="Normal 12 4 3 3 2" xfId="22382" xr:uid="{91D06E16-4ACA-4B81-A2D3-819CFB8B3959}"/>
    <cellStyle name="Normal 12 4 3 3 3" xfId="30828" xr:uid="{D95D3DE6-043A-4F7C-BEAA-0432CDAE6C9A}"/>
    <cellStyle name="Normal 12 4 3 3 4" xfId="13941" xr:uid="{BA1C23F7-2622-439D-A324-FA1E3AD19881}"/>
    <cellStyle name="Normal 12 4 3 4" xfId="18164" xr:uid="{160A5145-3679-46CE-BDC6-C0CD06BEF4AF}"/>
    <cellStyle name="Normal 12 4 3 5" xfId="26609" xr:uid="{083BD15C-8403-4AA8-A503-B3D42624EB4E}"/>
    <cellStyle name="Normal 12 4 3 6" xfId="9723" xr:uid="{13AF3C2C-7482-4A94-B978-8F8A1E97F6D0}"/>
    <cellStyle name="Normal 12 4 4" xfId="1604" xr:uid="{00000000-0005-0000-0000-00004E0E0000}"/>
    <cellStyle name="Normal 12 4 4 2" xfId="3834" xr:uid="{00000000-0005-0000-0000-00004F0E0000}"/>
    <cellStyle name="Normal 12 4 4 2 2" xfId="8057" xr:uid="{00000000-0005-0000-0000-0000500E0000}"/>
    <cellStyle name="Normal 12 4 4 2 2 2" xfId="24940" xr:uid="{121B2724-A47C-4323-B812-8BC9F9557F06}"/>
    <cellStyle name="Normal 12 4 4 2 2 3" xfId="33386" xr:uid="{3031FB83-D0C3-44F4-9173-0B194A54BF8A}"/>
    <cellStyle name="Normal 12 4 4 2 2 4" xfId="16499" xr:uid="{504DCC6E-478A-4ADB-B259-B0F95C8DD72B}"/>
    <cellStyle name="Normal 12 4 4 2 3" xfId="20722" xr:uid="{26F0C0DC-46FD-45DC-A6FB-0C683EFE95EF}"/>
    <cellStyle name="Normal 12 4 4 2 4" xfId="29169" xr:uid="{A7CD0753-F395-43BE-ABBA-C80A4402EBCC}"/>
    <cellStyle name="Normal 12 4 4 2 5" xfId="12281" xr:uid="{8AA649CF-B2D1-4B57-8A27-C41B398CBDE8}"/>
    <cellStyle name="Normal 12 4 4 3" xfId="5912" xr:uid="{00000000-0005-0000-0000-0000510E0000}"/>
    <cellStyle name="Normal 12 4 4 3 2" xfId="22795" xr:uid="{7BCA9F89-9F85-40DF-8247-D725F14FCE9A}"/>
    <cellStyle name="Normal 12 4 4 3 3" xfId="31241" xr:uid="{040BED40-778D-4974-BCEE-74A3DDEF658B}"/>
    <cellStyle name="Normal 12 4 4 3 4" xfId="14354" xr:uid="{59266B54-D511-4F0F-82BA-FFC0E7F31A1C}"/>
    <cellStyle name="Normal 12 4 4 4" xfId="18577" xr:uid="{8A5F5127-B9E3-4648-8EE1-63F310B41EB8}"/>
    <cellStyle name="Normal 12 4 4 5" xfId="27022" xr:uid="{F33906B6-EAA8-411D-8399-22D6DB4F52F4}"/>
    <cellStyle name="Normal 12 4 4 6" xfId="10136" xr:uid="{1D54B76E-B501-4EAE-BA9C-19D43F0E6CCB}"/>
    <cellStyle name="Normal 12 4 5" xfId="2018" xr:uid="{00000000-0005-0000-0000-0000520E0000}"/>
    <cellStyle name="Normal 12 4 5 2" xfId="4247" xr:uid="{00000000-0005-0000-0000-0000530E0000}"/>
    <cellStyle name="Normal 12 4 5 2 2" xfId="8470" xr:uid="{00000000-0005-0000-0000-0000540E0000}"/>
    <cellStyle name="Normal 12 4 5 2 2 2" xfId="25353" xr:uid="{8CCA198F-AE3C-4F05-AB44-F571BC24414A}"/>
    <cellStyle name="Normal 12 4 5 2 2 3" xfId="33799" xr:uid="{43182ED5-C97B-446A-8582-34ADEE191285}"/>
    <cellStyle name="Normal 12 4 5 2 2 4" xfId="16912" xr:uid="{3EAFDAB6-F62A-452D-9949-7D68A86EDE9B}"/>
    <cellStyle name="Normal 12 4 5 2 3" xfId="21135" xr:uid="{E7609852-C8E3-4080-9796-4F7841E79073}"/>
    <cellStyle name="Normal 12 4 5 2 4" xfId="29582" xr:uid="{93DB4219-DA19-4D74-8A52-5288404E27D3}"/>
    <cellStyle name="Normal 12 4 5 2 5" xfId="12694" xr:uid="{4F4ABA3F-15C9-4231-8AAF-5AE09BE20581}"/>
    <cellStyle name="Normal 12 4 5 3" xfId="6325" xr:uid="{00000000-0005-0000-0000-0000550E0000}"/>
    <cellStyle name="Normal 12 4 5 3 2" xfId="23208" xr:uid="{B579AF79-0DA2-479C-A697-947E7FBB9E30}"/>
    <cellStyle name="Normal 12 4 5 3 3" xfId="31654" xr:uid="{B7A08B88-B4D0-495E-BA06-C348B1AA3384}"/>
    <cellStyle name="Normal 12 4 5 3 4" xfId="14767" xr:uid="{F225E219-3E18-433A-A96D-C94CBED837CD}"/>
    <cellStyle name="Normal 12 4 5 4" xfId="18990" xr:uid="{39C7F4B9-738A-41D9-A444-A457BD6D4B61}"/>
    <cellStyle name="Normal 12 4 5 5" xfId="27435" xr:uid="{6085B7FE-5B6C-4FF6-BD03-D7BED4603A58}"/>
    <cellStyle name="Normal 12 4 5 6" xfId="10549" xr:uid="{14524C31-1DAF-4F79-9C1E-C9366A29A30F}"/>
    <cellStyle name="Normal 12 4 6" xfId="2454" xr:uid="{00000000-0005-0000-0000-0000560E0000}"/>
    <cellStyle name="Normal 12 4 6 2" xfId="6738" xr:uid="{00000000-0005-0000-0000-0000570E0000}"/>
    <cellStyle name="Normal 12 4 6 2 2" xfId="23621" xr:uid="{2F9D2EE6-8C5F-47E7-BA6D-096F504D5A57}"/>
    <cellStyle name="Normal 12 4 6 2 3" xfId="32067" xr:uid="{398E8CD2-891F-449D-BB4D-FD1C1C80C412}"/>
    <cellStyle name="Normal 12 4 6 2 4" xfId="15180" xr:uid="{4B8F7860-6BE6-4C9E-BE68-A8BE6213862E}"/>
    <cellStyle name="Normal 12 4 6 3" xfId="19403" xr:uid="{0A4C53CB-1F82-4306-9C9E-277E5C498644}"/>
    <cellStyle name="Normal 12 4 6 4" xfId="27848" xr:uid="{06A788C7-BC9C-49D0-BCDE-1B41A068BD58}"/>
    <cellStyle name="Normal 12 4 6 5" xfId="10962" xr:uid="{3F417900-92D9-47EA-AD20-BDE1E25E4F6D}"/>
    <cellStyle name="Normal 12 4 7" xfId="4672" xr:uid="{00000000-0005-0000-0000-0000580E0000}"/>
    <cellStyle name="Normal 12 4 7 2" xfId="21555" xr:uid="{AFFE1DBB-09F2-419D-861D-E4ADA6FE60D4}"/>
    <cellStyle name="Normal 12 4 7 3" xfId="30001" xr:uid="{5DACB7DC-2B8A-48BB-BFD7-ACCE5014C6D6}"/>
    <cellStyle name="Normal 12 4 7 4" xfId="13114" xr:uid="{8FF916D1-C15C-4396-A6ED-95F6E0267487}"/>
    <cellStyle name="Normal 12 4 8" xfId="17337" xr:uid="{D5AB084B-D44A-4433-9C9B-A63C30FAFDA2}"/>
    <cellStyle name="Normal 12 4 9" xfId="25781" xr:uid="{5266E5CA-A600-434A-A746-2BE06F84995A}"/>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24107" xr:uid="{799E6AD3-87B6-40B0-874F-3C1DB1EA2EF8}"/>
    <cellStyle name="Normal 12 6 2 2 3" xfId="32553" xr:uid="{5E266B53-4A36-4E1F-9C95-200AD7CDF761}"/>
    <cellStyle name="Normal 12 6 2 2 4" xfId="15666" xr:uid="{6F40178D-6670-442C-93A9-4DFB8833D6AF}"/>
    <cellStyle name="Normal 12 6 2 3" xfId="19889" xr:uid="{6E0C11C8-A1E5-4006-B63B-2C716930B398}"/>
    <cellStyle name="Normal 12 6 2 4" xfId="28336" xr:uid="{C7085E4E-102F-47C6-A362-056BF54D1C10}"/>
    <cellStyle name="Normal 12 6 2 5" xfId="11448" xr:uid="{185518BC-7A48-4EBF-A8C1-9730C6965BA3}"/>
    <cellStyle name="Normal 12 6 3" xfId="5079" xr:uid="{00000000-0005-0000-0000-00005D0E0000}"/>
    <cellStyle name="Normal 12 6 3 2" xfId="21962" xr:uid="{8D0E52E5-5712-4C95-ACE1-AEA2FF057EEC}"/>
    <cellStyle name="Normal 12 6 3 3" xfId="30408" xr:uid="{D43F65C2-2508-432F-B01D-AD1FA981DC70}"/>
    <cellStyle name="Normal 12 6 3 4" xfId="13521" xr:uid="{96E40CB9-8337-43DA-9FF0-F388303C7BC2}"/>
    <cellStyle name="Normal 12 6 4" xfId="17744" xr:uid="{82CEA776-C23C-4143-978E-BBA00E83B59A}"/>
    <cellStyle name="Normal 12 6 5" xfId="26189" xr:uid="{E2F82AB2-AA6F-445A-BF58-15BDB917F6E6}"/>
    <cellStyle name="Normal 12 6 6" xfId="9303" xr:uid="{8B0F791D-0A4A-4F9A-BB43-73ACE9318AE5}"/>
    <cellStyle name="Normal 12 7" xfId="1183" xr:uid="{00000000-0005-0000-0000-00005E0E0000}"/>
    <cellStyle name="Normal 12 7 2" xfId="3414" xr:uid="{00000000-0005-0000-0000-00005F0E0000}"/>
    <cellStyle name="Normal 12 7 2 2" xfId="7637" xr:uid="{00000000-0005-0000-0000-0000600E0000}"/>
    <cellStyle name="Normal 12 7 2 2 2" xfId="24520" xr:uid="{BE857B1F-695E-48F6-B8D2-3BBB839E5B86}"/>
    <cellStyle name="Normal 12 7 2 2 3" xfId="32966" xr:uid="{426A47E9-8E96-4465-AD2E-D83A41BC8ED6}"/>
    <cellStyle name="Normal 12 7 2 2 4" xfId="16079" xr:uid="{018FD4A8-7F83-4DED-AF6D-6D1F0BE77521}"/>
    <cellStyle name="Normal 12 7 2 3" xfId="20302" xr:uid="{742FABCD-68AF-4D94-8160-EE86F929A7D5}"/>
    <cellStyle name="Normal 12 7 2 4" xfId="28749" xr:uid="{58AFFFDB-4405-41E5-B2B9-237414067812}"/>
    <cellStyle name="Normal 12 7 2 5" xfId="11861" xr:uid="{B8A42860-5DB7-4678-B6A0-55B0EF0E6634}"/>
    <cellStyle name="Normal 12 7 3" xfId="5492" xr:uid="{00000000-0005-0000-0000-0000610E0000}"/>
    <cellStyle name="Normal 12 7 3 2" xfId="22375" xr:uid="{5BBB19EA-1D00-499E-A13F-FCF6A18237A8}"/>
    <cellStyle name="Normal 12 7 3 3" xfId="30821" xr:uid="{154CAFF1-4348-4723-87DA-C0E95D75B635}"/>
    <cellStyle name="Normal 12 7 3 4" xfId="13934" xr:uid="{DA54686E-F4BB-4851-8581-D5038A7A13D0}"/>
    <cellStyle name="Normal 12 7 4" xfId="18157" xr:uid="{277DA13A-ADD0-46FE-AB57-0333245A94E0}"/>
    <cellStyle name="Normal 12 7 5" xfId="26602" xr:uid="{62E2D495-E980-4170-AE6A-EFDD54A54463}"/>
    <cellStyle name="Normal 12 7 6" xfId="9716" xr:uid="{01AB9125-9F4F-4E8A-926D-CEF0EABF8563}"/>
    <cellStyle name="Normal 12 8" xfId="1597" xr:uid="{00000000-0005-0000-0000-0000620E0000}"/>
    <cellStyle name="Normal 12 8 2" xfId="3827" xr:uid="{00000000-0005-0000-0000-0000630E0000}"/>
    <cellStyle name="Normal 12 8 2 2" xfId="8050" xr:uid="{00000000-0005-0000-0000-0000640E0000}"/>
    <cellStyle name="Normal 12 8 2 2 2" xfId="24933" xr:uid="{52406AF4-543F-43B3-825B-8BE0150D9FA4}"/>
    <cellStyle name="Normal 12 8 2 2 3" xfId="33379" xr:uid="{5AE1A6C6-F243-4A45-A181-32A3145792BF}"/>
    <cellStyle name="Normal 12 8 2 2 4" xfId="16492" xr:uid="{5788B9CC-9BC2-475E-9D3E-A1782AB3A0D7}"/>
    <cellStyle name="Normal 12 8 2 3" xfId="20715" xr:uid="{C905C660-FA3D-4EA1-BECC-BA28E328728C}"/>
    <cellStyle name="Normal 12 8 2 4" xfId="29162" xr:uid="{7FB02A58-1D76-42BC-8646-EC6C8B327853}"/>
    <cellStyle name="Normal 12 8 2 5" xfId="12274" xr:uid="{3884F169-5E57-4D83-95DF-4E9A43D793DD}"/>
    <cellStyle name="Normal 12 8 3" xfId="5905" xr:uid="{00000000-0005-0000-0000-0000650E0000}"/>
    <cellStyle name="Normal 12 8 3 2" xfId="22788" xr:uid="{ED1B8339-35EE-46EA-9FD8-A040A174DB98}"/>
    <cellStyle name="Normal 12 8 3 3" xfId="31234" xr:uid="{EB9B32DD-EEF9-4442-A9CC-9AAA0004A857}"/>
    <cellStyle name="Normal 12 8 3 4" xfId="14347" xr:uid="{01F8F9D6-F761-46E7-93D0-AB39C59DB072}"/>
    <cellStyle name="Normal 12 8 4" xfId="18570" xr:uid="{F7BCF4B4-C3ED-4043-95E6-E820A8489448}"/>
    <cellStyle name="Normal 12 8 5" xfId="27015" xr:uid="{D466A809-E7D4-43EA-93A1-C7505DEA606F}"/>
    <cellStyle name="Normal 12 8 6" xfId="10129" xr:uid="{94A95367-23D6-492C-97ED-3220288120B4}"/>
    <cellStyle name="Normal 12 9" xfId="2011" xr:uid="{00000000-0005-0000-0000-0000660E0000}"/>
    <cellStyle name="Normal 12 9 2" xfId="4240" xr:uid="{00000000-0005-0000-0000-0000670E0000}"/>
    <cellStyle name="Normal 12 9 2 2" xfId="8463" xr:uid="{00000000-0005-0000-0000-0000680E0000}"/>
    <cellStyle name="Normal 12 9 2 2 2" xfId="25346" xr:uid="{9E5FCE73-5693-4632-84D5-F4DE7ED82B2C}"/>
    <cellStyle name="Normal 12 9 2 2 3" xfId="33792" xr:uid="{71032817-4328-49B4-B089-4F5B06659F95}"/>
    <cellStyle name="Normal 12 9 2 2 4" xfId="16905" xr:uid="{9DA88EB5-69F0-4404-8FB4-29F170F0BAE3}"/>
    <cellStyle name="Normal 12 9 2 3" xfId="21128" xr:uid="{87246EE2-2672-4D70-AC23-542F8A780F51}"/>
    <cellStyle name="Normal 12 9 2 4" xfId="29575" xr:uid="{5CDDACDA-091A-4B7D-A06D-C2511DA6642E}"/>
    <cellStyle name="Normal 12 9 2 5" xfId="12687" xr:uid="{60DE7F85-22A9-435B-8A6F-F893CB58605D}"/>
    <cellStyle name="Normal 12 9 3" xfId="6318" xr:uid="{00000000-0005-0000-0000-0000690E0000}"/>
    <cellStyle name="Normal 12 9 3 2" xfId="23201" xr:uid="{2A975276-B47C-463E-97F9-977B5F4E9DE9}"/>
    <cellStyle name="Normal 12 9 3 3" xfId="31647" xr:uid="{D91AE1D1-A382-4BB0-8C8D-42EE4BE02C65}"/>
    <cellStyle name="Normal 12 9 3 4" xfId="14760" xr:uid="{CB3C5A12-17F8-4F73-9523-798D83CE7ED0}"/>
    <cellStyle name="Normal 12 9 4" xfId="18983" xr:uid="{A454D126-440C-4367-9789-4CA70F20ACFE}"/>
    <cellStyle name="Normal 12 9 5" xfId="27428" xr:uid="{E26C7A84-E9EB-4930-B86C-7198C8245E7C}"/>
    <cellStyle name="Normal 12 9 6" xfId="10542" xr:uid="{C0D9C6AC-28F4-4949-9393-4958284B8DD0}"/>
    <cellStyle name="Normal 12_Dropdowns" xfId="34080" xr:uid="{D016138B-6F1B-4F7A-8F74-8BEBA0B5BE53}"/>
    <cellStyle name="Normal 13" xfId="268" xr:uid="{00000000-0005-0000-0000-00006A0E0000}"/>
    <cellStyle name="Normal 13 2" xfId="269" xr:uid="{00000000-0005-0000-0000-00006B0E0000}"/>
    <cellStyle name="Normal 13 2 2" xfId="34176" xr:uid="{568081F1-140B-4365-830A-E8B1CA299E31}"/>
    <cellStyle name="Normal 13 3" xfId="34184" xr:uid="{2CF7F793-B3DC-485B-8524-39FD336A2511}"/>
    <cellStyle name="Normal 14" xfId="270" xr:uid="{00000000-0005-0000-0000-00006C0E0000}"/>
    <cellStyle name="Normal 14 10" xfId="34172" xr:uid="{01B5BBDA-DB0B-4BA2-8A6B-8AB6E09D61AD}"/>
    <cellStyle name="Normal 14 11" xfId="8897" xr:uid="{F8A33AD2-CE9D-41C6-8D92-8EE6CCD5615E}"/>
    <cellStyle name="Normal 14 2" xfId="768" xr:uid="{00000000-0005-0000-0000-00006D0E0000}"/>
    <cellStyle name="Normal 14 2 2" xfId="3009" xr:uid="{00000000-0005-0000-0000-00006E0E0000}"/>
    <cellStyle name="Normal 14 2 2 2" xfId="7232" xr:uid="{00000000-0005-0000-0000-00006F0E0000}"/>
    <cellStyle name="Normal 14 2 2 2 2" xfId="24115" xr:uid="{9023C9AF-4F6E-429C-95F4-38C5D545D84F}"/>
    <cellStyle name="Normal 14 2 2 2 3" xfId="32561" xr:uid="{B34A3DA6-5A7C-461E-9F2F-FCD098EA4217}"/>
    <cellStyle name="Normal 14 2 2 2 4" xfId="15674" xr:uid="{CD207D1E-4293-4E91-9DFB-EDC113FC1485}"/>
    <cellStyle name="Normal 14 2 2 3" xfId="19897" xr:uid="{7E79C14F-C876-43DE-BE63-B1350A74CA31}"/>
    <cellStyle name="Normal 14 2 2 4" xfId="28344" xr:uid="{FAD58A8A-B8D1-47FF-87AC-D72D72CC50DE}"/>
    <cellStyle name="Normal 14 2 2 5" xfId="11456" xr:uid="{4EF831D5-BB48-4BAA-BAEB-28A23A4C1A2D}"/>
    <cellStyle name="Normal 14 2 3" xfId="5087" xr:uid="{00000000-0005-0000-0000-0000700E0000}"/>
    <cellStyle name="Normal 14 2 3 2" xfId="21970" xr:uid="{FB99083E-1995-42BA-AA4F-3BF5BF6E3EAA}"/>
    <cellStyle name="Normal 14 2 3 3" xfId="30416" xr:uid="{2C2EF0AF-C3E7-457E-A43D-49586460A415}"/>
    <cellStyle name="Normal 14 2 3 4" xfId="13529" xr:uid="{C1FA85F8-16D8-4786-949B-21DF46B00656}"/>
    <cellStyle name="Normal 14 2 4" xfId="17752" xr:uid="{980EE336-6462-45EC-9498-2F3B217B6EF9}"/>
    <cellStyle name="Normal 14 2 5" xfId="26197" xr:uid="{8B691B53-18AE-434F-9299-AB53F637C5E8}"/>
    <cellStyle name="Normal 14 2 6" xfId="34196" xr:uid="{DE18D122-058A-4986-86A8-006A1D971200}"/>
    <cellStyle name="Normal 14 2 7" xfId="9311" xr:uid="{A88827B8-2FA2-4066-BDC8-CDA447C5E50A}"/>
    <cellStyle name="Normal 14 3" xfId="1191" xr:uid="{00000000-0005-0000-0000-0000710E0000}"/>
    <cellStyle name="Normal 14 3 2" xfId="3422" xr:uid="{00000000-0005-0000-0000-0000720E0000}"/>
    <cellStyle name="Normal 14 3 2 2" xfId="7645" xr:uid="{00000000-0005-0000-0000-0000730E0000}"/>
    <cellStyle name="Normal 14 3 2 2 2" xfId="24528" xr:uid="{410F9A07-C93D-454A-A804-FB5817E94C20}"/>
    <cellStyle name="Normal 14 3 2 2 3" xfId="32974" xr:uid="{1ECE6284-266C-441B-A432-BD27E89517A8}"/>
    <cellStyle name="Normal 14 3 2 2 4" xfId="16087" xr:uid="{B8DE6421-E3DC-4521-9008-11F82D37CA96}"/>
    <cellStyle name="Normal 14 3 2 3" xfId="20310" xr:uid="{7F99B04E-5653-4939-82DD-8747CEC7B79B}"/>
    <cellStyle name="Normal 14 3 2 4" xfId="28757" xr:uid="{B2C5596B-4928-4CBD-B749-C4E82D5AA03C}"/>
    <cellStyle name="Normal 14 3 2 5" xfId="11869" xr:uid="{96D645D1-ADDF-4DE5-BE48-488570E84766}"/>
    <cellStyle name="Normal 14 3 3" xfId="5500" xr:uid="{00000000-0005-0000-0000-0000740E0000}"/>
    <cellStyle name="Normal 14 3 3 2" xfId="22383" xr:uid="{872BB4CE-BBAD-49D4-861D-3AD949D65566}"/>
    <cellStyle name="Normal 14 3 3 3" xfId="30829" xr:uid="{717E60B8-C78A-4736-917A-EF9913041281}"/>
    <cellStyle name="Normal 14 3 3 4" xfId="13942" xr:uid="{1E46A963-F919-4F13-B75B-5940D01F44C3}"/>
    <cellStyle name="Normal 14 3 4" xfId="18165" xr:uid="{CD75D35A-1CBF-4820-8CB7-8EB2C056571C}"/>
    <cellStyle name="Normal 14 3 5" xfId="26610" xr:uid="{326C1ADD-6632-431D-AD6D-283597CF689F}"/>
    <cellStyle name="Normal 14 3 6" xfId="9724" xr:uid="{0449A332-129F-41F8-AD5D-8C0DB557546F}"/>
    <cellStyle name="Normal 14 4" xfId="1605" xr:uid="{00000000-0005-0000-0000-0000750E0000}"/>
    <cellStyle name="Normal 14 4 2" xfId="3835" xr:uid="{00000000-0005-0000-0000-0000760E0000}"/>
    <cellStyle name="Normal 14 4 2 2" xfId="8058" xr:uid="{00000000-0005-0000-0000-0000770E0000}"/>
    <cellStyle name="Normal 14 4 2 2 2" xfId="24941" xr:uid="{B3EE1217-4EE9-48BD-82F9-E762014C350C}"/>
    <cellStyle name="Normal 14 4 2 2 3" xfId="33387" xr:uid="{A389944A-DEA6-4ACD-B982-D366ED64C98A}"/>
    <cellStyle name="Normal 14 4 2 2 4" xfId="16500" xr:uid="{56FA2996-C762-4F39-A38E-7B11B73C6DC0}"/>
    <cellStyle name="Normal 14 4 2 3" xfId="20723" xr:uid="{D4AECFFA-BD5A-49F8-A650-25B144ACB9A7}"/>
    <cellStyle name="Normal 14 4 2 4" xfId="29170" xr:uid="{82E5F8A1-2C19-446E-BBA7-22CFA39E71C4}"/>
    <cellStyle name="Normal 14 4 2 5" xfId="12282" xr:uid="{8D5CF8CF-9FF1-41A4-B34F-C53CD572EB13}"/>
    <cellStyle name="Normal 14 4 3" xfId="5913" xr:uid="{00000000-0005-0000-0000-0000780E0000}"/>
    <cellStyle name="Normal 14 4 3 2" xfId="22796" xr:uid="{0684D5A2-FC9E-41B3-ADC6-3BE1EE08A061}"/>
    <cellStyle name="Normal 14 4 3 3" xfId="31242" xr:uid="{71E65B87-7F6A-4D81-9185-63FCEDED3207}"/>
    <cellStyle name="Normal 14 4 3 4" xfId="14355" xr:uid="{4EBC0658-7878-436D-B3ED-5EAEDD3F64F3}"/>
    <cellStyle name="Normal 14 4 4" xfId="18578" xr:uid="{99F8EC9F-9F86-4DEE-B186-6A1C0B8C8EEB}"/>
    <cellStyle name="Normal 14 4 5" xfId="27023" xr:uid="{57D6911E-247D-4653-AD3A-55E39A939B2C}"/>
    <cellStyle name="Normal 14 4 6" xfId="10137" xr:uid="{BB23BFCF-6C0A-467F-B136-56889D20973F}"/>
    <cellStyle name="Normal 14 5" xfId="2019" xr:uid="{00000000-0005-0000-0000-0000790E0000}"/>
    <cellStyle name="Normal 14 5 2" xfId="4248" xr:uid="{00000000-0005-0000-0000-00007A0E0000}"/>
    <cellStyle name="Normal 14 5 2 2" xfId="8471" xr:uid="{00000000-0005-0000-0000-00007B0E0000}"/>
    <cellStyle name="Normal 14 5 2 2 2" xfId="25354" xr:uid="{87B37B06-D555-450D-9058-1F85FAE17138}"/>
    <cellStyle name="Normal 14 5 2 2 3" xfId="33800" xr:uid="{8713E4BC-E857-4ACB-8376-914234B36AD6}"/>
    <cellStyle name="Normal 14 5 2 2 4" xfId="16913" xr:uid="{D2D17CBE-1452-49EF-975E-B22CFDEAD1DF}"/>
    <cellStyle name="Normal 14 5 2 3" xfId="21136" xr:uid="{BF46AAB5-93F9-42C4-B7ED-C568E0D09989}"/>
    <cellStyle name="Normal 14 5 2 4" xfId="29583" xr:uid="{A23EFED8-64F6-4E47-9BBC-03227AD94A9F}"/>
    <cellStyle name="Normal 14 5 2 5" xfId="12695" xr:uid="{2DEA3E0A-98C7-4BB6-B97D-D12FFCC68DC9}"/>
    <cellStyle name="Normal 14 5 3" xfId="6326" xr:uid="{00000000-0005-0000-0000-00007C0E0000}"/>
    <cellStyle name="Normal 14 5 3 2" xfId="23209" xr:uid="{A1856759-F131-492A-895F-E1EB6BB9A752}"/>
    <cellStyle name="Normal 14 5 3 3" xfId="31655" xr:uid="{14A0A486-FE5D-4E6F-B951-B2CA216F570F}"/>
    <cellStyle name="Normal 14 5 3 4" xfId="14768" xr:uid="{D904F8E1-D620-4F4D-8FEF-1F046A19E5C0}"/>
    <cellStyle name="Normal 14 5 4" xfId="18991" xr:uid="{4B756575-BD30-4B8D-8C16-82DDFCF43979}"/>
    <cellStyle name="Normal 14 5 5" xfId="27436" xr:uid="{3A34407E-9FA3-4947-A06C-7B9A946D3616}"/>
    <cellStyle name="Normal 14 5 6" xfId="10550" xr:uid="{611B9916-BABC-4DE9-89A7-7022FDD0882C}"/>
    <cellStyle name="Normal 14 6" xfId="2455" xr:uid="{00000000-0005-0000-0000-00007D0E0000}"/>
    <cellStyle name="Normal 14 6 2" xfId="6739" xr:uid="{00000000-0005-0000-0000-00007E0E0000}"/>
    <cellStyle name="Normal 14 6 2 2" xfId="23622" xr:uid="{196BAC04-D899-4889-86CB-26E7950DBF7A}"/>
    <cellStyle name="Normal 14 6 2 3" xfId="32068" xr:uid="{30569F9A-1BB7-43B5-A2A1-14EF03B7A772}"/>
    <cellStyle name="Normal 14 6 2 4" xfId="15181" xr:uid="{2E4EDECB-ED00-421B-BFA2-D68FAD273D1E}"/>
    <cellStyle name="Normal 14 6 3" xfId="19404" xr:uid="{F97E54CC-6472-4FBE-91EC-FBAA6DCB96C0}"/>
    <cellStyle name="Normal 14 6 4" xfId="27849" xr:uid="{9A4AD21C-A816-496F-9D73-E4EED6D2384E}"/>
    <cellStyle name="Normal 14 6 5" xfId="10963" xr:uid="{7CFDBAD8-ADD8-47A2-8325-A210EAF95BF9}"/>
    <cellStyle name="Normal 14 7" xfId="4673" xr:uid="{00000000-0005-0000-0000-00007F0E0000}"/>
    <cellStyle name="Normal 14 7 2" xfId="21556" xr:uid="{E49BF88A-5DD9-4EF9-B700-8631AB95AB4D}"/>
    <cellStyle name="Normal 14 7 3" xfId="30002" xr:uid="{B03962CB-E39A-49DF-BA94-AC9796F55EF9}"/>
    <cellStyle name="Normal 14 7 4" xfId="13115" xr:uid="{E0DE7B3B-EF07-4371-86E0-4D98A655231E}"/>
    <cellStyle name="Normal 14 8" xfId="17338" xr:uid="{33625DF8-243D-4A50-BBDB-4D5C37AAF11F}"/>
    <cellStyle name="Normal 14 9" xfId="25782" xr:uid="{14CBBAE7-90AF-48FE-8625-5A6E43A43891}"/>
    <cellStyle name="Normal 15" xfId="4496" xr:uid="{00000000-0005-0000-0000-0000800E0000}"/>
    <cellStyle name="Normal 15 2" xfId="21382" xr:uid="{3B601C3A-D88A-4827-AABE-9A68EDABBC4B}"/>
    <cellStyle name="Normal 15 2 2" xfId="34177" xr:uid="{781C6ADF-4D46-4192-887B-58FC35A4176D}"/>
    <cellStyle name="Normal 15 3" xfId="29828" xr:uid="{895EA1A3-E98A-40E8-A6AE-B8122FFB33FA}"/>
    <cellStyle name="Normal 15 3 2" xfId="34163" xr:uid="{6764CA3A-21F7-4386-8F2A-487125B5FB11}"/>
    <cellStyle name="Normal 15 4" xfId="34200" xr:uid="{FAC7BBA1-0B47-4177-AFB5-72B59A6F4C9B}"/>
    <cellStyle name="Normal 15 5" xfId="34098" xr:uid="{260735BF-E294-40BF-8B97-7C80E35E804F}"/>
    <cellStyle name="Normal 15 6" xfId="12941" xr:uid="{B8AF6C36-582E-4F25-9760-270F29324204}"/>
    <cellStyle name="Normal 16" xfId="4500" xr:uid="{00000000-0005-0000-0000-0000810E0000}"/>
    <cellStyle name="Normal 16 2" xfId="8716" xr:uid="{00000000-0005-0000-0000-0000820E0000}"/>
    <cellStyle name="Normal 16 2 2" xfId="25599" xr:uid="{C52A8BE7-606E-4F5F-B3E6-86D7C45BDE26}"/>
    <cellStyle name="Normal 16 2 3" xfId="34045" xr:uid="{E424A263-C176-4690-B309-ECB1970E841A}"/>
    <cellStyle name="Normal 16 2 4" xfId="34110" xr:uid="{04957B40-42D5-4C02-9F5F-9809D48E408D}"/>
    <cellStyle name="Normal 16 2 5" xfId="17158" xr:uid="{8889D2BF-733E-49F3-8B04-0D1158E3591D}"/>
    <cellStyle name="Normal 16 3" xfId="8719" xr:uid="{3DE1BEEB-61FA-4094-B10F-9E0444F68763}"/>
    <cellStyle name="Normal 16 3 2" xfId="8723" xr:uid="{FE0BC069-4698-40B2-814D-8E09719245E9}"/>
    <cellStyle name="Normal 16 3 2 2" xfId="8726" xr:uid="{D3E9609F-293A-4CFC-B194-1FF2F92D621D}"/>
    <cellStyle name="Normal 16 3 2 2 2" xfId="25608" xr:uid="{6644C7FC-7B43-48A0-A7D9-D3D2F1557734}"/>
    <cellStyle name="Normal 16 3 2 2 3" xfId="34054" xr:uid="{9B0D4DD2-C4BA-4364-84DE-717B7B6FA22D}"/>
    <cellStyle name="Normal 16 3 2 2 4" xfId="17167" xr:uid="{C5219E0E-9EEA-4BFB-84F9-EFA1AFA06CE4}"/>
    <cellStyle name="Normal 16 3 2 3" xfId="25605" xr:uid="{AFFE5B48-ED94-416B-B373-644F012DB093}"/>
    <cellStyle name="Normal 16 3 2 4" xfId="34051" xr:uid="{E4B3CDE7-5904-475E-A05C-AF9B8D22F4E5}"/>
    <cellStyle name="Normal 16 3 2 5" xfId="17164" xr:uid="{E466B812-B185-4685-A039-107837A7A039}"/>
    <cellStyle name="Normal 16 3 3" xfId="25602" xr:uid="{4B5E12F1-3062-43CE-8012-609F8CD7CD89}"/>
    <cellStyle name="Normal 16 3 4" xfId="34048" xr:uid="{B0EBD125-300E-4906-AB5D-DF61BBF71B6F}"/>
    <cellStyle name="Normal 16 3 5" xfId="17161" xr:uid="{8F6DDF40-3CA0-4B3F-88B2-B43357A3E9FF}"/>
    <cellStyle name="Normal 16 4" xfId="21385" xr:uid="{8BB829AE-083E-4F03-AB81-1487CB9FA459}"/>
    <cellStyle name="Normal 16 5" xfId="29831" xr:uid="{43F7D2E3-4B4C-4AF1-918F-8326BBE6B50D}"/>
    <cellStyle name="Normal 16 6" xfId="34151" xr:uid="{4F8676DF-C36B-4707-BF54-ACB8F5EBC6A3}"/>
    <cellStyle name="Normal 16 7" xfId="12944" xr:uid="{AAEE817C-554C-4CF7-937C-81A355AB988D}"/>
    <cellStyle name="Normal 17" xfId="34160" xr:uid="{F0A231D1-1B1D-459D-9218-189B0CACE5F4}"/>
    <cellStyle name="Normal 17 2" xfId="34211" xr:uid="{B01EC1D7-6976-4A1F-AD3A-FEDFCFCC1C49}"/>
    <cellStyle name="Normal 17 2 2" xfId="34187" xr:uid="{43FB8F40-EEF1-4696-B843-F09E527A1DD9}"/>
    <cellStyle name="Normal 18" xfId="34133" xr:uid="{57A6641C-1296-42F0-B2EC-4D59C2B7DE28}"/>
    <cellStyle name="Normal 19" xfId="34084" xr:uid="{9BA76C9A-C411-45AC-9888-CC5A170649E8}"/>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2 2" xfId="34164" xr:uid="{7B4487C9-9FD3-4FAB-8735-5D584137CA09}"/>
    <cellStyle name="Normal 2 2 2 3" xfId="275" xr:uid="{00000000-0005-0000-0000-0000870E0000}"/>
    <cellStyle name="Normal 2 2 2 4" xfId="1192" xr:uid="{00000000-0005-0000-0000-0000880E0000}"/>
    <cellStyle name="Normal 2 2 2 5" xfId="34185" xr:uid="{D1457663-388F-4033-BC93-4AA5A7592A83}"/>
    <cellStyle name="Normal 2 2 2_Dropdowns" xfId="34099" xr:uid="{6EAEC5BD-B594-45A5-B977-442EFB630174}"/>
    <cellStyle name="Normal 2 2 3" xfId="770" xr:uid="{00000000-0005-0000-0000-0000890E0000}"/>
    <cellStyle name="Normal 2 2 3 2" xfId="34130" xr:uid="{027A83E5-6A23-4BD3-A387-ABA11C8A54BB}"/>
    <cellStyle name="Normal 2 2 3 3" xfId="34123" xr:uid="{E4A71667-2392-4955-8746-BD9FCBEDD2C9}"/>
    <cellStyle name="Normal 2 2 3 4" xfId="34149" xr:uid="{08A72154-7B52-4CDE-8F91-63757D35AE28}"/>
    <cellStyle name="Normal 2 2 3_Dropdowns" xfId="25708" xr:uid="{32DA5D7C-968F-4D82-AC84-FD513B19EE06}"/>
    <cellStyle name="Normal 2 2 4" xfId="34146" xr:uid="{FF610DAE-51A7-476A-BAA8-69D7806FB4A4}"/>
    <cellStyle name="Normal 2 3" xfId="276" xr:uid="{00000000-0005-0000-0000-00008A0E0000}"/>
    <cellStyle name="Normal 2 3 2" xfId="277" xr:uid="{00000000-0005-0000-0000-00008B0E0000}"/>
    <cellStyle name="Normal 2 3 3" xfId="34192" xr:uid="{7C2551AA-9934-4973-B5DB-E65CA620B37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25355" xr:uid="{1BCD05DD-9958-4C37-8BEE-CD2DE80D1DB2}"/>
    <cellStyle name="Normal 2 4 2 10 2 2 3" xfId="33801" xr:uid="{FCEBA0AC-64DF-4370-B581-1ADE5BDCBCF5}"/>
    <cellStyle name="Normal 2 4 2 10 2 2 4" xfId="16914" xr:uid="{81713550-E806-4C73-B3BE-FD1A0DAF2C9C}"/>
    <cellStyle name="Normal 2 4 2 10 2 3" xfId="21137" xr:uid="{20A77876-94D8-444E-AC3A-964374BA3445}"/>
    <cellStyle name="Normal 2 4 2 10 2 4" xfId="29584" xr:uid="{4EA437CA-4930-4E26-B2D5-4102F3C0A217}"/>
    <cellStyle name="Normal 2 4 2 10 2 5" xfId="12696" xr:uid="{B4F0B0FE-B0D0-484E-A1DF-990CD4B1FAAD}"/>
    <cellStyle name="Normal 2 4 2 10 3" xfId="6327" xr:uid="{00000000-0005-0000-0000-0000910E0000}"/>
    <cellStyle name="Normal 2 4 2 10 3 2" xfId="23210" xr:uid="{64F775DA-2A90-41C0-8BB3-5A4D108CE762}"/>
    <cellStyle name="Normal 2 4 2 10 3 3" xfId="31656" xr:uid="{CB26A9E1-AD00-4D0A-9BBD-1C924FC52976}"/>
    <cellStyle name="Normal 2 4 2 10 3 4" xfId="14769" xr:uid="{629CE7CE-EFD0-4F50-A6E3-55D735D8FB7D}"/>
    <cellStyle name="Normal 2 4 2 10 4" xfId="18992" xr:uid="{FCA1AEB7-0E06-4AE2-8083-0FA7401EF8E2}"/>
    <cellStyle name="Normal 2 4 2 10 5" xfId="27437" xr:uid="{7D74C1C9-410E-4884-AFFD-AF3BBAA79AF6}"/>
    <cellStyle name="Normal 2 4 2 10 6" xfId="10551" xr:uid="{5EBC22B8-3CD0-4D4A-85C7-7A726131F330}"/>
    <cellStyle name="Normal 2 4 2 11" xfId="2456" xr:uid="{00000000-0005-0000-0000-0000920E0000}"/>
    <cellStyle name="Normal 2 4 2 11 2" xfId="6740" xr:uid="{00000000-0005-0000-0000-0000930E0000}"/>
    <cellStyle name="Normal 2 4 2 11 2 2" xfId="23623" xr:uid="{734958FE-2C7D-4D94-AE4B-4DE15B9F60A7}"/>
    <cellStyle name="Normal 2 4 2 11 2 3" xfId="32069" xr:uid="{E5D0853F-5C2E-49DA-AD68-0852FA88F062}"/>
    <cellStyle name="Normal 2 4 2 11 2 4" xfId="15182" xr:uid="{C409E29A-8A58-42FE-9456-7CBC1CCBAF15}"/>
    <cellStyle name="Normal 2 4 2 11 3" xfId="19405" xr:uid="{2AD7FC6D-AF12-4D2F-926C-3EBEDF124B19}"/>
    <cellStyle name="Normal 2 4 2 11 4" xfId="27850" xr:uid="{37F2A22E-94A4-43ED-B766-26D838058E7A}"/>
    <cellStyle name="Normal 2 4 2 11 5" xfId="10964" xr:uid="{2F9DEF13-10ED-4FD4-916C-A99B6A476A8C}"/>
    <cellStyle name="Normal 2 4 2 12" xfId="4674" xr:uid="{00000000-0005-0000-0000-0000940E0000}"/>
    <cellStyle name="Normal 2 4 2 12 2" xfId="21557" xr:uid="{A077BE7C-B6C0-4099-A17F-E6550BC95BB5}"/>
    <cellStyle name="Normal 2 4 2 12 3" xfId="30003" xr:uid="{07480155-EDA2-454D-9D68-6F74A5C7545C}"/>
    <cellStyle name="Normal 2 4 2 12 4" xfId="13116" xr:uid="{F618D756-6E3D-4144-9279-638EB5EBA5EB}"/>
    <cellStyle name="Normal 2 4 2 13" xfId="17339" xr:uid="{C00B03E2-A49A-4863-A851-81C3161AE8C7}"/>
    <cellStyle name="Normal 2 4 2 14" xfId="25783" xr:uid="{1E24967D-31BB-4FD6-807E-FFBD4A811E77}"/>
    <cellStyle name="Normal 2 4 2 15" xfId="8898" xr:uid="{55A25B8B-43DE-43CD-91F3-E825BE9F795E}"/>
    <cellStyle name="Normal 2 4 2 2" xfId="280" xr:uid="{00000000-0005-0000-0000-0000950E0000}"/>
    <cellStyle name="Normal 2 4 2 3" xfId="281" xr:uid="{00000000-0005-0000-0000-0000960E0000}"/>
    <cellStyle name="Normal 2 4 2 3 10" xfId="4675" xr:uid="{00000000-0005-0000-0000-0000970E0000}"/>
    <cellStyle name="Normal 2 4 2 3 10 2" xfId="21558" xr:uid="{49CB78F4-5C9F-4F4C-A11B-F8DCFEC7287B}"/>
    <cellStyle name="Normal 2 4 2 3 10 3" xfId="30004" xr:uid="{073BCE62-CABC-41F1-A150-C1BD2A1CE218}"/>
    <cellStyle name="Normal 2 4 2 3 10 4" xfId="13117" xr:uid="{2F107AF5-16AE-447F-9BE9-E88E221AFEA7}"/>
    <cellStyle name="Normal 2 4 2 3 11" xfId="17340" xr:uid="{EEB9C8DA-B916-464D-860B-3DC060EE6E54}"/>
    <cellStyle name="Normal 2 4 2 3 12" xfId="25784" xr:uid="{849CB8BB-C183-4A44-BA09-D1E85B9A8B7A}"/>
    <cellStyle name="Normal 2 4 2 3 13" xfId="8899" xr:uid="{87F31D48-CA6C-4980-94BF-E6245126C7D2}"/>
    <cellStyle name="Normal 2 4 2 3 2" xfId="282" xr:uid="{00000000-0005-0000-0000-0000980E0000}"/>
    <cellStyle name="Normal 2 4 2 3 2 10" xfId="17341" xr:uid="{26BFDF6E-73D4-42AB-8B84-CFB4C64C5291}"/>
    <cellStyle name="Normal 2 4 2 3 2 11" xfId="25785" xr:uid="{66C79F82-7141-47B9-963D-62D83B54A326}"/>
    <cellStyle name="Normal 2 4 2 3 2 12" xfId="8900" xr:uid="{0A8C6A0A-92A2-420F-B593-64600F85A441}"/>
    <cellStyle name="Normal 2 4 2 3 2 2" xfId="283" xr:uid="{00000000-0005-0000-0000-0000990E0000}"/>
    <cellStyle name="Normal 2 4 2 3 2 2 10" xfId="25786" xr:uid="{56D8C0A4-AE3F-493A-96D8-3ABF332F67D8}"/>
    <cellStyle name="Normal 2 4 2 3 2 2 11" xfId="8901" xr:uid="{627A0B18-CCFA-4040-BA7A-D0456CF6BADF}"/>
    <cellStyle name="Normal 2 4 2 3 2 2 2" xfId="284" xr:uid="{00000000-0005-0000-0000-00009A0E0000}"/>
    <cellStyle name="Normal 2 4 2 3 2 2 2 10" xfId="8902" xr:uid="{EE5394B9-2FFC-43A9-A1CC-47E5C1EE1485}"/>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24120" xr:uid="{50052761-4ACC-4103-8165-086F42C72FB9}"/>
    <cellStyle name="Normal 2 4 2 3 2 2 2 2 2 2 3" xfId="32566" xr:uid="{004BF7B6-B335-46A2-BCE9-A0974B2010A9}"/>
    <cellStyle name="Normal 2 4 2 3 2 2 2 2 2 2 4" xfId="15679" xr:uid="{10CB20E1-B5B3-4468-8423-29B5B8378875}"/>
    <cellStyle name="Normal 2 4 2 3 2 2 2 2 2 3" xfId="19902" xr:uid="{A60D97F4-B169-429A-8AE6-66371D92D630}"/>
    <cellStyle name="Normal 2 4 2 3 2 2 2 2 2 4" xfId="28349" xr:uid="{ED530A7A-E51F-4C10-B572-AC233304C9E6}"/>
    <cellStyle name="Normal 2 4 2 3 2 2 2 2 2 5" xfId="11461" xr:uid="{5C2F8866-0FEE-4934-AD3F-6117EF7F8C4D}"/>
    <cellStyle name="Normal 2 4 2 3 2 2 2 2 3" xfId="5092" xr:uid="{00000000-0005-0000-0000-00009E0E0000}"/>
    <cellStyle name="Normal 2 4 2 3 2 2 2 2 3 2" xfId="21975" xr:uid="{4B97C143-C496-4B34-A9E0-ED7E700A3B12}"/>
    <cellStyle name="Normal 2 4 2 3 2 2 2 2 3 3" xfId="30421" xr:uid="{B7DF2F88-A7EB-4F5D-AB27-85CACBB628F9}"/>
    <cellStyle name="Normal 2 4 2 3 2 2 2 2 3 4" xfId="13534" xr:uid="{628107D6-6BB1-42C1-A256-FF7B3DBD58D6}"/>
    <cellStyle name="Normal 2 4 2 3 2 2 2 2 4" xfId="17757" xr:uid="{EE21059F-DE42-429D-980C-A9D3F170BEF8}"/>
    <cellStyle name="Normal 2 4 2 3 2 2 2 2 5" xfId="26202" xr:uid="{36A4A9D5-8318-467B-B79F-BFC2CAF5B2BC}"/>
    <cellStyle name="Normal 2 4 2 3 2 2 2 2 6" xfId="9316" xr:uid="{E31BD2EF-D401-4932-BB03-0F3B194F845B}"/>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24533" xr:uid="{A5E1E5FB-FBE8-48B6-911F-3C6067E7657F}"/>
    <cellStyle name="Normal 2 4 2 3 2 2 2 3 2 2 3" xfId="32979" xr:uid="{5A5096E9-CE0A-4F17-A593-5348D9B2DCF7}"/>
    <cellStyle name="Normal 2 4 2 3 2 2 2 3 2 2 4" xfId="16092" xr:uid="{0ABF7BCB-FDA4-4C88-8D17-DF5F329BAC26}"/>
    <cellStyle name="Normal 2 4 2 3 2 2 2 3 2 3" xfId="20315" xr:uid="{2A1DA3B0-A74B-4F3A-A9EE-8B1B7629F0A6}"/>
    <cellStyle name="Normal 2 4 2 3 2 2 2 3 2 4" xfId="28762" xr:uid="{BCE2415C-137D-4A9E-8BBD-58C000E56E64}"/>
    <cellStyle name="Normal 2 4 2 3 2 2 2 3 2 5" xfId="11874" xr:uid="{047FB37B-43DF-4EB7-A99F-2BFF5B253B19}"/>
    <cellStyle name="Normal 2 4 2 3 2 2 2 3 3" xfId="5505" xr:uid="{00000000-0005-0000-0000-0000A20E0000}"/>
    <cellStyle name="Normal 2 4 2 3 2 2 2 3 3 2" xfId="22388" xr:uid="{1F54C33A-360A-453F-8F33-27CAFDF83024}"/>
    <cellStyle name="Normal 2 4 2 3 2 2 2 3 3 3" xfId="30834" xr:uid="{F102A8BB-1030-46B0-A40D-AC797EB74CB7}"/>
    <cellStyle name="Normal 2 4 2 3 2 2 2 3 3 4" xfId="13947" xr:uid="{1C52CB86-F8A1-41E7-A0C6-9746D3581789}"/>
    <cellStyle name="Normal 2 4 2 3 2 2 2 3 4" xfId="18170" xr:uid="{4D25E39D-AE97-41A7-B77B-D79848262C90}"/>
    <cellStyle name="Normal 2 4 2 3 2 2 2 3 5" xfId="26615" xr:uid="{F17C2494-A464-4C2D-A98E-D220FC73B3AA}"/>
    <cellStyle name="Normal 2 4 2 3 2 2 2 3 6" xfId="9729" xr:uid="{864FF051-478A-4163-98B5-A183AFBC5F9B}"/>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24946" xr:uid="{08BAF4B4-9F6E-48FF-80F1-6837D17F19B9}"/>
    <cellStyle name="Normal 2 4 2 3 2 2 2 4 2 2 3" xfId="33392" xr:uid="{3A34FEF3-4614-40FF-B955-D069D564AD3B}"/>
    <cellStyle name="Normal 2 4 2 3 2 2 2 4 2 2 4" xfId="16505" xr:uid="{F2F7BC69-1FC9-4BC1-BC98-516953201356}"/>
    <cellStyle name="Normal 2 4 2 3 2 2 2 4 2 3" xfId="20728" xr:uid="{4E2E9C6F-E988-49EA-B857-DFA782EAB3E0}"/>
    <cellStyle name="Normal 2 4 2 3 2 2 2 4 2 4" xfId="29175" xr:uid="{ADCDFCE8-82AC-4687-A2AA-B589A58E98B8}"/>
    <cellStyle name="Normal 2 4 2 3 2 2 2 4 2 5" xfId="12287" xr:uid="{E2A1C382-C4DC-41EB-97A7-4BC1676E4201}"/>
    <cellStyle name="Normal 2 4 2 3 2 2 2 4 3" xfId="5918" xr:uid="{00000000-0005-0000-0000-0000A60E0000}"/>
    <cellStyle name="Normal 2 4 2 3 2 2 2 4 3 2" xfId="22801" xr:uid="{319F2AC8-04D1-459F-9845-C656DE305FA6}"/>
    <cellStyle name="Normal 2 4 2 3 2 2 2 4 3 3" xfId="31247" xr:uid="{93A1F6C4-B4AB-47F0-A9DB-CD9A999B3073}"/>
    <cellStyle name="Normal 2 4 2 3 2 2 2 4 3 4" xfId="14360" xr:uid="{B42C9A55-FA93-410C-82D7-B00E3C69D4C5}"/>
    <cellStyle name="Normal 2 4 2 3 2 2 2 4 4" xfId="18583" xr:uid="{57CC50E7-3A27-41DB-87B8-640EEB95CF6D}"/>
    <cellStyle name="Normal 2 4 2 3 2 2 2 4 5" xfId="27028" xr:uid="{A717B5D3-9FFD-4122-B2C2-A2A55E85D2E1}"/>
    <cellStyle name="Normal 2 4 2 3 2 2 2 4 6" xfId="10142" xr:uid="{DB3B1209-A89E-425C-9EF0-9900AFA71362}"/>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25359" xr:uid="{D3A23F30-CBA9-44AC-B133-170C3CC0D456}"/>
    <cellStyle name="Normal 2 4 2 3 2 2 2 5 2 2 3" xfId="33805" xr:uid="{0F8A7A1D-7F35-4F7C-9EBB-BFA456A47972}"/>
    <cellStyle name="Normal 2 4 2 3 2 2 2 5 2 2 4" xfId="16918" xr:uid="{47EA0122-C018-498D-B844-8112D1E3C980}"/>
    <cellStyle name="Normal 2 4 2 3 2 2 2 5 2 3" xfId="21141" xr:uid="{ADDD8476-6F25-4666-A7C2-ED90D5C58F0C}"/>
    <cellStyle name="Normal 2 4 2 3 2 2 2 5 2 4" xfId="29588" xr:uid="{AB56DCDA-6F33-49B0-888C-D9543D68F528}"/>
    <cellStyle name="Normal 2 4 2 3 2 2 2 5 2 5" xfId="12700" xr:uid="{695B9C90-605A-4550-8D23-5D019EB9D7AD}"/>
    <cellStyle name="Normal 2 4 2 3 2 2 2 5 3" xfId="6331" xr:uid="{00000000-0005-0000-0000-0000AA0E0000}"/>
    <cellStyle name="Normal 2 4 2 3 2 2 2 5 3 2" xfId="23214" xr:uid="{2EA64A31-660A-41D1-A87E-C21B6F216E6F}"/>
    <cellStyle name="Normal 2 4 2 3 2 2 2 5 3 3" xfId="31660" xr:uid="{9171E416-29DB-41F8-B6EC-542E3A597824}"/>
    <cellStyle name="Normal 2 4 2 3 2 2 2 5 3 4" xfId="14773" xr:uid="{459B3EEF-FA37-4B05-BE21-5ED76A34D63D}"/>
    <cellStyle name="Normal 2 4 2 3 2 2 2 5 4" xfId="18996" xr:uid="{DDFCCBD7-E90E-43E3-AD6E-EF17175C02AD}"/>
    <cellStyle name="Normal 2 4 2 3 2 2 2 5 5" xfId="27441" xr:uid="{4F81F743-77E5-4A19-A27D-C7D9B7748DEC}"/>
    <cellStyle name="Normal 2 4 2 3 2 2 2 5 6" xfId="10555" xr:uid="{63635495-EF08-4F09-AE63-E30DAB73EFF4}"/>
    <cellStyle name="Normal 2 4 2 3 2 2 2 6" xfId="2460" xr:uid="{00000000-0005-0000-0000-0000AB0E0000}"/>
    <cellStyle name="Normal 2 4 2 3 2 2 2 6 2" xfId="6744" xr:uid="{00000000-0005-0000-0000-0000AC0E0000}"/>
    <cellStyle name="Normal 2 4 2 3 2 2 2 6 2 2" xfId="23627" xr:uid="{A9FA9741-D25E-480A-804E-09E3B956D519}"/>
    <cellStyle name="Normal 2 4 2 3 2 2 2 6 2 3" xfId="32073" xr:uid="{D41C4A44-4B7F-4869-83D2-68300FF82C16}"/>
    <cellStyle name="Normal 2 4 2 3 2 2 2 6 2 4" xfId="15186" xr:uid="{A36D5E6F-9070-4DF6-AB01-A22461892970}"/>
    <cellStyle name="Normal 2 4 2 3 2 2 2 6 3" xfId="19409" xr:uid="{598C600F-67DF-4523-A763-9169C4301C56}"/>
    <cellStyle name="Normal 2 4 2 3 2 2 2 6 4" xfId="27854" xr:uid="{B475E647-74FE-4A91-BE49-C66F085D11CB}"/>
    <cellStyle name="Normal 2 4 2 3 2 2 2 6 5" xfId="10968" xr:uid="{A6DBAEC4-9A49-45C8-9DE3-DE3DB0A160DE}"/>
    <cellStyle name="Normal 2 4 2 3 2 2 2 7" xfId="4678" xr:uid="{00000000-0005-0000-0000-0000AD0E0000}"/>
    <cellStyle name="Normal 2 4 2 3 2 2 2 7 2" xfId="21561" xr:uid="{1775F2D3-FF9A-4455-8AD1-2608018D2DDB}"/>
    <cellStyle name="Normal 2 4 2 3 2 2 2 7 3" xfId="30007" xr:uid="{FFA9DE6A-DBDE-426C-83EF-DBD37A2CD124}"/>
    <cellStyle name="Normal 2 4 2 3 2 2 2 7 4" xfId="13120" xr:uid="{745E42F2-70F5-4015-B84C-530816C30300}"/>
    <cellStyle name="Normal 2 4 2 3 2 2 2 8" xfId="17343" xr:uid="{05C42728-0B7B-4C50-9FE2-8E85D376DE97}"/>
    <cellStyle name="Normal 2 4 2 3 2 2 2 9" xfId="25787" xr:uid="{FADDCE82-8A51-48C0-8986-89162DDF8C8A}"/>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24119" xr:uid="{2D9D82CD-7659-44C4-B2F4-CA13AB9B9C53}"/>
    <cellStyle name="Normal 2 4 2 3 2 2 3 2 2 3" xfId="32565" xr:uid="{78B9D4B7-F10B-49DB-8408-79406C4A1357}"/>
    <cellStyle name="Normal 2 4 2 3 2 2 3 2 2 4" xfId="15678" xr:uid="{8C700A7E-4B91-46BC-AB01-907E4D5328BA}"/>
    <cellStyle name="Normal 2 4 2 3 2 2 3 2 3" xfId="19901" xr:uid="{4FBB03FC-9BB6-48AE-B782-4753D76D335A}"/>
    <cellStyle name="Normal 2 4 2 3 2 2 3 2 4" xfId="28348" xr:uid="{2379A97C-32A6-448D-89C4-C4256C7666D9}"/>
    <cellStyle name="Normal 2 4 2 3 2 2 3 2 5" xfId="11460" xr:uid="{591EDE8D-0883-495A-A07B-BCA69DD995FB}"/>
    <cellStyle name="Normal 2 4 2 3 2 2 3 3" xfId="5091" xr:uid="{00000000-0005-0000-0000-0000B10E0000}"/>
    <cellStyle name="Normal 2 4 2 3 2 2 3 3 2" xfId="21974" xr:uid="{28D21191-DDCA-45E9-BCD6-CB5B09F0DBA9}"/>
    <cellStyle name="Normal 2 4 2 3 2 2 3 3 3" xfId="30420" xr:uid="{D6D14B66-6EF1-4153-A477-61B1ED4FB93D}"/>
    <cellStyle name="Normal 2 4 2 3 2 2 3 3 4" xfId="13533" xr:uid="{F630A41B-3962-44C8-8EFD-BF9C8F563DE5}"/>
    <cellStyle name="Normal 2 4 2 3 2 2 3 4" xfId="17756" xr:uid="{0205F03B-2D94-4ADD-8D5E-FA3D51BD775B}"/>
    <cellStyle name="Normal 2 4 2 3 2 2 3 5" xfId="26201" xr:uid="{D56A89F3-38DC-4731-B89C-A760B7A7F694}"/>
    <cellStyle name="Normal 2 4 2 3 2 2 3 6" xfId="9315" xr:uid="{A833AA22-55A0-4A50-BCF6-8FB9E3E3411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24532" xr:uid="{09EA24B1-3276-490E-9E3A-6AAC489CDA71}"/>
    <cellStyle name="Normal 2 4 2 3 2 2 4 2 2 3" xfId="32978" xr:uid="{95B6E814-79EE-4008-B5F7-B3A5F347BD3F}"/>
    <cellStyle name="Normal 2 4 2 3 2 2 4 2 2 4" xfId="16091" xr:uid="{6E10E93E-7407-46C3-B51A-914A56191014}"/>
    <cellStyle name="Normal 2 4 2 3 2 2 4 2 3" xfId="20314" xr:uid="{3F9C6ED1-9DD1-4CBA-9A45-E7F0EF11D263}"/>
    <cellStyle name="Normal 2 4 2 3 2 2 4 2 4" xfId="28761" xr:uid="{532A7399-819D-4086-BCA2-E6C9B289905B}"/>
    <cellStyle name="Normal 2 4 2 3 2 2 4 2 5" xfId="11873" xr:uid="{E6ADAD54-66C0-4FD9-92F8-3B84F726C8DC}"/>
    <cellStyle name="Normal 2 4 2 3 2 2 4 3" xfId="5504" xr:uid="{00000000-0005-0000-0000-0000B50E0000}"/>
    <cellStyle name="Normal 2 4 2 3 2 2 4 3 2" xfId="22387" xr:uid="{9A6AD7D9-3D33-4E4F-9C9A-3EAF8D701C51}"/>
    <cellStyle name="Normal 2 4 2 3 2 2 4 3 3" xfId="30833" xr:uid="{4A394D9B-C5FD-4EE6-8BC8-E456A2C2F464}"/>
    <cellStyle name="Normal 2 4 2 3 2 2 4 3 4" xfId="13946" xr:uid="{1E706698-8BEC-44B3-97B2-08D642B40CC7}"/>
    <cellStyle name="Normal 2 4 2 3 2 2 4 4" xfId="18169" xr:uid="{2A6508FD-EB41-42C7-974E-A7A053AC9D7A}"/>
    <cellStyle name="Normal 2 4 2 3 2 2 4 5" xfId="26614" xr:uid="{64B4D3DF-3FA1-4818-8B83-EA467D868F31}"/>
    <cellStyle name="Normal 2 4 2 3 2 2 4 6" xfId="9728" xr:uid="{1CD06F1B-01D7-4FC2-8B87-AEC72A4D7C52}"/>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24945" xr:uid="{75E96275-C59B-415C-83EA-CFB776BD8B11}"/>
    <cellStyle name="Normal 2 4 2 3 2 2 5 2 2 3" xfId="33391" xr:uid="{A597CDB3-2A30-4622-8B3D-3A9582DE792D}"/>
    <cellStyle name="Normal 2 4 2 3 2 2 5 2 2 4" xfId="16504" xr:uid="{614D7D12-06C3-4469-B80E-BD8C110875DC}"/>
    <cellStyle name="Normal 2 4 2 3 2 2 5 2 3" xfId="20727" xr:uid="{86B89DC5-E968-4C9D-87DD-05DB319200DB}"/>
    <cellStyle name="Normal 2 4 2 3 2 2 5 2 4" xfId="29174" xr:uid="{9A8BFB7F-A774-4ACA-BF0C-BD0EE93F8410}"/>
    <cellStyle name="Normal 2 4 2 3 2 2 5 2 5" xfId="12286" xr:uid="{524D062C-9C1C-4D9E-88EA-842F269BA12B}"/>
    <cellStyle name="Normal 2 4 2 3 2 2 5 3" xfId="5917" xr:uid="{00000000-0005-0000-0000-0000B90E0000}"/>
    <cellStyle name="Normal 2 4 2 3 2 2 5 3 2" xfId="22800" xr:uid="{885284D4-E89A-4749-935E-727F436F954F}"/>
    <cellStyle name="Normal 2 4 2 3 2 2 5 3 3" xfId="31246" xr:uid="{7F4EC52F-E48D-402A-A718-94C1698F751E}"/>
    <cellStyle name="Normal 2 4 2 3 2 2 5 3 4" xfId="14359" xr:uid="{F92C72A4-1262-470C-9867-92F6E523C590}"/>
    <cellStyle name="Normal 2 4 2 3 2 2 5 4" xfId="18582" xr:uid="{EE180C94-0B73-4542-A8DB-38161DCA67BF}"/>
    <cellStyle name="Normal 2 4 2 3 2 2 5 5" xfId="27027" xr:uid="{F15D9F86-1F7C-499D-AEA8-E66A0613F6AE}"/>
    <cellStyle name="Normal 2 4 2 3 2 2 5 6" xfId="10141" xr:uid="{E960AD8C-35B2-4A37-83A3-8F5D6DA13EFB}"/>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25358" xr:uid="{66FF8A17-BB01-4664-86DF-B363505A6609}"/>
    <cellStyle name="Normal 2 4 2 3 2 2 6 2 2 3" xfId="33804" xr:uid="{C62B2278-6093-4C1B-8028-BD6BDBEFE9F0}"/>
    <cellStyle name="Normal 2 4 2 3 2 2 6 2 2 4" xfId="16917" xr:uid="{E0D4BC33-584D-4BFA-948D-4E59EAF4ED32}"/>
    <cellStyle name="Normal 2 4 2 3 2 2 6 2 3" xfId="21140" xr:uid="{7511DBB4-A33C-4467-AE19-CBE71222B293}"/>
    <cellStyle name="Normal 2 4 2 3 2 2 6 2 4" xfId="29587" xr:uid="{08771A44-2FC2-4D4C-94D6-BAED60A6845B}"/>
    <cellStyle name="Normal 2 4 2 3 2 2 6 2 5" xfId="12699" xr:uid="{231C9DF8-297D-4BFB-B791-47858E0A77AE}"/>
    <cellStyle name="Normal 2 4 2 3 2 2 6 3" xfId="6330" xr:uid="{00000000-0005-0000-0000-0000BD0E0000}"/>
    <cellStyle name="Normal 2 4 2 3 2 2 6 3 2" xfId="23213" xr:uid="{ACE7B18B-0EAD-4163-BAFB-ACB4A006CEB4}"/>
    <cellStyle name="Normal 2 4 2 3 2 2 6 3 3" xfId="31659" xr:uid="{9749D6AA-178A-425D-B4BB-3D07E3864F9C}"/>
    <cellStyle name="Normal 2 4 2 3 2 2 6 3 4" xfId="14772" xr:uid="{B1194CF7-8F7E-485E-855E-B5499EA5456E}"/>
    <cellStyle name="Normal 2 4 2 3 2 2 6 4" xfId="18995" xr:uid="{17519C47-659B-4766-AB8D-C51B62EE4F37}"/>
    <cellStyle name="Normal 2 4 2 3 2 2 6 5" xfId="27440" xr:uid="{0165D813-5AEA-4DEF-8A1E-B9717E3DA332}"/>
    <cellStyle name="Normal 2 4 2 3 2 2 6 6" xfId="10554" xr:uid="{098EC7A0-9E23-4D80-BA2C-5B8EB5B948EC}"/>
    <cellStyle name="Normal 2 4 2 3 2 2 7" xfId="2459" xr:uid="{00000000-0005-0000-0000-0000BE0E0000}"/>
    <cellStyle name="Normal 2 4 2 3 2 2 7 2" xfId="6743" xr:uid="{00000000-0005-0000-0000-0000BF0E0000}"/>
    <cellStyle name="Normal 2 4 2 3 2 2 7 2 2" xfId="23626" xr:uid="{E46E01BC-A4D5-4C83-88F4-30BFC0E5BF71}"/>
    <cellStyle name="Normal 2 4 2 3 2 2 7 2 3" xfId="32072" xr:uid="{903E7377-D9C6-48B6-9B8C-380966E50D45}"/>
    <cellStyle name="Normal 2 4 2 3 2 2 7 2 4" xfId="15185" xr:uid="{68CB1924-C827-4949-AF92-BC99F8E769EE}"/>
    <cellStyle name="Normal 2 4 2 3 2 2 7 3" xfId="19408" xr:uid="{CC002835-3E55-4C2B-B2B1-A81440C8DB85}"/>
    <cellStyle name="Normal 2 4 2 3 2 2 7 4" xfId="27853" xr:uid="{828DF55F-32B4-4183-99C1-B67F5311A3F6}"/>
    <cellStyle name="Normal 2 4 2 3 2 2 7 5" xfId="10967" xr:uid="{5BA5BD24-C213-44CF-829B-936957944FF3}"/>
    <cellStyle name="Normal 2 4 2 3 2 2 8" xfId="4677" xr:uid="{00000000-0005-0000-0000-0000C00E0000}"/>
    <cellStyle name="Normal 2 4 2 3 2 2 8 2" xfId="21560" xr:uid="{489613BA-B187-4966-8D59-49DBAFE62C8B}"/>
    <cellStyle name="Normal 2 4 2 3 2 2 8 3" xfId="30006" xr:uid="{B36F9079-D07F-427F-A8E9-AA80ADD94990}"/>
    <cellStyle name="Normal 2 4 2 3 2 2 8 4" xfId="13119" xr:uid="{8016B877-569B-4264-B97F-F7BB41F6EA30}"/>
    <cellStyle name="Normal 2 4 2 3 2 2 9" xfId="17342" xr:uid="{2972C27C-CF2A-420D-A736-A3D4654A2DC1}"/>
    <cellStyle name="Normal 2 4 2 3 2 3" xfId="285" xr:uid="{00000000-0005-0000-0000-0000C10E0000}"/>
    <cellStyle name="Normal 2 4 2 3 2 3 10" xfId="8903" xr:uid="{BE4594E2-CC50-4549-9678-50387B02259D}"/>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24121" xr:uid="{5A86B297-0289-41FE-B251-405F307D86B2}"/>
    <cellStyle name="Normal 2 4 2 3 2 3 2 2 2 3" xfId="32567" xr:uid="{8CDB417B-917F-4869-B340-00CCE2251B28}"/>
    <cellStyle name="Normal 2 4 2 3 2 3 2 2 2 4" xfId="15680" xr:uid="{46819DD2-209B-4771-85D9-E417EE65152A}"/>
    <cellStyle name="Normal 2 4 2 3 2 3 2 2 3" xfId="19903" xr:uid="{58051A3B-74E0-4422-83B1-0AF60C109008}"/>
    <cellStyle name="Normal 2 4 2 3 2 3 2 2 4" xfId="28350" xr:uid="{346BFA19-0CB2-43EF-8286-AD35F6AA4435}"/>
    <cellStyle name="Normal 2 4 2 3 2 3 2 2 5" xfId="11462" xr:uid="{D4B826F2-576E-4662-A93A-FA0F818A83F1}"/>
    <cellStyle name="Normal 2 4 2 3 2 3 2 3" xfId="5093" xr:uid="{00000000-0005-0000-0000-0000C50E0000}"/>
    <cellStyle name="Normal 2 4 2 3 2 3 2 3 2" xfId="21976" xr:uid="{1EC49752-E6B6-4655-AB97-09404F86F8D0}"/>
    <cellStyle name="Normal 2 4 2 3 2 3 2 3 3" xfId="30422" xr:uid="{EFF2A723-D884-4EAF-A259-1E04B8564653}"/>
    <cellStyle name="Normal 2 4 2 3 2 3 2 3 4" xfId="13535" xr:uid="{295C8AAE-8943-401B-A06C-7E4B469AE255}"/>
    <cellStyle name="Normal 2 4 2 3 2 3 2 4" xfId="17758" xr:uid="{9D94D401-A619-4B02-A807-CABC887A2A5B}"/>
    <cellStyle name="Normal 2 4 2 3 2 3 2 5" xfId="26203" xr:uid="{A2A3CF1B-606D-4E3B-840B-9B8CF551CD0C}"/>
    <cellStyle name="Normal 2 4 2 3 2 3 2 6" xfId="9317" xr:uid="{A5BFA9D7-8119-4EC0-8134-64BFA427011F}"/>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24534" xr:uid="{64E41547-0F26-4AC0-97F5-EFB34B367B44}"/>
    <cellStyle name="Normal 2 4 2 3 2 3 3 2 2 3" xfId="32980" xr:uid="{DD93E148-DB5F-4E89-883F-79C0EE5A5A08}"/>
    <cellStyle name="Normal 2 4 2 3 2 3 3 2 2 4" xfId="16093" xr:uid="{EF66FB24-5764-4D38-85F8-95DFF95BBE0E}"/>
    <cellStyle name="Normal 2 4 2 3 2 3 3 2 3" xfId="20316" xr:uid="{293C3427-6A58-417F-B3A5-428313D48673}"/>
    <cellStyle name="Normal 2 4 2 3 2 3 3 2 4" xfId="28763" xr:uid="{B114AF1B-E9B8-4F99-8E00-47B7B5D19944}"/>
    <cellStyle name="Normal 2 4 2 3 2 3 3 2 5" xfId="11875" xr:uid="{54DED06E-70AC-4459-BCCE-6C273608C57D}"/>
    <cellStyle name="Normal 2 4 2 3 2 3 3 3" xfId="5506" xr:uid="{00000000-0005-0000-0000-0000C90E0000}"/>
    <cellStyle name="Normal 2 4 2 3 2 3 3 3 2" xfId="22389" xr:uid="{611BE360-4753-4F95-A2B3-D35F4E4887D0}"/>
    <cellStyle name="Normal 2 4 2 3 2 3 3 3 3" xfId="30835" xr:uid="{109B55C4-472B-40B0-973F-C16691E6B98B}"/>
    <cellStyle name="Normal 2 4 2 3 2 3 3 3 4" xfId="13948" xr:uid="{EF607247-B8EE-4E9F-9073-0CFEE3DD36E9}"/>
    <cellStyle name="Normal 2 4 2 3 2 3 3 4" xfId="18171" xr:uid="{061E3595-57A3-40C4-864F-D677FDED71F5}"/>
    <cellStyle name="Normal 2 4 2 3 2 3 3 5" xfId="26616" xr:uid="{0DC87F7A-0563-49EF-9307-44688E593F0A}"/>
    <cellStyle name="Normal 2 4 2 3 2 3 3 6" xfId="9730" xr:uid="{77EA770D-09C3-4D69-8694-946B37BE1867}"/>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24947" xr:uid="{1D056C36-8685-43E5-A71A-899A1763FC76}"/>
    <cellStyle name="Normal 2 4 2 3 2 3 4 2 2 3" xfId="33393" xr:uid="{6C121A3B-E0BF-49B6-8F56-47613A2A2947}"/>
    <cellStyle name="Normal 2 4 2 3 2 3 4 2 2 4" xfId="16506" xr:uid="{515EDC10-0BD2-4D41-A660-FE5640FF03FE}"/>
    <cellStyle name="Normal 2 4 2 3 2 3 4 2 3" xfId="20729" xr:uid="{23BF68D1-D62E-41BA-8231-F8E0FB98581F}"/>
    <cellStyle name="Normal 2 4 2 3 2 3 4 2 4" xfId="29176" xr:uid="{C7F5D661-8D40-466D-81C8-83F8FA55735E}"/>
    <cellStyle name="Normal 2 4 2 3 2 3 4 2 5" xfId="12288" xr:uid="{FE79E475-C9C5-4247-AF4C-AA1B6136D8E1}"/>
    <cellStyle name="Normal 2 4 2 3 2 3 4 3" xfId="5919" xr:uid="{00000000-0005-0000-0000-0000CD0E0000}"/>
    <cellStyle name="Normal 2 4 2 3 2 3 4 3 2" xfId="22802" xr:uid="{2DB8F483-288D-4AAD-9044-5E5FE809CC55}"/>
    <cellStyle name="Normal 2 4 2 3 2 3 4 3 3" xfId="31248" xr:uid="{97980987-5726-4F3C-A552-92AA3A024C6E}"/>
    <cellStyle name="Normal 2 4 2 3 2 3 4 3 4" xfId="14361" xr:uid="{AEB1AD4A-1E15-47B2-9080-DA9EEA34B511}"/>
    <cellStyle name="Normal 2 4 2 3 2 3 4 4" xfId="18584" xr:uid="{27F8322D-3E59-4913-89E6-5B6AA10E04EF}"/>
    <cellStyle name="Normal 2 4 2 3 2 3 4 5" xfId="27029" xr:uid="{93B2B6FC-E073-429F-84F6-5EBBA7410708}"/>
    <cellStyle name="Normal 2 4 2 3 2 3 4 6" xfId="10143" xr:uid="{04E8F170-6D33-4FC4-8902-3BCAEB78B76C}"/>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25360" xr:uid="{FC72470E-274B-4DCB-8161-4FBBA3A60755}"/>
    <cellStyle name="Normal 2 4 2 3 2 3 5 2 2 3" xfId="33806" xr:uid="{DF1640E0-FAA9-456A-B070-E222D45A4EE3}"/>
    <cellStyle name="Normal 2 4 2 3 2 3 5 2 2 4" xfId="16919" xr:uid="{A05B968B-A51F-4646-A178-8F670256D7AB}"/>
    <cellStyle name="Normal 2 4 2 3 2 3 5 2 3" xfId="21142" xr:uid="{4F11CE78-E3FD-46B5-8522-CDD8C5949FF9}"/>
    <cellStyle name="Normal 2 4 2 3 2 3 5 2 4" xfId="29589" xr:uid="{F49BAA99-017F-4B96-9374-3C15D9DF49B8}"/>
    <cellStyle name="Normal 2 4 2 3 2 3 5 2 5" xfId="12701" xr:uid="{19A9D56E-1BEB-4406-B6E1-B834DAA89C81}"/>
    <cellStyle name="Normal 2 4 2 3 2 3 5 3" xfId="6332" xr:uid="{00000000-0005-0000-0000-0000D10E0000}"/>
    <cellStyle name="Normal 2 4 2 3 2 3 5 3 2" xfId="23215" xr:uid="{1EE91C02-E73B-4554-896F-056897B3E07C}"/>
    <cellStyle name="Normal 2 4 2 3 2 3 5 3 3" xfId="31661" xr:uid="{15AF3C6F-0B3B-499C-9895-50D4B6A92CDA}"/>
    <cellStyle name="Normal 2 4 2 3 2 3 5 3 4" xfId="14774" xr:uid="{21C23FDA-B5A9-4831-AAA2-47450C5334E4}"/>
    <cellStyle name="Normal 2 4 2 3 2 3 5 4" xfId="18997" xr:uid="{9D550A9D-27C5-4BAA-BD73-1B1A82A5AEB2}"/>
    <cellStyle name="Normal 2 4 2 3 2 3 5 5" xfId="27442" xr:uid="{3DEF2197-DD07-49EE-B141-06E64FFC5720}"/>
    <cellStyle name="Normal 2 4 2 3 2 3 5 6" xfId="10556" xr:uid="{A51CAB63-2E73-4EFD-A417-D61486B355A1}"/>
    <cellStyle name="Normal 2 4 2 3 2 3 6" xfId="2461" xr:uid="{00000000-0005-0000-0000-0000D20E0000}"/>
    <cellStyle name="Normal 2 4 2 3 2 3 6 2" xfId="6745" xr:uid="{00000000-0005-0000-0000-0000D30E0000}"/>
    <cellStyle name="Normal 2 4 2 3 2 3 6 2 2" xfId="23628" xr:uid="{FF21F6A8-096C-466A-BF50-08C3122CA2FA}"/>
    <cellStyle name="Normal 2 4 2 3 2 3 6 2 3" xfId="32074" xr:uid="{23C154EB-F4B8-4BC6-ADB4-3900E2DFC19F}"/>
    <cellStyle name="Normal 2 4 2 3 2 3 6 2 4" xfId="15187" xr:uid="{90BE1249-61FA-40A7-9812-7A9BE50AA86F}"/>
    <cellStyle name="Normal 2 4 2 3 2 3 6 3" xfId="19410" xr:uid="{D2247120-0DF5-4F6A-8C40-FFB5DC7EB1E2}"/>
    <cellStyle name="Normal 2 4 2 3 2 3 6 4" xfId="27855" xr:uid="{C1976BFF-4CDB-4BF5-9308-B05604893497}"/>
    <cellStyle name="Normal 2 4 2 3 2 3 6 5" xfId="10969" xr:uid="{540FF0EF-AED3-496F-94C6-DD611638E650}"/>
    <cellStyle name="Normal 2 4 2 3 2 3 7" xfId="4679" xr:uid="{00000000-0005-0000-0000-0000D40E0000}"/>
    <cellStyle name="Normal 2 4 2 3 2 3 7 2" xfId="21562" xr:uid="{B4E0627F-10B4-40F5-A730-688C945F7CFD}"/>
    <cellStyle name="Normal 2 4 2 3 2 3 7 3" xfId="30008" xr:uid="{0A6E921D-3BB8-48D6-8CB5-4669774A8149}"/>
    <cellStyle name="Normal 2 4 2 3 2 3 7 4" xfId="13121" xr:uid="{65403A03-36E6-4729-9946-286561A9DF03}"/>
    <cellStyle name="Normal 2 4 2 3 2 3 8" xfId="17344" xr:uid="{20FFC49B-4DEF-46B6-B414-4811EE337A61}"/>
    <cellStyle name="Normal 2 4 2 3 2 3 9" xfId="25788" xr:uid="{7C688E48-0058-4BBC-8462-8CEECE6B8E8D}"/>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24118" xr:uid="{003809D1-0A0A-4777-9D2D-2BF27498FF4A}"/>
    <cellStyle name="Normal 2 4 2 3 2 4 2 2 3" xfId="32564" xr:uid="{6D75FF21-DD06-40E0-9598-FEAEAB810E94}"/>
    <cellStyle name="Normal 2 4 2 3 2 4 2 2 4" xfId="15677" xr:uid="{1B012A7F-9172-4F41-A9D0-A820B8451D91}"/>
    <cellStyle name="Normal 2 4 2 3 2 4 2 3" xfId="19900" xr:uid="{FA3A2010-32F9-4FAB-BCDF-45D93218397C}"/>
    <cellStyle name="Normal 2 4 2 3 2 4 2 4" xfId="28347" xr:uid="{E8D940E3-7774-414A-8426-B75F196AA6A2}"/>
    <cellStyle name="Normal 2 4 2 3 2 4 2 5" xfId="11459" xr:uid="{B4F672BE-8FBF-4E6C-8B11-FFCB112A78C7}"/>
    <cellStyle name="Normal 2 4 2 3 2 4 3" xfId="5090" xr:uid="{00000000-0005-0000-0000-0000D80E0000}"/>
    <cellStyle name="Normal 2 4 2 3 2 4 3 2" xfId="21973" xr:uid="{FF910F5F-209F-409F-BE33-95A928084C5E}"/>
    <cellStyle name="Normal 2 4 2 3 2 4 3 3" xfId="30419" xr:uid="{E36D5141-4FB2-439E-A0B7-FB447AEF2EF0}"/>
    <cellStyle name="Normal 2 4 2 3 2 4 3 4" xfId="13532" xr:uid="{17777BE4-A476-4DCB-A570-EA64CCA424A8}"/>
    <cellStyle name="Normal 2 4 2 3 2 4 4" xfId="17755" xr:uid="{1D2C46A7-F2CB-4F25-B52E-ACA49E166C8A}"/>
    <cellStyle name="Normal 2 4 2 3 2 4 5" xfId="26200" xr:uid="{1DAE9520-CA47-4DC6-92EA-A8AEEE2067E2}"/>
    <cellStyle name="Normal 2 4 2 3 2 4 6" xfId="9314" xr:uid="{198D4A0F-3ABB-43C9-8AA9-031AE32C3A08}"/>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24531" xr:uid="{C907AE41-C6A2-4976-9F88-2AF53DEEFE1E}"/>
    <cellStyle name="Normal 2 4 2 3 2 5 2 2 3" xfId="32977" xr:uid="{CC9882DA-2EEC-448A-B4B5-7EC2A4A7E3DB}"/>
    <cellStyle name="Normal 2 4 2 3 2 5 2 2 4" xfId="16090" xr:uid="{61B5F220-6731-4952-B470-E8B0EAC65136}"/>
    <cellStyle name="Normal 2 4 2 3 2 5 2 3" xfId="20313" xr:uid="{9449FD0D-478E-46DA-BCA3-F439B28F73DC}"/>
    <cellStyle name="Normal 2 4 2 3 2 5 2 4" xfId="28760" xr:uid="{8C6CC9AB-F6F4-4B1D-A0D2-452AF3233345}"/>
    <cellStyle name="Normal 2 4 2 3 2 5 2 5" xfId="11872" xr:uid="{C458293F-5D23-41EF-B44B-5B464DF59C87}"/>
    <cellStyle name="Normal 2 4 2 3 2 5 3" xfId="5503" xr:uid="{00000000-0005-0000-0000-0000DC0E0000}"/>
    <cellStyle name="Normal 2 4 2 3 2 5 3 2" xfId="22386" xr:uid="{AF012A43-46E4-4B40-9BDC-EBC9C85B2F48}"/>
    <cellStyle name="Normal 2 4 2 3 2 5 3 3" xfId="30832" xr:uid="{9B916B7C-9D84-4ABF-8468-F941FAF5F3D6}"/>
    <cellStyle name="Normal 2 4 2 3 2 5 3 4" xfId="13945" xr:uid="{2D2351CE-5466-4AB4-B75F-0C54378F9D11}"/>
    <cellStyle name="Normal 2 4 2 3 2 5 4" xfId="18168" xr:uid="{66D1FCDA-1480-4FA3-9680-E1C027333D6D}"/>
    <cellStyle name="Normal 2 4 2 3 2 5 5" xfId="26613" xr:uid="{2A184E21-F8A0-40E4-8404-F25DF63C1A83}"/>
    <cellStyle name="Normal 2 4 2 3 2 5 6" xfId="9727" xr:uid="{059569CA-3B88-4282-B224-9DFED925F9DC}"/>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24944" xr:uid="{BAFEBD2D-DFA4-4C60-8E8E-A72690E5EB56}"/>
    <cellStyle name="Normal 2 4 2 3 2 6 2 2 3" xfId="33390" xr:uid="{AF6B06D6-6FBC-4CEA-A9AA-8DC6AB0C583E}"/>
    <cellStyle name="Normal 2 4 2 3 2 6 2 2 4" xfId="16503" xr:uid="{80FEE3D9-7542-43EB-96A5-B11B1362D28C}"/>
    <cellStyle name="Normal 2 4 2 3 2 6 2 3" xfId="20726" xr:uid="{C9E1722C-7E77-4CE3-B52C-C5764AA8060D}"/>
    <cellStyle name="Normal 2 4 2 3 2 6 2 4" xfId="29173" xr:uid="{D79F9944-7EF8-4F27-A753-C7823602CF1B}"/>
    <cellStyle name="Normal 2 4 2 3 2 6 2 5" xfId="12285" xr:uid="{CDBB7F36-48E9-4FAC-8676-70CBB321EFBA}"/>
    <cellStyle name="Normal 2 4 2 3 2 6 3" xfId="5916" xr:uid="{00000000-0005-0000-0000-0000E00E0000}"/>
    <cellStyle name="Normal 2 4 2 3 2 6 3 2" xfId="22799" xr:uid="{335241DE-9306-43B4-AB07-D9D406C8451C}"/>
    <cellStyle name="Normal 2 4 2 3 2 6 3 3" xfId="31245" xr:uid="{2D99C031-3D66-47A1-B44F-AC1E1FB7B2FF}"/>
    <cellStyle name="Normal 2 4 2 3 2 6 3 4" xfId="14358" xr:uid="{876938C9-D7DA-4ED9-870D-5F1C35D75A3C}"/>
    <cellStyle name="Normal 2 4 2 3 2 6 4" xfId="18581" xr:uid="{66E2322F-9E3C-4D6E-8F1B-48D6087A39D0}"/>
    <cellStyle name="Normal 2 4 2 3 2 6 5" xfId="27026" xr:uid="{3096E256-3836-4730-9AC1-1CDFF3B2F366}"/>
    <cellStyle name="Normal 2 4 2 3 2 6 6" xfId="10140" xr:uid="{134805C2-5559-41BA-8AB5-AD3A4D9D6579}"/>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25357" xr:uid="{E0B36BF0-DE85-4905-BD61-5AE1F5C86637}"/>
    <cellStyle name="Normal 2 4 2 3 2 7 2 2 3" xfId="33803" xr:uid="{43651C2E-1E73-4BF7-B990-08156000F49F}"/>
    <cellStyle name="Normal 2 4 2 3 2 7 2 2 4" xfId="16916" xr:uid="{B2B58CA6-DF3E-496B-B44C-9AB4EDD96028}"/>
    <cellStyle name="Normal 2 4 2 3 2 7 2 3" xfId="21139" xr:uid="{C1B31482-0132-4093-8844-DE08344328C6}"/>
    <cellStyle name="Normal 2 4 2 3 2 7 2 4" xfId="29586" xr:uid="{B67ED200-FD46-44BA-ABC7-DEBE294A1AE3}"/>
    <cellStyle name="Normal 2 4 2 3 2 7 2 5" xfId="12698" xr:uid="{742BA34B-A8FC-400E-B96F-62ADEC70A057}"/>
    <cellStyle name="Normal 2 4 2 3 2 7 3" xfId="6329" xr:uid="{00000000-0005-0000-0000-0000E40E0000}"/>
    <cellStyle name="Normal 2 4 2 3 2 7 3 2" xfId="23212" xr:uid="{3475E970-1F30-446F-B42F-A60EC0A05CEF}"/>
    <cellStyle name="Normal 2 4 2 3 2 7 3 3" xfId="31658" xr:uid="{C7D281E0-3E87-411C-8145-CF1BB9B7FAF7}"/>
    <cellStyle name="Normal 2 4 2 3 2 7 3 4" xfId="14771" xr:uid="{37618C5A-550E-4F2A-8766-6164524FD83E}"/>
    <cellStyle name="Normal 2 4 2 3 2 7 4" xfId="18994" xr:uid="{9FD516AE-6EDC-49BE-9BF2-941C94D1A996}"/>
    <cellStyle name="Normal 2 4 2 3 2 7 5" xfId="27439" xr:uid="{1AD4E15B-BB1F-4F99-92F0-70D0C5046E60}"/>
    <cellStyle name="Normal 2 4 2 3 2 7 6" xfId="10553" xr:uid="{781EBFD3-F922-4822-86F0-F9D617FC4A43}"/>
    <cellStyle name="Normal 2 4 2 3 2 8" xfId="2458" xr:uid="{00000000-0005-0000-0000-0000E50E0000}"/>
    <cellStyle name="Normal 2 4 2 3 2 8 2" xfId="6742" xr:uid="{00000000-0005-0000-0000-0000E60E0000}"/>
    <cellStyle name="Normal 2 4 2 3 2 8 2 2" xfId="23625" xr:uid="{EE0349A7-E248-48CE-9D79-23131A3ED345}"/>
    <cellStyle name="Normal 2 4 2 3 2 8 2 3" xfId="32071" xr:uid="{2B013892-A322-47FE-A535-94CC3038C620}"/>
    <cellStyle name="Normal 2 4 2 3 2 8 2 4" xfId="15184" xr:uid="{692D9E2A-71A2-4AF2-8F7E-C8BA2AE1BCD9}"/>
    <cellStyle name="Normal 2 4 2 3 2 8 3" xfId="19407" xr:uid="{148AE731-798E-46F1-A91D-0AB3E65714E6}"/>
    <cellStyle name="Normal 2 4 2 3 2 8 4" xfId="27852" xr:uid="{2469B43B-F870-4CCE-897F-38E276B34826}"/>
    <cellStyle name="Normal 2 4 2 3 2 8 5" xfId="10966" xr:uid="{D3057B11-2DDB-4C10-8844-C79E803B9759}"/>
    <cellStyle name="Normal 2 4 2 3 2 9" xfId="4676" xr:uid="{00000000-0005-0000-0000-0000E70E0000}"/>
    <cellStyle name="Normal 2 4 2 3 2 9 2" xfId="21559" xr:uid="{2A36AB34-E3FB-41C2-AA0F-8ECA515E9592}"/>
    <cellStyle name="Normal 2 4 2 3 2 9 3" xfId="30005" xr:uid="{94F4785B-4D94-4EC0-B4B3-F954EB72D9F2}"/>
    <cellStyle name="Normal 2 4 2 3 2 9 4" xfId="13118" xr:uid="{35818B02-7805-4E4A-A61B-DBD1C19DAC4B}"/>
    <cellStyle name="Normal 2 4 2 3 3" xfId="286" xr:uid="{00000000-0005-0000-0000-0000E80E0000}"/>
    <cellStyle name="Normal 2 4 2 3 3 10" xfId="25789" xr:uid="{D5AE413D-B52D-4905-9E28-7C4BF29353DD}"/>
    <cellStyle name="Normal 2 4 2 3 3 11" xfId="8904" xr:uid="{D7B93541-436A-4279-BB66-CB29B62D2214}"/>
    <cellStyle name="Normal 2 4 2 3 3 2" xfId="287" xr:uid="{00000000-0005-0000-0000-0000E90E0000}"/>
    <cellStyle name="Normal 2 4 2 3 3 2 10" xfId="8905" xr:uid="{348CEF22-4652-4975-A253-A6415C63907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24123" xr:uid="{A944E4E3-0573-46B9-A38B-1F069D965DA4}"/>
    <cellStyle name="Normal 2 4 2 3 3 2 2 2 2 3" xfId="32569" xr:uid="{6F5BF12E-CF67-4352-ACCC-9F007233EF49}"/>
    <cellStyle name="Normal 2 4 2 3 3 2 2 2 2 4" xfId="15682" xr:uid="{1D064E4A-D6FB-4DEE-92C4-8F2B1DFD3099}"/>
    <cellStyle name="Normal 2 4 2 3 3 2 2 2 3" xfId="19905" xr:uid="{273290E0-CCB9-4CE7-B6D3-C01559589B20}"/>
    <cellStyle name="Normal 2 4 2 3 3 2 2 2 4" xfId="28352" xr:uid="{B91F0EDC-3C26-4FC1-A731-A9EAB4123AA3}"/>
    <cellStyle name="Normal 2 4 2 3 3 2 2 2 5" xfId="11464" xr:uid="{E39E28BD-596D-4042-ABB9-FF50EA0C8BCC}"/>
    <cellStyle name="Normal 2 4 2 3 3 2 2 3" xfId="5095" xr:uid="{00000000-0005-0000-0000-0000ED0E0000}"/>
    <cellStyle name="Normal 2 4 2 3 3 2 2 3 2" xfId="21978" xr:uid="{917A8BAE-22FD-4399-A8D4-5D0DA327E092}"/>
    <cellStyle name="Normal 2 4 2 3 3 2 2 3 3" xfId="30424" xr:uid="{35374361-A641-44E2-857F-57D8F792F640}"/>
    <cellStyle name="Normal 2 4 2 3 3 2 2 3 4" xfId="13537" xr:uid="{BCC5CF9F-F7E3-4D39-8FA3-09B9540323B6}"/>
    <cellStyle name="Normal 2 4 2 3 3 2 2 4" xfId="17760" xr:uid="{63E58B95-1796-4528-9E34-1FC8802B4DC6}"/>
    <cellStyle name="Normal 2 4 2 3 3 2 2 5" xfId="26205" xr:uid="{D7C34F56-3B2A-48C0-93BC-2B6532B6180C}"/>
    <cellStyle name="Normal 2 4 2 3 3 2 2 6" xfId="9319" xr:uid="{D15397B3-0CEA-4127-AFF6-197EB5FDDB8C}"/>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24536" xr:uid="{C371B135-2C46-4939-9843-6E8C4ED6462B}"/>
    <cellStyle name="Normal 2 4 2 3 3 2 3 2 2 3" xfId="32982" xr:uid="{169FBACB-9CDA-4571-AF9C-2B717CD0DADD}"/>
    <cellStyle name="Normal 2 4 2 3 3 2 3 2 2 4" xfId="16095" xr:uid="{E85E0F77-A72A-4A21-9A56-EAB28265409F}"/>
    <cellStyle name="Normal 2 4 2 3 3 2 3 2 3" xfId="20318" xr:uid="{6B9AD851-3DA5-4C7C-A518-7429FE8C106A}"/>
    <cellStyle name="Normal 2 4 2 3 3 2 3 2 4" xfId="28765" xr:uid="{BCBBB9F4-C7F6-4573-A496-AF5194B7F5FD}"/>
    <cellStyle name="Normal 2 4 2 3 3 2 3 2 5" xfId="11877" xr:uid="{593E1BF9-F6EF-447C-94F0-038C6911BDC5}"/>
    <cellStyle name="Normal 2 4 2 3 3 2 3 3" xfId="5508" xr:uid="{00000000-0005-0000-0000-0000F10E0000}"/>
    <cellStyle name="Normal 2 4 2 3 3 2 3 3 2" xfId="22391" xr:uid="{E529F51C-D98D-47ED-9D98-F9AF1C7FC222}"/>
    <cellStyle name="Normal 2 4 2 3 3 2 3 3 3" xfId="30837" xr:uid="{5AB37771-EE4C-4FB4-ADCA-29816F077B22}"/>
    <cellStyle name="Normal 2 4 2 3 3 2 3 3 4" xfId="13950" xr:uid="{6FE6D4FB-8513-4D82-A6AA-D7CFF9A56D84}"/>
    <cellStyle name="Normal 2 4 2 3 3 2 3 4" xfId="18173" xr:uid="{CEF3D760-BDD7-4442-93A5-715D6E7347CA}"/>
    <cellStyle name="Normal 2 4 2 3 3 2 3 5" xfId="26618" xr:uid="{CC310B71-D27D-4DA4-9A28-F5AF515073A8}"/>
    <cellStyle name="Normal 2 4 2 3 3 2 3 6" xfId="9732" xr:uid="{763F5A09-F555-45D8-B1D8-D9394CF144FF}"/>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24949" xr:uid="{44232A1E-D588-496A-BD7C-25DDC0C88BDF}"/>
    <cellStyle name="Normal 2 4 2 3 3 2 4 2 2 3" xfId="33395" xr:uid="{679387C8-B295-4712-9FB9-B838284CEE55}"/>
    <cellStyle name="Normal 2 4 2 3 3 2 4 2 2 4" xfId="16508" xr:uid="{5FB1D679-4514-493D-A79F-BA7A5CC6592F}"/>
    <cellStyle name="Normal 2 4 2 3 3 2 4 2 3" xfId="20731" xr:uid="{60176FA3-12F1-4ECA-996C-03ADB56BD3AC}"/>
    <cellStyle name="Normal 2 4 2 3 3 2 4 2 4" xfId="29178" xr:uid="{5A3389FA-6E25-4553-84AA-5CAF30104607}"/>
    <cellStyle name="Normal 2 4 2 3 3 2 4 2 5" xfId="12290" xr:uid="{3F55F4DF-68BC-4C74-B2D0-55550C5B5428}"/>
    <cellStyle name="Normal 2 4 2 3 3 2 4 3" xfId="5921" xr:uid="{00000000-0005-0000-0000-0000F50E0000}"/>
    <cellStyle name="Normal 2 4 2 3 3 2 4 3 2" xfId="22804" xr:uid="{705A56F5-E8B1-42EC-BDE8-2877FDE5C751}"/>
    <cellStyle name="Normal 2 4 2 3 3 2 4 3 3" xfId="31250" xr:uid="{98632945-7E19-4CBE-B705-42891C598E1A}"/>
    <cellStyle name="Normal 2 4 2 3 3 2 4 3 4" xfId="14363" xr:uid="{AD97FBA4-D632-46C3-BF74-0E56EEFDD851}"/>
    <cellStyle name="Normal 2 4 2 3 3 2 4 4" xfId="18586" xr:uid="{CBD252EC-774C-4116-BCAE-EC588F076D72}"/>
    <cellStyle name="Normal 2 4 2 3 3 2 4 5" xfId="27031" xr:uid="{FA1D29A1-3DA8-40ED-B780-0552E8A3A6BD}"/>
    <cellStyle name="Normal 2 4 2 3 3 2 4 6" xfId="10145" xr:uid="{64A4975F-BD47-4D5A-8CA4-692A4225D768}"/>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25362" xr:uid="{2B4FEDD7-616F-4064-BDD6-2127B5E660DE}"/>
    <cellStyle name="Normal 2 4 2 3 3 2 5 2 2 3" xfId="33808" xr:uid="{72AFCFD1-0257-478A-9D28-90410DDCE9FF}"/>
    <cellStyle name="Normal 2 4 2 3 3 2 5 2 2 4" xfId="16921" xr:uid="{02E45616-8F8C-4BB1-AA76-5C95B8ADB121}"/>
    <cellStyle name="Normal 2 4 2 3 3 2 5 2 3" xfId="21144" xr:uid="{4206EE15-AFA9-4E14-AB84-86D87005FF60}"/>
    <cellStyle name="Normal 2 4 2 3 3 2 5 2 4" xfId="29591" xr:uid="{16A10601-2F6A-4803-AD59-7A16F437F4A8}"/>
    <cellStyle name="Normal 2 4 2 3 3 2 5 2 5" xfId="12703" xr:uid="{6D5D6804-B380-480A-985E-17B9DD212CD5}"/>
    <cellStyle name="Normal 2 4 2 3 3 2 5 3" xfId="6334" xr:uid="{00000000-0005-0000-0000-0000F90E0000}"/>
    <cellStyle name="Normal 2 4 2 3 3 2 5 3 2" xfId="23217" xr:uid="{ED66B1BC-EC8B-45DA-9764-0AE0F48C8F6A}"/>
    <cellStyle name="Normal 2 4 2 3 3 2 5 3 3" xfId="31663" xr:uid="{2EEF3C4C-F168-4DA9-BEF2-21643A8A5345}"/>
    <cellStyle name="Normal 2 4 2 3 3 2 5 3 4" xfId="14776" xr:uid="{E5CF5218-D236-4718-BE5A-95B5EEFE6091}"/>
    <cellStyle name="Normal 2 4 2 3 3 2 5 4" xfId="18999" xr:uid="{0EC827FD-D43D-451F-87E4-68695200A1B7}"/>
    <cellStyle name="Normal 2 4 2 3 3 2 5 5" xfId="27444" xr:uid="{07A28A00-6EE9-41DF-823C-5C4C40C0B379}"/>
    <cellStyle name="Normal 2 4 2 3 3 2 5 6" xfId="10558" xr:uid="{416BD71A-13F5-42AD-86B9-61C485B49FA7}"/>
    <cellStyle name="Normal 2 4 2 3 3 2 6" xfId="2463" xr:uid="{00000000-0005-0000-0000-0000FA0E0000}"/>
    <cellStyle name="Normal 2 4 2 3 3 2 6 2" xfId="6747" xr:uid="{00000000-0005-0000-0000-0000FB0E0000}"/>
    <cellStyle name="Normal 2 4 2 3 3 2 6 2 2" xfId="23630" xr:uid="{A523DE32-FC66-40E8-B479-0189DC44888A}"/>
    <cellStyle name="Normal 2 4 2 3 3 2 6 2 3" xfId="32076" xr:uid="{50062DED-4F21-4C7A-94FD-6EF902D9526A}"/>
    <cellStyle name="Normal 2 4 2 3 3 2 6 2 4" xfId="15189" xr:uid="{792D5D89-FDFF-4DC8-B0F9-066F6C198399}"/>
    <cellStyle name="Normal 2 4 2 3 3 2 6 3" xfId="19412" xr:uid="{A1804F96-D4D7-4282-B7EF-25EB2B7BE42C}"/>
    <cellStyle name="Normal 2 4 2 3 3 2 6 4" xfId="27857" xr:uid="{3996C024-C015-495B-A371-66DF2C48DA2B}"/>
    <cellStyle name="Normal 2 4 2 3 3 2 6 5" xfId="10971" xr:uid="{CCE5B6AA-9EFB-46E9-8166-A5F8AF8210C8}"/>
    <cellStyle name="Normal 2 4 2 3 3 2 7" xfId="4681" xr:uid="{00000000-0005-0000-0000-0000FC0E0000}"/>
    <cellStyle name="Normal 2 4 2 3 3 2 7 2" xfId="21564" xr:uid="{2BA7958B-F59B-4A06-841B-931FE8273588}"/>
    <cellStyle name="Normal 2 4 2 3 3 2 7 3" xfId="30010" xr:uid="{3209BF7E-6811-42EC-BE46-4313E190EFB4}"/>
    <cellStyle name="Normal 2 4 2 3 3 2 7 4" xfId="13123" xr:uid="{EC65C0EF-8B43-4B9B-8899-4E2358DC57B7}"/>
    <cellStyle name="Normal 2 4 2 3 3 2 8" xfId="17346" xr:uid="{0E1A8E0D-D285-4001-AD0D-B555D72DD306}"/>
    <cellStyle name="Normal 2 4 2 3 3 2 9" xfId="25790" xr:uid="{AFC9DF66-F61B-4A51-90B5-DF8831C86C49}"/>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24122" xr:uid="{A46FE37A-B6AC-41E1-9E9B-CA8BC2C338F7}"/>
    <cellStyle name="Normal 2 4 2 3 3 3 2 2 3" xfId="32568" xr:uid="{AA1F8996-55AA-43EF-B8B5-F2F5F34EDE3D}"/>
    <cellStyle name="Normal 2 4 2 3 3 3 2 2 4" xfId="15681" xr:uid="{7956821F-43CF-4EA8-9EF2-9131F5477E37}"/>
    <cellStyle name="Normal 2 4 2 3 3 3 2 3" xfId="19904" xr:uid="{F7D350B9-42C4-4D35-91C1-60A95D3639C3}"/>
    <cellStyle name="Normal 2 4 2 3 3 3 2 4" xfId="28351" xr:uid="{A753622A-DCA7-4AA7-A087-5BA43DC8BB47}"/>
    <cellStyle name="Normal 2 4 2 3 3 3 2 5" xfId="11463" xr:uid="{A895BF4C-A2B6-4E8B-8B96-3B865FAC0A5F}"/>
    <cellStyle name="Normal 2 4 2 3 3 3 3" xfId="5094" xr:uid="{00000000-0005-0000-0000-0000000F0000}"/>
    <cellStyle name="Normal 2 4 2 3 3 3 3 2" xfId="21977" xr:uid="{772DAC87-B2BA-4F30-BD6E-0808AEA00F1D}"/>
    <cellStyle name="Normal 2 4 2 3 3 3 3 3" xfId="30423" xr:uid="{69F2B3A5-DA2C-487C-845E-B5467DF78D57}"/>
    <cellStyle name="Normal 2 4 2 3 3 3 3 4" xfId="13536" xr:uid="{7F2F57DE-0B3B-4782-B7D5-39FC34202C81}"/>
    <cellStyle name="Normal 2 4 2 3 3 3 4" xfId="17759" xr:uid="{994964D9-6423-47C8-9FE8-E78D1C59819F}"/>
    <cellStyle name="Normal 2 4 2 3 3 3 5" xfId="26204" xr:uid="{36F44B57-336B-4C3B-AE5C-62A0F8E6F1E5}"/>
    <cellStyle name="Normal 2 4 2 3 3 3 6" xfId="9318" xr:uid="{FAF3C025-9845-4AF0-B783-52B24A43480F}"/>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24535" xr:uid="{143EBD2F-5800-4650-BC2E-033553DEA230}"/>
    <cellStyle name="Normal 2 4 2 3 3 4 2 2 3" xfId="32981" xr:uid="{075DB1C6-D223-4FCA-90ED-60F20BB83327}"/>
    <cellStyle name="Normal 2 4 2 3 3 4 2 2 4" xfId="16094" xr:uid="{F563B941-7719-4205-97AA-E28861A9D999}"/>
    <cellStyle name="Normal 2 4 2 3 3 4 2 3" xfId="20317" xr:uid="{D078A9FD-A858-4B21-876F-AC384A9ACBD3}"/>
    <cellStyle name="Normal 2 4 2 3 3 4 2 4" xfId="28764" xr:uid="{08A24AD6-EAB6-4615-A589-7773AB9FA4C4}"/>
    <cellStyle name="Normal 2 4 2 3 3 4 2 5" xfId="11876" xr:uid="{48929479-B543-45B7-A02C-EA8C5D42BDEC}"/>
    <cellStyle name="Normal 2 4 2 3 3 4 3" xfId="5507" xr:uid="{00000000-0005-0000-0000-0000040F0000}"/>
    <cellStyle name="Normal 2 4 2 3 3 4 3 2" xfId="22390" xr:uid="{F974CBB6-D238-49AF-ABF1-91576738F408}"/>
    <cellStyle name="Normal 2 4 2 3 3 4 3 3" xfId="30836" xr:uid="{6780D74F-DA4D-41B1-95E1-96781B91D354}"/>
    <cellStyle name="Normal 2 4 2 3 3 4 3 4" xfId="13949" xr:uid="{92C0CDC2-8339-44C7-8539-D3949917905F}"/>
    <cellStyle name="Normal 2 4 2 3 3 4 4" xfId="18172" xr:uid="{57592199-CBC3-4BF8-9152-A6190904EEEC}"/>
    <cellStyle name="Normal 2 4 2 3 3 4 5" xfId="26617" xr:uid="{9C9BC623-8C7D-4415-90DE-6910AEA0505B}"/>
    <cellStyle name="Normal 2 4 2 3 3 4 6" xfId="9731" xr:uid="{6208D92B-D0F1-4A75-B8F0-1E705E058B0B}"/>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24948" xr:uid="{38D8F3F3-A4D7-4309-9FF1-0D58DDE032AD}"/>
    <cellStyle name="Normal 2 4 2 3 3 5 2 2 3" xfId="33394" xr:uid="{53DA571E-9D5A-4308-864F-718C805240CD}"/>
    <cellStyle name="Normal 2 4 2 3 3 5 2 2 4" xfId="16507" xr:uid="{5EACB934-0BF9-4026-BB55-07850AF39FEB}"/>
    <cellStyle name="Normal 2 4 2 3 3 5 2 3" xfId="20730" xr:uid="{27483E45-F189-4A65-9958-BC5059CA98E0}"/>
    <cellStyle name="Normal 2 4 2 3 3 5 2 4" xfId="29177" xr:uid="{937CBC9F-845E-41C4-9B4C-A4451E33EC6B}"/>
    <cellStyle name="Normal 2 4 2 3 3 5 2 5" xfId="12289" xr:uid="{CAA4DD1F-B586-4244-BB10-684392FCCCC8}"/>
    <cellStyle name="Normal 2 4 2 3 3 5 3" xfId="5920" xr:uid="{00000000-0005-0000-0000-0000080F0000}"/>
    <cellStyle name="Normal 2 4 2 3 3 5 3 2" xfId="22803" xr:uid="{3F255640-B1D7-4D7B-99B0-1ACAEC186F5D}"/>
    <cellStyle name="Normal 2 4 2 3 3 5 3 3" xfId="31249" xr:uid="{B68D989C-CD7D-4384-9F52-CABEE6E40D44}"/>
    <cellStyle name="Normal 2 4 2 3 3 5 3 4" xfId="14362" xr:uid="{9D4F5819-214C-4CB1-A067-055AFD61D687}"/>
    <cellStyle name="Normal 2 4 2 3 3 5 4" xfId="18585" xr:uid="{29113F86-E461-411D-A08C-B31B22D81324}"/>
    <cellStyle name="Normal 2 4 2 3 3 5 5" xfId="27030" xr:uid="{18AFEAC8-1756-4969-98C1-9287BCB26A61}"/>
    <cellStyle name="Normal 2 4 2 3 3 5 6" xfId="10144" xr:uid="{9736A80D-A1EF-4A65-8275-81107416DAD5}"/>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25361" xr:uid="{19B795D9-014B-464D-80B5-6F46BA55E785}"/>
    <cellStyle name="Normal 2 4 2 3 3 6 2 2 3" xfId="33807" xr:uid="{AED34331-9FE2-4731-811B-51B3287849BF}"/>
    <cellStyle name="Normal 2 4 2 3 3 6 2 2 4" xfId="16920" xr:uid="{AC4A3A6A-8141-4BDC-B082-FCAF10168A96}"/>
    <cellStyle name="Normal 2 4 2 3 3 6 2 3" xfId="21143" xr:uid="{BF13D3D6-81B4-4E01-9119-D6F25A9A6211}"/>
    <cellStyle name="Normal 2 4 2 3 3 6 2 4" xfId="29590" xr:uid="{BCD1F405-CC6E-4125-B2DE-C4F23969577B}"/>
    <cellStyle name="Normal 2 4 2 3 3 6 2 5" xfId="12702" xr:uid="{902639D7-C7BD-4628-ACDC-CFB5238B3D2C}"/>
    <cellStyle name="Normal 2 4 2 3 3 6 3" xfId="6333" xr:uid="{00000000-0005-0000-0000-00000C0F0000}"/>
    <cellStyle name="Normal 2 4 2 3 3 6 3 2" xfId="23216" xr:uid="{D5438176-CFB4-4445-A4A5-EA9E71BFD663}"/>
    <cellStyle name="Normal 2 4 2 3 3 6 3 3" xfId="31662" xr:uid="{B4599DE4-9225-4EED-91D8-43001475DF1E}"/>
    <cellStyle name="Normal 2 4 2 3 3 6 3 4" xfId="14775" xr:uid="{C8294B8C-3C1F-4D65-AC79-B536714EB4C2}"/>
    <cellStyle name="Normal 2 4 2 3 3 6 4" xfId="18998" xr:uid="{1488627F-7943-4126-A21D-BE9A1251AE5A}"/>
    <cellStyle name="Normal 2 4 2 3 3 6 5" xfId="27443" xr:uid="{99F0C1F9-75A8-492A-9243-D18337066D76}"/>
    <cellStyle name="Normal 2 4 2 3 3 6 6" xfId="10557" xr:uid="{E370B84D-3118-43DB-A970-D5664C9C414A}"/>
    <cellStyle name="Normal 2 4 2 3 3 7" xfId="2462" xr:uid="{00000000-0005-0000-0000-00000D0F0000}"/>
    <cellStyle name="Normal 2 4 2 3 3 7 2" xfId="6746" xr:uid="{00000000-0005-0000-0000-00000E0F0000}"/>
    <cellStyle name="Normal 2 4 2 3 3 7 2 2" xfId="23629" xr:uid="{D042E819-1F85-4229-87A5-E04EE9A66C00}"/>
    <cellStyle name="Normal 2 4 2 3 3 7 2 3" xfId="32075" xr:uid="{F2EEB4FB-4476-40AD-A3CE-4C85608A143D}"/>
    <cellStyle name="Normal 2 4 2 3 3 7 2 4" xfId="15188" xr:uid="{B6A3BBD8-B366-4A6B-8656-9A4F2A70FA4E}"/>
    <cellStyle name="Normal 2 4 2 3 3 7 3" xfId="19411" xr:uid="{DEFB4AA5-0377-403B-BABB-8894EF00BE06}"/>
    <cellStyle name="Normal 2 4 2 3 3 7 4" xfId="27856" xr:uid="{737BC7E0-1805-4896-ACF7-01D9949C93D2}"/>
    <cellStyle name="Normal 2 4 2 3 3 7 5" xfId="10970" xr:uid="{49BF1D39-C1FC-47E7-92CE-2EA982104E44}"/>
    <cellStyle name="Normal 2 4 2 3 3 8" xfId="4680" xr:uid="{00000000-0005-0000-0000-00000F0F0000}"/>
    <cellStyle name="Normal 2 4 2 3 3 8 2" xfId="21563" xr:uid="{3646F703-4B8C-4278-A20F-C5061450E010}"/>
    <cellStyle name="Normal 2 4 2 3 3 8 3" xfId="30009" xr:uid="{43F23A76-F31F-4343-AFAE-0AF8A4A4CBEF}"/>
    <cellStyle name="Normal 2 4 2 3 3 8 4" xfId="13122" xr:uid="{1E7C83EB-3501-401C-ADD5-14B82E879CC9}"/>
    <cellStyle name="Normal 2 4 2 3 3 9" xfId="17345" xr:uid="{202D044D-FC30-4BDF-BF91-4F036B5D6D2C}"/>
    <cellStyle name="Normal 2 4 2 3 4" xfId="288" xr:uid="{00000000-0005-0000-0000-0000100F0000}"/>
    <cellStyle name="Normal 2 4 2 3 4 10" xfId="8906" xr:uid="{5A5CC2EF-1E64-4274-A5F7-1199EB1D13CF}"/>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24124" xr:uid="{9D68A27E-EEF5-44D6-A6CB-2F8A920CA5F7}"/>
    <cellStyle name="Normal 2 4 2 3 4 2 2 2 3" xfId="32570" xr:uid="{F718515C-395E-45DC-9458-273C0B2752F3}"/>
    <cellStyle name="Normal 2 4 2 3 4 2 2 2 4" xfId="15683" xr:uid="{45521D68-2D4E-4551-9151-57B43FCDC8A9}"/>
    <cellStyle name="Normal 2 4 2 3 4 2 2 3" xfId="19906" xr:uid="{0D493D8F-9D00-4A42-A08D-BE26A5FDDA49}"/>
    <cellStyle name="Normal 2 4 2 3 4 2 2 4" xfId="28353" xr:uid="{FD12D4F6-7982-42BA-B8C0-1D82D081E3E1}"/>
    <cellStyle name="Normal 2 4 2 3 4 2 2 5" xfId="11465" xr:uid="{63754DFF-86B5-4D7D-B374-F9DF3B111194}"/>
    <cellStyle name="Normal 2 4 2 3 4 2 3" xfId="5096" xr:uid="{00000000-0005-0000-0000-0000140F0000}"/>
    <cellStyle name="Normal 2 4 2 3 4 2 3 2" xfId="21979" xr:uid="{F0EB3B07-B775-4707-846E-7D0CF49FD350}"/>
    <cellStyle name="Normal 2 4 2 3 4 2 3 3" xfId="30425" xr:uid="{8B60BDE3-8B6C-4173-AAD0-DF1FDB7B95D4}"/>
    <cellStyle name="Normal 2 4 2 3 4 2 3 4" xfId="13538" xr:uid="{558AE765-7D68-4C29-BEEE-48CFAFD6B0E0}"/>
    <cellStyle name="Normal 2 4 2 3 4 2 4" xfId="17761" xr:uid="{755FEEFF-784D-4DE7-AAE4-B5383B60A969}"/>
    <cellStyle name="Normal 2 4 2 3 4 2 5" xfId="26206" xr:uid="{5371AA3A-BCBF-459C-B61C-62F62F2FD9FC}"/>
    <cellStyle name="Normal 2 4 2 3 4 2 6" xfId="9320" xr:uid="{C3D373AF-CE67-45F1-B922-ADB6AAD240ED}"/>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24537" xr:uid="{04DEC0FE-CFD1-4004-990D-7AF2AA51536E}"/>
    <cellStyle name="Normal 2 4 2 3 4 3 2 2 3" xfId="32983" xr:uid="{D924F937-AD4A-48E4-9A5C-DBCF8AA97FEC}"/>
    <cellStyle name="Normal 2 4 2 3 4 3 2 2 4" xfId="16096" xr:uid="{779DB65C-6B5B-45DD-A52F-2030662C47A1}"/>
    <cellStyle name="Normal 2 4 2 3 4 3 2 3" xfId="20319" xr:uid="{059329EB-A1AC-41E7-9690-405AFB1FFD91}"/>
    <cellStyle name="Normal 2 4 2 3 4 3 2 4" xfId="28766" xr:uid="{7A3D8A1C-E812-4F5A-99FF-DA45A01408A5}"/>
    <cellStyle name="Normal 2 4 2 3 4 3 2 5" xfId="11878" xr:uid="{D2B5B538-A9BC-471D-9B18-ED2F266ECD7B}"/>
    <cellStyle name="Normal 2 4 2 3 4 3 3" xfId="5509" xr:uid="{00000000-0005-0000-0000-0000180F0000}"/>
    <cellStyle name="Normal 2 4 2 3 4 3 3 2" xfId="22392" xr:uid="{2F067970-6A16-4AC7-A092-A909B7EEC430}"/>
    <cellStyle name="Normal 2 4 2 3 4 3 3 3" xfId="30838" xr:uid="{15A16EE7-D00F-4902-95C4-D3AE743F94CF}"/>
    <cellStyle name="Normal 2 4 2 3 4 3 3 4" xfId="13951" xr:uid="{684111C5-839A-49AB-B1E7-7AC71F123C57}"/>
    <cellStyle name="Normal 2 4 2 3 4 3 4" xfId="18174" xr:uid="{0927664A-2146-40A0-919C-0A4B0F41A062}"/>
    <cellStyle name="Normal 2 4 2 3 4 3 5" xfId="26619" xr:uid="{E8964843-ED11-4042-B6DC-F831A1ADF5BF}"/>
    <cellStyle name="Normal 2 4 2 3 4 3 6" xfId="9733" xr:uid="{EC310B99-DA5F-4ED7-8932-8ACFD4FFC49D}"/>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24950" xr:uid="{A5C904DC-14F2-47E3-BFDA-E29D40952CB8}"/>
    <cellStyle name="Normal 2 4 2 3 4 4 2 2 3" xfId="33396" xr:uid="{E1151252-A0C5-4A5D-8F29-8A8760431AC3}"/>
    <cellStyle name="Normal 2 4 2 3 4 4 2 2 4" xfId="16509" xr:uid="{6E916002-6683-46F8-81ED-D968D5F2AFCD}"/>
    <cellStyle name="Normal 2 4 2 3 4 4 2 3" xfId="20732" xr:uid="{9A8ADB02-F404-42CF-B959-19F2F111EBB5}"/>
    <cellStyle name="Normal 2 4 2 3 4 4 2 4" xfId="29179" xr:uid="{6758C371-A5DF-404A-A882-DC938AD065BE}"/>
    <cellStyle name="Normal 2 4 2 3 4 4 2 5" xfId="12291" xr:uid="{45CC112D-21E4-41CA-9C95-2DC26BCE7EC7}"/>
    <cellStyle name="Normal 2 4 2 3 4 4 3" xfId="5922" xr:uid="{00000000-0005-0000-0000-00001C0F0000}"/>
    <cellStyle name="Normal 2 4 2 3 4 4 3 2" xfId="22805" xr:uid="{F44080E3-6D47-4B86-B47B-BA8AF49AB539}"/>
    <cellStyle name="Normal 2 4 2 3 4 4 3 3" xfId="31251" xr:uid="{1F119824-52C6-4D0F-9B6E-01A9EFF48DA2}"/>
    <cellStyle name="Normal 2 4 2 3 4 4 3 4" xfId="14364" xr:uid="{055543BD-BF83-4174-9891-86FE1C8C63BD}"/>
    <cellStyle name="Normal 2 4 2 3 4 4 4" xfId="18587" xr:uid="{17FBA32C-AC5A-4987-8A50-5C8371B51B35}"/>
    <cellStyle name="Normal 2 4 2 3 4 4 5" xfId="27032" xr:uid="{CBD8ACFB-E15E-4CF8-B7A3-72EA0309EEBF}"/>
    <cellStyle name="Normal 2 4 2 3 4 4 6" xfId="10146" xr:uid="{A5794A5A-4C85-4BE9-A221-6000740A69C9}"/>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25363" xr:uid="{EFF6C7B9-6177-4BEE-868C-4F1C83D98F9E}"/>
    <cellStyle name="Normal 2 4 2 3 4 5 2 2 3" xfId="33809" xr:uid="{385BD9E4-98C1-44C6-821C-316939D8CAC0}"/>
    <cellStyle name="Normal 2 4 2 3 4 5 2 2 4" xfId="16922" xr:uid="{E58A4F21-12EC-4B47-80C9-2B954061F27F}"/>
    <cellStyle name="Normal 2 4 2 3 4 5 2 3" xfId="21145" xr:uid="{9935B65A-7138-4000-90E9-39BD7DACBBFD}"/>
    <cellStyle name="Normal 2 4 2 3 4 5 2 4" xfId="29592" xr:uid="{5C6388C8-F0CD-4417-9CF2-C27B37635C04}"/>
    <cellStyle name="Normal 2 4 2 3 4 5 2 5" xfId="12704" xr:uid="{804A8949-131D-4925-A77D-11ABE724234D}"/>
    <cellStyle name="Normal 2 4 2 3 4 5 3" xfId="6335" xr:uid="{00000000-0005-0000-0000-0000200F0000}"/>
    <cellStyle name="Normal 2 4 2 3 4 5 3 2" xfId="23218" xr:uid="{A83FB288-B3F9-4718-A1C3-FA03E72C5771}"/>
    <cellStyle name="Normal 2 4 2 3 4 5 3 3" xfId="31664" xr:uid="{BDE28001-0B4D-4A49-B2B1-B22FB78BC95A}"/>
    <cellStyle name="Normal 2 4 2 3 4 5 3 4" xfId="14777" xr:uid="{0CB482C9-4008-4267-85E9-D33AFE130BFB}"/>
    <cellStyle name="Normal 2 4 2 3 4 5 4" xfId="19000" xr:uid="{D7DDABEE-1E31-4F70-AC53-2D61261231C3}"/>
    <cellStyle name="Normal 2 4 2 3 4 5 5" xfId="27445" xr:uid="{48CE50BD-81E6-4752-891C-BF37B35937B0}"/>
    <cellStyle name="Normal 2 4 2 3 4 5 6" xfId="10559" xr:uid="{21C6A11D-B423-417C-8819-A9FBA267A76A}"/>
    <cellStyle name="Normal 2 4 2 3 4 6" xfId="2464" xr:uid="{00000000-0005-0000-0000-0000210F0000}"/>
    <cellStyle name="Normal 2 4 2 3 4 6 2" xfId="6748" xr:uid="{00000000-0005-0000-0000-0000220F0000}"/>
    <cellStyle name="Normal 2 4 2 3 4 6 2 2" xfId="23631" xr:uid="{446CCF97-1137-403A-91A9-85C31CC44722}"/>
    <cellStyle name="Normal 2 4 2 3 4 6 2 3" xfId="32077" xr:uid="{1858B7EB-D6A5-49CB-95A9-98CD8106ACE7}"/>
    <cellStyle name="Normal 2 4 2 3 4 6 2 4" xfId="15190" xr:uid="{9164ECDE-A5EA-4B38-8401-AA98EAA9D166}"/>
    <cellStyle name="Normal 2 4 2 3 4 6 3" xfId="19413" xr:uid="{3B91EF40-1588-4AE5-BCFC-DCACBB94F853}"/>
    <cellStyle name="Normal 2 4 2 3 4 6 4" xfId="27858" xr:uid="{733C9A78-1EFB-4C59-919B-8249DCB9E5A2}"/>
    <cellStyle name="Normal 2 4 2 3 4 6 5" xfId="10972" xr:uid="{5EAF3ED9-1F50-4B92-A6C2-37E23915E3C8}"/>
    <cellStyle name="Normal 2 4 2 3 4 7" xfId="4682" xr:uid="{00000000-0005-0000-0000-0000230F0000}"/>
    <cellStyle name="Normal 2 4 2 3 4 7 2" xfId="21565" xr:uid="{A552924B-AFBA-4D4B-92B4-60E7EB289EEC}"/>
    <cellStyle name="Normal 2 4 2 3 4 7 3" xfId="30011" xr:uid="{B0E096E0-A8EE-4137-916F-F46C4ACAAA28}"/>
    <cellStyle name="Normal 2 4 2 3 4 7 4" xfId="13124" xr:uid="{9F4436B4-C630-4EC0-A7D8-26C9805FD606}"/>
    <cellStyle name="Normal 2 4 2 3 4 8" xfId="17347" xr:uid="{AFBEF330-0A1A-4661-9716-6F841C137AB7}"/>
    <cellStyle name="Normal 2 4 2 3 4 9" xfId="25791" xr:uid="{CA48B6DD-8957-430C-A0ED-ED6CB0D112D7}"/>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24117" xr:uid="{08B6912C-D30C-47CA-AD8E-82040E57E9ED}"/>
    <cellStyle name="Normal 2 4 2 3 5 2 2 3" xfId="32563" xr:uid="{3F4F8023-79F8-4696-A84E-1743FEEF84C4}"/>
    <cellStyle name="Normal 2 4 2 3 5 2 2 4" xfId="15676" xr:uid="{97446914-F69C-4763-974C-E85C3EF4DAB2}"/>
    <cellStyle name="Normal 2 4 2 3 5 2 3" xfId="19899" xr:uid="{0375B9AD-910B-483F-8F76-92767DE62421}"/>
    <cellStyle name="Normal 2 4 2 3 5 2 4" xfId="28346" xr:uid="{F0EF4609-3EC5-45EB-8544-2E768CB48A10}"/>
    <cellStyle name="Normal 2 4 2 3 5 2 5" xfId="11458" xr:uid="{5E890C1A-C818-4E79-AB41-8812A15E2078}"/>
    <cellStyle name="Normal 2 4 2 3 5 3" xfId="5089" xr:uid="{00000000-0005-0000-0000-0000270F0000}"/>
    <cellStyle name="Normal 2 4 2 3 5 3 2" xfId="21972" xr:uid="{DC584D19-F641-4A3C-89EA-17C24372E006}"/>
    <cellStyle name="Normal 2 4 2 3 5 3 3" xfId="30418" xr:uid="{067B5E08-07AA-4FCF-B9BC-73480DE3377A}"/>
    <cellStyle name="Normal 2 4 2 3 5 3 4" xfId="13531" xr:uid="{8D7D6FB5-324E-411D-89B0-084099B368C6}"/>
    <cellStyle name="Normal 2 4 2 3 5 4" xfId="17754" xr:uid="{A3360A1C-6283-455E-B273-E88B43175ADE}"/>
    <cellStyle name="Normal 2 4 2 3 5 5" xfId="26199" xr:uid="{D102877C-3B7C-4F37-8A10-AB48818A1649}"/>
    <cellStyle name="Normal 2 4 2 3 5 6" xfId="9313" xr:uid="{7AC04ABD-2F04-40AF-8B7A-490143FCF3CB}"/>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24530" xr:uid="{9D7D926B-965F-478C-8C2B-A77F3128C399}"/>
    <cellStyle name="Normal 2 4 2 3 6 2 2 3" xfId="32976" xr:uid="{C2919463-5762-4086-8B4E-3D3B91DBCC1A}"/>
    <cellStyle name="Normal 2 4 2 3 6 2 2 4" xfId="16089" xr:uid="{62CDFFD4-9449-4C02-BEF3-43E8B99B7A32}"/>
    <cellStyle name="Normal 2 4 2 3 6 2 3" xfId="20312" xr:uid="{71F7B43D-D844-4254-9302-D4C12FE6583E}"/>
    <cellStyle name="Normal 2 4 2 3 6 2 4" xfId="28759" xr:uid="{40259EBF-AAC7-4A50-82B1-EA232FB58DED}"/>
    <cellStyle name="Normal 2 4 2 3 6 2 5" xfId="11871" xr:uid="{A6BAD8AE-6B10-4330-814A-A9A2C8CAEFC4}"/>
    <cellStyle name="Normal 2 4 2 3 6 3" xfId="5502" xr:uid="{00000000-0005-0000-0000-00002B0F0000}"/>
    <cellStyle name="Normal 2 4 2 3 6 3 2" xfId="22385" xr:uid="{960DAEC1-3C8A-4DBD-ABC3-5784F7284CC3}"/>
    <cellStyle name="Normal 2 4 2 3 6 3 3" xfId="30831" xr:uid="{24D32BA6-90F5-43C4-978C-111EC8B2BA5A}"/>
    <cellStyle name="Normal 2 4 2 3 6 3 4" xfId="13944" xr:uid="{B68EE14E-AF5E-46FF-AD60-8BAF2DA0C3DC}"/>
    <cellStyle name="Normal 2 4 2 3 6 4" xfId="18167" xr:uid="{FCF84019-DFF0-4E00-8EA6-C6A9792CB74F}"/>
    <cellStyle name="Normal 2 4 2 3 6 5" xfId="26612" xr:uid="{49B37EFE-7353-4F83-BC23-25CBB4428A42}"/>
    <cellStyle name="Normal 2 4 2 3 6 6" xfId="9726" xr:uid="{689FE217-A7C8-41FE-851A-C783538193AB}"/>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24943" xr:uid="{207A4466-24E1-4D22-B6B8-D110CF2FA26C}"/>
    <cellStyle name="Normal 2 4 2 3 7 2 2 3" xfId="33389" xr:uid="{3CC39797-3960-42A2-BA5F-63D30F5C96FE}"/>
    <cellStyle name="Normal 2 4 2 3 7 2 2 4" xfId="16502" xr:uid="{D5A3D254-EDD5-41CB-A921-1777AAAF1DE5}"/>
    <cellStyle name="Normal 2 4 2 3 7 2 3" xfId="20725" xr:uid="{3F9C3E2C-728C-4EE6-A917-BFF0EC5C006F}"/>
    <cellStyle name="Normal 2 4 2 3 7 2 4" xfId="29172" xr:uid="{DE71299F-4185-4112-A2BC-5E2CA455D732}"/>
    <cellStyle name="Normal 2 4 2 3 7 2 5" xfId="12284" xr:uid="{69135A57-0B80-4E47-8643-7C902C08B91D}"/>
    <cellStyle name="Normal 2 4 2 3 7 3" xfId="5915" xr:uid="{00000000-0005-0000-0000-00002F0F0000}"/>
    <cellStyle name="Normal 2 4 2 3 7 3 2" xfId="22798" xr:uid="{D999641C-1DEF-4E2E-8369-3D3B7C7AF89C}"/>
    <cellStyle name="Normal 2 4 2 3 7 3 3" xfId="31244" xr:uid="{46C0DA5F-779E-43CD-A5E0-EF85817CF9F5}"/>
    <cellStyle name="Normal 2 4 2 3 7 3 4" xfId="14357" xr:uid="{3BF91556-E491-4F71-95D4-0E518F21309B}"/>
    <cellStyle name="Normal 2 4 2 3 7 4" xfId="18580" xr:uid="{6B8E38CE-BD9C-4155-88AF-BCA268C085B9}"/>
    <cellStyle name="Normal 2 4 2 3 7 5" xfId="27025" xr:uid="{3F9445AE-83DA-4186-9428-D53C7D380859}"/>
    <cellStyle name="Normal 2 4 2 3 7 6" xfId="10139" xr:uid="{5411A806-018F-458B-8B1D-DEBD15E41E21}"/>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25356" xr:uid="{7AC8FE9E-87CE-46D5-B198-321644BC668D}"/>
    <cellStyle name="Normal 2 4 2 3 8 2 2 3" xfId="33802" xr:uid="{39740200-33D3-4089-AC23-60868C8B50C5}"/>
    <cellStyle name="Normal 2 4 2 3 8 2 2 4" xfId="16915" xr:uid="{B3D67458-703B-4FC9-8AC1-4134D3CCBEA1}"/>
    <cellStyle name="Normal 2 4 2 3 8 2 3" xfId="21138" xr:uid="{79BAE982-BB11-4564-A895-5DB24DA14EF2}"/>
    <cellStyle name="Normal 2 4 2 3 8 2 4" xfId="29585" xr:uid="{433D29B1-BF78-45D9-82A6-433859752049}"/>
    <cellStyle name="Normal 2 4 2 3 8 2 5" xfId="12697" xr:uid="{F3C9F287-D59F-4CC6-92F4-74BB3B80BD64}"/>
    <cellStyle name="Normal 2 4 2 3 8 3" xfId="6328" xr:uid="{00000000-0005-0000-0000-0000330F0000}"/>
    <cellStyle name="Normal 2 4 2 3 8 3 2" xfId="23211" xr:uid="{1A0B2A0F-AF75-4473-965D-322DC2491F16}"/>
    <cellStyle name="Normal 2 4 2 3 8 3 3" xfId="31657" xr:uid="{F9A3BCFC-9AA1-492B-802A-06BF4BDF7E47}"/>
    <cellStyle name="Normal 2 4 2 3 8 3 4" xfId="14770" xr:uid="{77EFBA44-1712-4947-8212-E557982BCBD6}"/>
    <cellStyle name="Normal 2 4 2 3 8 4" xfId="18993" xr:uid="{3D5DD54B-C973-4CFB-B868-4BE342F8F386}"/>
    <cellStyle name="Normal 2 4 2 3 8 5" xfId="27438" xr:uid="{C67D34D0-B735-4E4C-ADB8-9990AEB85E8E}"/>
    <cellStyle name="Normal 2 4 2 3 8 6" xfId="10552" xr:uid="{A11D7FDC-0522-4DE6-BBAB-8ABAA94A7556}"/>
    <cellStyle name="Normal 2 4 2 3 9" xfId="2457" xr:uid="{00000000-0005-0000-0000-0000340F0000}"/>
    <cellStyle name="Normal 2 4 2 3 9 2" xfId="6741" xr:uid="{00000000-0005-0000-0000-0000350F0000}"/>
    <cellStyle name="Normal 2 4 2 3 9 2 2" xfId="23624" xr:uid="{18E64299-06E2-48DD-98C1-0948E5713CD1}"/>
    <cellStyle name="Normal 2 4 2 3 9 2 3" xfId="32070" xr:uid="{CBE43E7E-E8F5-4F20-941F-D32B7D324D10}"/>
    <cellStyle name="Normal 2 4 2 3 9 2 4" xfId="15183" xr:uid="{EA209AFB-FD64-413B-962B-2DC390F659EC}"/>
    <cellStyle name="Normal 2 4 2 3 9 3" xfId="19406" xr:uid="{D8D6AE27-E228-452A-8B2C-3D810006C080}"/>
    <cellStyle name="Normal 2 4 2 3 9 4" xfId="27851" xr:uid="{9AF270C8-8F53-4AC6-AF2E-048FC058A5F3}"/>
    <cellStyle name="Normal 2 4 2 3 9 5" xfId="10965" xr:uid="{2FE3AA5E-06C5-4F6A-BB39-EF532B2A40EA}"/>
    <cellStyle name="Normal 2 4 2 4" xfId="289" xr:uid="{00000000-0005-0000-0000-0000360F0000}"/>
    <cellStyle name="Normal 2 4 2 4 10" xfId="17348" xr:uid="{D7450ACF-0DFD-4A72-ABF6-F9F4CD5DAF93}"/>
    <cellStyle name="Normal 2 4 2 4 11" xfId="25792" xr:uid="{26E37870-45C6-4115-8B93-3DC3B4528F9D}"/>
    <cellStyle name="Normal 2 4 2 4 12" xfId="8907" xr:uid="{B160BA2D-6022-4FD0-BED7-8AFBDD0246B8}"/>
    <cellStyle name="Normal 2 4 2 4 2" xfId="290" xr:uid="{00000000-0005-0000-0000-0000370F0000}"/>
    <cellStyle name="Normal 2 4 2 4 2 10" xfId="25793" xr:uid="{AF6DF9DB-F46C-4C2D-9979-C5948EBA744E}"/>
    <cellStyle name="Normal 2 4 2 4 2 11" xfId="8908" xr:uid="{F7A48A88-AF67-46B6-9F91-25D95527C6CE}"/>
    <cellStyle name="Normal 2 4 2 4 2 2" xfId="291" xr:uid="{00000000-0005-0000-0000-0000380F0000}"/>
    <cellStyle name="Normal 2 4 2 4 2 2 10" xfId="8909" xr:uid="{C9808DF6-706D-4744-8C2B-3E6930405ECA}"/>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24127" xr:uid="{73F9A6D9-98DF-4145-82C0-EACC316FE354}"/>
    <cellStyle name="Normal 2 4 2 4 2 2 2 2 2 3" xfId="32573" xr:uid="{74869957-6635-41FC-8C80-D3F6601A673A}"/>
    <cellStyle name="Normal 2 4 2 4 2 2 2 2 2 4" xfId="15686" xr:uid="{4AEF2020-3ED5-4F7B-86F0-79352312C28C}"/>
    <cellStyle name="Normal 2 4 2 4 2 2 2 2 3" xfId="19909" xr:uid="{74C1718C-2923-4151-BA6B-54709C563FE5}"/>
    <cellStyle name="Normal 2 4 2 4 2 2 2 2 4" xfId="28356" xr:uid="{F5D5A9E1-F1F4-4258-8DD7-82FCDBF6AC91}"/>
    <cellStyle name="Normal 2 4 2 4 2 2 2 2 5" xfId="11468" xr:uid="{0B95DC89-D749-4CB5-A67E-DF93ECD47044}"/>
    <cellStyle name="Normal 2 4 2 4 2 2 2 3" xfId="5099" xr:uid="{00000000-0005-0000-0000-00003C0F0000}"/>
    <cellStyle name="Normal 2 4 2 4 2 2 2 3 2" xfId="21982" xr:uid="{9AE3D75C-43C4-45A8-A347-EA38254F8543}"/>
    <cellStyle name="Normal 2 4 2 4 2 2 2 3 3" xfId="30428" xr:uid="{C2B243BA-071F-4970-BDBC-39844C515EFF}"/>
    <cellStyle name="Normal 2 4 2 4 2 2 2 3 4" xfId="13541" xr:uid="{DB2DFA22-4345-428F-B32A-96D9A987E1D9}"/>
    <cellStyle name="Normal 2 4 2 4 2 2 2 4" xfId="17764" xr:uid="{9E51B9E1-3EBB-4DAF-8757-C885543989A5}"/>
    <cellStyle name="Normal 2 4 2 4 2 2 2 5" xfId="26209" xr:uid="{9CF543C2-6171-4D64-9775-6855F03F50EE}"/>
    <cellStyle name="Normal 2 4 2 4 2 2 2 6" xfId="9323" xr:uid="{0E150C75-F1A5-4C48-A46E-6336E3CB1D73}"/>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24540" xr:uid="{35C8C85F-7CDB-44B3-89DC-DC7968506212}"/>
    <cellStyle name="Normal 2 4 2 4 2 2 3 2 2 3" xfId="32986" xr:uid="{2A8B5D15-53A9-4771-8590-FFE3FB4072B4}"/>
    <cellStyle name="Normal 2 4 2 4 2 2 3 2 2 4" xfId="16099" xr:uid="{235EFFD8-02B9-4DF5-B15F-E06A3FAE88FC}"/>
    <cellStyle name="Normal 2 4 2 4 2 2 3 2 3" xfId="20322" xr:uid="{87E9CB44-3320-4ED5-99CD-7A4FC0E40799}"/>
    <cellStyle name="Normal 2 4 2 4 2 2 3 2 4" xfId="28769" xr:uid="{375A1645-19F1-4318-A041-F80F169E3D35}"/>
    <cellStyle name="Normal 2 4 2 4 2 2 3 2 5" xfId="11881" xr:uid="{802CA683-DE3E-4EEE-B079-4348093C5D34}"/>
    <cellStyle name="Normal 2 4 2 4 2 2 3 3" xfId="5512" xr:uid="{00000000-0005-0000-0000-0000400F0000}"/>
    <cellStyle name="Normal 2 4 2 4 2 2 3 3 2" xfId="22395" xr:uid="{4A08B73C-483F-4C85-8C8F-2576B1F4F0E9}"/>
    <cellStyle name="Normal 2 4 2 4 2 2 3 3 3" xfId="30841" xr:uid="{1C45E03F-ADEA-43E5-BA8E-6493AE246DF8}"/>
    <cellStyle name="Normal 2 4 2 4 2 2 3 3 4" xfId="13954" xr:uid="{BA56EF58-67A1-4DB8-BDBD-1ED07ED2DF4F}"/>
    <cellStyle name="Normal 2 4 2 4 2 2 3 4" xfId="18177" xr:uid="{01E87FD4-177C-4839-A03E-E405030404F6}"/>
    <cellStyle name="Normal 2 4 2 4 2 2 3 5" xfId="26622" xr:uid="{7AD5D9D5-4A8C-4FDB-A44D-DF4E7A953595}"/>
    <cellStyle name="Normal 2 4 2 4 2 2 3 6" xfId="9736" xr:uid="{C206C61A-857C-43FE-A919-5A140CD43796}"/>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24953" xr:uid="{DC4943D5-0553-43C0-A0B5-C0ED58654340}"/>
    <cellStyle name="Normal 2 4 2 4 2 2 4 2 2 3" xfId="33399" xr:uid="{7DA0DAC3-E829-41DC-BDEC-30BA294C22B0}"/>
    <cellStyle name="Normal 2 4 2 4 2 2 4 2 2 4" xfId="16512" xr:uid="{1909596F-A7F0-484A-91C1-534BBCC65ED3}"/>
    <cellStyle name="Normal 2 4 2 4 2 2 4 2 3" xfId="20735" xr:uid="{75D7DDB5-233B-4665-959A-386A998B4159}"/>
    <cellStyle name="Normal 2 4 2 4 2 2 4 2 4" xfId="29182" xr:uid="{5BA0436F-7AB8-4587-B3F6-1AB06E87DECB}"/>
    <cellStyle name="Normal 2 4 2 4 2 2 4 2 5" xfId="12294" xr:uid="{F903224A-29B5-4C66-9C8A-92FF3DE0F5DF}"/>
    <cellStyle name="Normal 2 4 2 4 2 2 4 3" xfId="5925" xr:uid="{00000000-0005-0000-0000-0000440F0000}"/>
    <cellStyle name="Normal 2 4 2 4 2 2 4 3 2" xfId="22808" xr:uid="{2ED2757F-D193-4730-BDFB-515638F4BE9D}"/>
    <cellStyle name="Normal 2 4 2 4 2 2 4 3 3" xfId="31254" xr:uid="{A447FED4-589C-4FCB-AF52-2CA7E7436C78}"/>
    <cellStyle name="Normal 2 4 2 4 2 2 4 3 4" xfId="14367" xr:uid="{EA3E7B92-71BC-4847-BEF0-C1AC8E5BD49E}"/>
    <cellStyle name="Normal 2 4 2 4 2 2 4 4" xfId="18590" xr:uid="{62ACB806-1DC8-4F71-B815-63F504CBBBF4}"/>
    <cellStyle name="Normal 2 4 2 4 2 2 4 5" xfId="27035" xr:uid="{677C7EE9-8B4B-46E7-879A-5CB8A9204C6A}"/>
    <cellStyle name="Normal 2 4 2 4 2 2 4 6" xfId="10149" xr:uid="{4C4CBAA6-200D-4EDB-AFA2-33E4E5645A63}"/>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25366" xr:uid="{F51F8B9D-49B0-4E49-8D90-F4AA75AC9575}"/>
    <cellStyle name="Normal 2 4 2 4 2 2 5 2 2 3" xfId="33812" xr:uid="{68206F1D-F3E2-43CB-B9B1-7A82AE320116}"/>
    <cellStyle name="Normal 2 4 2 4 2 2 5 2 2 4" xfId="16925" xr:uid="{A56E72F1-FB5B-4C40-AE72-1D2A9316CF86}"/>
    <cellStyle name="Normal 2 4 2 4 2 2 5 2 3" xfId="21148" xr:uid="{AA3DACC9-F7F2-4B09-8F70-CF857BB5B75F}"/>
    <cellStyle name="Normal 2 4 2 4 2 2 5 2 4" xfId="29595" xr:uid="{CA5A7DA6-526B-4A1B-BBE4-CB428453E45C}"/>
    <cellStyle name="Normal 2 4 2 4 2 2 5 2 5" xfId="12707" xr:uid="{814251C1-A611-4E9C-92C9-F9223720492D}"/>
    <cellStyle name="Normal 2 4 2 4 2 2 5 3" xfId="6338" xr:uid="{00000000-0005-0000-0000-0000480F0000}"/>
    <cellStyle name="Normal 2 4 2 4 2 2 5 3 2" xfId="23221" xr:uid="{78327BEF-ADB7-4E28-8C2B-CDADF7E0D091}"/>
    <cellStyle name="Normal 2 4 2 4 2 2 5 3 3" xfId="31667" xr:uid="{04B8EA4E-0FD0-421F-AAA4-6FA4BAD67897}"/>
    <cellStyle name="Normal 2 4 2 4 2 2 5 3 4" xfId="14780" xr:uid="{6D89518B-7BD8-4E81-8A8E-55B9A98FA132}"/>
    <cellStyle name="Normal 2 4 2 4 2 2 5 4" xfId="19003" xr:uid="{3C5349AF-9BA8-424C-920F-12FFB9D20CB3}"/>
    <cellStyle name="Normal 2 4 2 4 2 2 5 5" xfId="27448" xr:uid="{959B7EAC-3FA3-499A-96C0-425ADEF6A979}"/>
    <cellStyle name="Normal 2 4 2 4 2 2 5 6" xfId="10562" xr:uid="{632F6513-E8BE-4DDE-BDFB-93A1B94CBD81}"/>
    <cellStyle name="Normal 2 4 2 4 2 2 6" xfId="2467" xr:uid="{00000000-0005-0000-0000-0000490F0000}"/>
    <cellStyle name="Normal 2 4 2 4 2 2 6 2" xfId="6751" xr:uid="{00000000-0005-0000-0000-00004A0F0000}"/>
    <cellStyle name="Normal 2 4 2 4 2 2 6 2 2" xfId="23634" xr:uid="{3A8E8324-0B41-4C8C-9F1B-2763EDE6C8A6}"/>
    <cellStyle name="Normal 2 4 2 4 2 2 6 2 3" xfId="32080" xr:uid="{6FB1F6AB-B6AA-49AA-A6FF-4DCD09563E21}"/>
    <cellStyle name="Normal 2 4 2 4 2 2 6 2 4" xfId="15193" xr:uid="{A22C8FF9-881C-4684-B914-EE02C7BD455E}"/>
    <cellStyle name="Normal 2 4 2 4 2 2 6 3" xfId="19416" xr:uid="{8E9CAAF1-3294-4892-9F51-42ACB16A4FA1}"/>
    <cellStyle name="Normal 2 4 2 4 2 2 6 4" xfId="27861" xr:uid="{5AA85F8A-AA0B-4DAA-8019-40D4BE2225D6}"/>
    <cellStyle name="Normal 2 4 2 4 2 2 6 5" xfId="10975" xr:uid="{5340AAC5-BE24-43F0-AE1C-855C123770C1}"/>
    <cellStyle name="Normal 2 4 2 4 2 2 7" xfId="4685" xr:uid="{00000000-0005-0000-0000-00004B0F0000}"/>
    <cellStyle name="Normal 2 4 2 4 2 2 7 2" xfId="21568" xr:uid="{5DED15EF-1170-411D-BD79-45EAB79AAD19}"/>
    <cellStyle name="Normal 2 4 2 4 2 2 7 3" xfId="30014" xr:uid="{716F5B2C-476B-4270-96CD-55587E3647E0}"/>
    <cellStyle name="Normal 2 4 2 4 2 2 7 4" xfId="13127" xr:uid="{586F5A3F-072D-4D41-9D13-F1DE3991B951}"/>
    <cellStyle name="Normal 2 4 2 4 2 2 8" xfId="17350" xr:uid="{166CC671-CFE2-45C6-987E-33B362F74AFD}"/>
    <cellStyle name="Normal 2 4 2 4 2 2 9" xfId="25794" xr:uid="{A464D591-FA7B-4D14-AB7E-FB8F899E187B}"/>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24126" xr:uid="{D33200E6-A3E0-4EBC-8415-50E77B05659D}"/>
    <cellStyle name="Normal 2 4 2 4 2 3 2 2 3" xfId="32572" xr:uid="{C28B2E5E-288C-43EA-9E20-09D31DE1C39E}"/>
    <cellStyle name="Normal 2 4 2 4 2 3 2 2 4" xfId="15685" xr:uid="{9139C08F-381A-4B4B-BCC0-6BA9F9F2DF4E}"/>
    <cellStyle name="Normal 2 4 2 4 2 3 2 3" xfId="19908" xr:uid="{62A38C6E-4E68-494D-BD8A-4220854B1117}"/>
    <cellStyle name="Normal 2 4 2 4 2 3 2 4" xfId="28355" xr:uid="{862BF82B-65D4-4B85-A7F2-E457D4C662CC}"/>
    <cellStyle name="Normal 2 4 2 4 2 3 2 5" xfId="11467" xr:uid="{7AA2E32D-2075-493D-B2E5-491C3E0B3B3A}"/>
    <cellStyle name="Normal 2 4 2 4 2 3 3" xfId="5098" xr:uid="{00000000-0005-0000-0000-00004F0F0000}"/>
    <cellStyle name="Normal 2 4 2 4 2 3 3 2" xfId="21981" xr:uid="{665CEAF9-B318-4C78-963C-7F31EDB49A30}"/>
    <cellStyle name="Normal 2 4 2 4 2 3 3 3" xfId="30427" xr:uid="{CA3B5BBE-65DF-40F5-9D18-39E7B9378C44}"/>
    <cellStyle name="Normal 2 4 2 4 2 3 3 4" xfId="13540" xr:uid="{D7CEA7A1-3C82-4544-8397-D330A34C5E75}"/>
    <cellStyle name="Normal 2 4 2 4 2 3 4" xfId="17763" xr:uid="{E2034C9D-C743-4988-B711-0075D8922A59}"/>
    <cellStyle name="Normal 2 4 2 4 2 3 5" xfId="26208" xr:uid="{2CE99EC1-3DF0-4760-96A8-59E4F410E247}"/>
    <cellStyle name="Normal 2 4 2 4 2 3 6" xfId="9322" xr:uid="{BDA2E6D3-FDA6-42EA-BD48-5F60E073292A}"/>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24539" xr:uid="{387FE06E-305A-4D86-A69E-3DED26B47798}"/>
    <cellStyle name="Normal 2 4 2 4 2 4 2 2 3" xfId="32985" xr:uid="{EA3D0C0B-26A9-4A44-958C-E6CF6A33F264}"/>
    <cellStyle name="Normal 2 4 2 4 2 4 2 2 4" xfId="16098" xr:uid="{0FFF24DD-D521-45A0-A2DB-5AD0FC3FD42A}"/>
    <cellStyle name="Normal 2 4 2 4 2 4 2 3" xfId="20321" xr:uid="{BB49A646-E4D6-4860-ABE3-E45C5C234CDB}"/>
    <cellStyle name="Normal 2 4 2 4 2 4 2 4" xfId="28768" xr:uid="{31DD8442-D9B0-4A80-9245-87890AAA4ED3}"/>
    <cellStyle name="Normal 2 4 2 4 2 4 2 5" xfId="11880" xr:uid="{6244E6A8-1FC0-4545-A14D-3F782D7C5E03}"/>
    <cellStyle name="Normal 2 4 2 4 2 4 3" xfId="5511" xr:uid="{00000000-0005-0000-0000-0000530F0000}"/>
    <cellStyle name="Normal 2 4 2 4 2 4 3 2" xfId="22394" xr:uid="{94CD2172-B95A-4C76-A789-8784DE7C31F1}"/>
    <cellStyle name="Normal 2 4 2 4 2 4 3 3" xfId="30840" xr:uid="{199B45F7-8114-4D50-AE84-ABF502EE8BDC}"/>
    <cellStyle name="Normal 2 4 2 4 2 4 3 4" xfId="13953" xr:uid="{70749DA7-13F4-456A-950D-E37C50AAEFA6}"/>
    <cellStyle name="Normal 2 4 2 4 2 4 4" xfId="18176" xr:uid="{BD348EB1-BD07-43D2-AA23-7BD63D186005}"/>
    <cellStyle name="Normal 2 4 2 4 2 4 5" xfId="26621" xr:uid="{BDB9A2E0-E579-459B-96C9-34C7788EC92D}"/>
    <cellStyle name="Normal 2 4 2 4 2 4 6" xfId="9735" xr:uid="{97647B7F-6463-4255-AF7A-761A6B02B6A1}"/>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24952" xr:uid="{8DC14902-1719-4827-85E1-DF869B003065}"/>
    <cellStyle name="Normal 2 4 2 4 2 5 2 2 3" xfId="33398" xr:uid="{AA239E40-C3F1-4EC1-B594-9F8BA7F53862}"/>
    <cellStyle name="Normal 2 4 2 4 2 5 2 2 4" xfId="16511" xr:uid="{29433600-9F63-448C-9429-D22FBABFB845}"/>
    <cellStyle name="Normal 2 4 2 4 2 5 2 3" xfId="20734" xr:uid="{541387C6-90A4-44B1-B942-B647AA7CEF95}"/>
    <cellStyle name="Normal 2 4 2 4 2 5 2 4" xfId="29181" xr:uid="{3EFFB07F-7144-4DD1-B012-B977455A90FE}"/>
    <cellStyle name="Normal 2 4 2 4 2 5 2 5" xfId="12293" xr:uid="{AB15581E-016C-4558-BFFE-2ACB28A2A07A}"/>
    <cellStyle name="Normal 2 4 2 4 2 5 3" xfId="5924" xr:uid="{00000000-0005-0000-0000-0000570F0000}"/>
    <cellStyle name="Normal 2 4 2 4 2 5 3 2" xfId="22807" xr:uid="{68615E50-B540-41D9-BDC6-91236876C1CD}"/>
    <cellStyle name="Normal 2 4 2 4 2 5 3 3" xfId="31253" xr:uid="{707D2326-8623-48EA-82E4-7A24ADB4748D}"/>
    <cellStyle name="Normal 2 4 2 4 2 5 3 4" xfId="14366" xr:uid="{529F859E-7EA6-437D-855E-F93B0A3CABF0}"/>
    <cellStyle name="Normal 2 4 2 4 2 5 4" xfId="18589" xr:uid="{E3F0F1A2-5362-4F38-8D07-B34618D6EA21}"/>
    <cellStyle name="Normal 2 4 2 4 2 5 5" xfId="27034" xr:uid="{D2E5D2F2-EAEB-46B1-9E41-1EA2686A4487}"/>
    <cellStyle name="Normal 2 4 2 4 2 5 6" xfId="10148" xr:uid="{CD3052AA-976E-4214-931B-FFF1E7025E9C}"/>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25365" xr:uid="{A806D688-1944-486C-B9E2-9FC4A2C6586F}"/>
    <cellStyle name="Normal 2 4 2 4 2 6 2 2 3" xfId="33811" xr:uid="{E4C8CE54-57DA-4B81-8477-A3AF4E46D4F0}"/>
    <cellStyle name="Normal 2 4 2 4 2 6 2 2 4" xfId="16924" xr:uid="{06E6E0B1-7B95-4C09-B8E0-0CB5AF8350A6}"/>
    <cellStyle name="Normal 2 4 2 4 2 6 2 3" xfId="21147" xr:uid="{BA9DEF26-7183-4DC6-A1B7-6C2048358D89}"/>
    <cellStyle name="Normal 2 4 2 4 2 6 2 4" xfId="29594" xr:uid="{B63C57FB-CDD2-43BB-AF8C-9A8BB46107C9}"/>
    <cellStyle name="Normal 2 4 2 4 2 6 2 5" xfId="12706" xr:uid="{20D48E1F-C6BC-4821-B12A-79D12B95E2F1}"/>
    <cellStyle name="Normal 2 4 2 4 2 6 3" xfId="6337" xr:uid="{00000000-0005-0000-0000-00005B0F0000}"/>
    <cellStyle name="Normal 2 4 2 4 2 6 3 2" xfId="23220" xr:uid="{295A9339-2A5B-4963-9B26-32661606F106}"/>
    <cellStyle name="Normal 2 4 2 4 2 6 3 3" xfId="31666" xr:uid="{59890791-139C-4F05-994F-F5AAACFA3425}"/>
    <cellStyle name="Normal 2 4 2 4 2 6 3 4" xfId="14779" xr:uid="{7C491A06-0119-401E-BCC0-163F76FB896C}"/>
    <cellStyle name="Normal 2 4 2 4 2 6 4" xfId="19002" xr:uid="{1D9DE7D5-C4A9-44AB-957B-48DD7EDB0835}"/>
    <cellStyle name="Normal 2 4 2 4 2 6 5" xfId="27447" xr:uid="{7645B6A9-E0DA-4B55-B100-FCD7CBB6C014}"/>
    <cellStyle name="Normal 2 4 2 4 2 6 6" xfId="10561" xr:uid="{8AEEAC50-0BEB-497D-BEC2-D34703F6AB09}"/>
    <cellStyle name="Normal 2 4 2 4 2 7" xfId="2466" xr:uid="{00000000-0005-0000-0000-00005C0F0000}"/>
    <cellStyle name="Normal 2 4 2 4 2 7 2" xfId="6750" xr:uid="{00000000-0005-0000-0000-00005D0F0000}"/>
    <cellStyle name="Normal 2 4 2 4 2 7 2 2" xfId="23633" xr:uid="{C59C6E96-B3A4-4BB0-982F-FB0CBEE22B8F}"/>
    <cellStyle name="Normal 2 4 2 4 2 7 2 3" xfId="32079" xr:uid="{CBA3432F-DDCE-41FE-860C-C72C87132FE0}"/>
    <cellStyle name="Normal 2 4 2 4 2 7 2 4" xfId="15192" xr:uid="{4760AFD0-F00A-49FE-9420-26CE00A8964C}"/>
    <cellStyle name="Normal 2 4 2 4 2 7 3" xfId="19415" xr:uid="{9297C806-5A46-4237-8447-1B56FC9061AE}"/>
    <cellStyle name="Normal 2 4 2 4 2 7 4" xfId="27860" xr:uid="{BFA305EA-DAF2-4438-899B-D648E19ABC02}"/>
    <cellStyle name="Normal 2 4 2 4 2 7 5" xfId="10974" xr:uid="{8E9A229F-775E-4FED-80E6-91A3083FA819}"/>
    <cellStyle name="Normal 2 4 2 4 2 8" xfId="4684" xr:uid="{00000000-0005-0000-0000-00005E0F0000}"/>
    <cellStyle name="Normal 2 4 2 4 2 8 2" xfId="21567" xr:uid="{712124F9-B7E7-4A10-AEB3-3E31EC796F12}"/>
    <cellStyle name="Normal 2 4 2 4 2 8 3" xfId="30013" xr:uid="{C005A4F8-AC3D-4ED8-A7C2-CFAD8E681923}"/>
    <cellStyle name="Normal 2 4 2 4 2 8 4" xfId="13126" xr:uid="{22F29218-5252-4B11-B1E3-142D3B192488}"/>
    <cellStyle name="Normal 2 4 2 4 2 9" xfId="17349" xr:uid="{6CADC5F2-2306-4F4A-B5B8-7F6F5B5F4461}"/>
    <cellStyle name="Normal 2 4 2 4 3" xfId="292" xr:uid="{00000000-0005-0000-0000-00005F0F0000}"/>
    <cellStyle name="Normal 2 4 2 4 3 10" xfId="8910" xr:uid="{7540653F-332E-4B12-9758-ABBC132B6DF9}"/>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24128" xr:uid="{C2A60A0A-3B0A-4211-9769-2B2012489BB2}"/>
    <cellStyle name="Normal 2 4 2 4 3 2 2 2 3" xfId="32574" xr:uid="{8C4D581D-A3A2-48A8-AE20-7382F8CF24B4}"/>
    <cellStyle name="Normal 2 4 2 4 3 2 2 2 4" xfId="15687" xr:uid="{47754F26-9626-411A-8578-35865A4C6148}"/>
    <cellStyle name="Normal 2 4 2 4 3 2 2 3" xfId="19910" xr:uid="{C3EB455A-1F95-403F-BCB3-D837D0D82A7B}"/>
    <cellStyle name="Normal 2 4 2 4 3 2 2 4" xfId="28357" xr:uid="{BE044BA0-2143-496D-B408-7A93A1523663}"/>
    <cellStyle name="Normal 2 4 2 4 3 2 2 5" xfId="11469" xr:uid="{F930FA7C-200D-4731-959C-260CD1D1803A}"/>
    <cellStyle name="Normal 2 4 2 4 3 2 3" xfId="5100" xr:uid="{00000000-0005-0000-0000-0000630F0000}"/>
    <cellStyle name="Normal 2 4 2 4 3 2 3 2" xfId="21983" xr:uid="{CF50D379-AA84-487F-B144-6F65C0D65262}"/>
    <cellStyle name="Normal 2 4 2 4 3 2 3 3" xfId="30429" xr:uid="{F0D328A8-9984-4620-850D-1C94AC069601}"/>
    <cellStyle name="Normal 2 4 2 4 3 2 3 4" xfId="13542" xr:uid="{46C2D4B0-36E2-4F10-9D06-E41C2F780C03}"/>
    <cellStyle name="Normal 2 4 2 4 3 2 4" xfId="17765" xr:uid="{2F1DE42C-B324-479B-B176-13B39EA2F6D5}"/>
    <cellStyle name="Normal 2 4 2 4 3 2 5" xfId="26210" xr:uid="{13A75524-C002-427E-AE63-17E589084AEA}"/>
    <cellStyle name="Normal 2 4 2 4 3 2 6" xfId="9324" xr:uid="{4DEDD0C4-6BA5-4C3D-BA80-8BFBBA13B1FC}"/>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24541" xr:uid="{18A1B31D-C589-4F29-A740-AEA83762F1C6}"/>
    <cellStyle name="Normal 2 4 2 4 3 3 2 2 3" xfId="32987" xr:uid="{E569D480-A94B-4B46-AFA9-CF054E3EA25E}"/>
    <cellStyle name="Normal 2 4 2 4 3 3 2 2 4" xfId="16100" xr:uid="{8810C98C-89DA-4572-A950-5064AA96C070}"/>
    <cellStyle name="Normal 2 4 2 4 3 3 2 3" xfId="20323" xr:uid="{0B8D0F99-20CF-421B-A60D-BAA08DA80695}"/>
    <cellStyle name="Normal 2 4 2 4 3 3 2 4" xfId="28770" xr:uid="{B5D28FA9-2DBC-4D2A-82A7-70B6BB850601}"/>
    <cellStyle name="Normal 2 4 2 4 3 3 2 5" xfId="11882" xr:uid="{56A3E9E2-64B3-4D75-80DA-F153BB54D170}"/>
    <cellStyle name="Normal 2 4 2 4 3 3 3" xfId="5513" xr:uid="{00000000-0005-0000-0000-0000670F0000}"/>
    <cellStyle name="Normal 2 4 2 4 3 3 3 2" xfId="22396" xr:uid="{AFD94B5C-FE5C-42DF-B8DE-F86719C40211}"/>
    <cellStyle name="Normal 2 4 2 4 3 3 3 3" xfId="30842" xr:uid="{14822DFB-723A-4F89-8648-F0FF988C423F}"/>
    <cellStyle name="Normal 2 4 2 4 3 3 3 4" xfId="13955" xr:uid="{D032A75D-3F55-41CA-AF02-22673CE7DDEF}"/>
    <cellStyle name="Normal 2 4 2 4 3 3 4" xfId="18178" xr:uid="{9FF410EC-D6C1-4BDB-837F-CE439385AF86}"/>
    <cellStyle name="Normal 2 4 2 4 3 3 5" xfId="26623" xr:uid="{90C74185-E42A-4A4A-914D-CDA9EDB42DD0}"/>
    <cellStyle name="Normal 2 4 2 4 3 3 6" xfId="9737" xr:uid="{ABABC587-13FA-4DF7-8C98-FC27EE5BF9D9}"/>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24954" xr:uid="{80753A89-A928-4D4A-BAF5-A736965723A1}"/>
    <cellStyle name="Normal 2 4 2 4 3 4 2 2 3" xfId="33400" xr:uid="{28096644-CAA3-4D6E-9AC2-ADC29DFDEED5}"/>
    <cellStyle name="Normal 2 4 2 4 3 4 2 2 4" xfId="16513" xr:uid="{64B0E1DD-5DAC-4126-A0A2-A752293D27C2}"/>
    <cellStyle name="Normal 2 4 2 4 3 4 2 3" xfId="20736" xr:uid="{FF7556B8-F093-4BBF-8BC4-5E8B8A5D2F55}"/>
    <cellStyle name="Normal 2 4 2 4 3 4 2 4" xfId="29183" xr:uid="{0C7686A0-CBBC-4FBC-BC97-A1B4240FDBF1}"/>
    <cellStyle name="Normal 2 4 2 4 3 4 2 5" xfId="12295" xr:uid="{6B5F7BA2-FB83-4C6F-ABEC-BD6CEE8FB273}"/>
    <cellStyle name="Normal 2 4 2 4 3 4 3" xfId="5926" xr:uid="{00000000-0005-0000-0000-00006B0F0000}"/>
    <cellStyle name="Normal 2 4 2 4 3 4 3 2" xfId="22809" xr:uid="{153A4B6C-2FE7-4486-B85C-42E90D688727}"/>
    <cellStyle name="Normal 2 4 2 4 3 4 3 3" xfId="31255" xr:uid="{7B049ECC-77D7-4472-9B03-43133C85AE20}"/>
    <cellStyle name="Normal 2 4 2 4 3 4 3 4" xfId="14368" xr:uid="{862C29B2-04E4-411B-8EB7-458A85A9A4F5}"/>
    <cellStyle name="Normal 2 4 2 4 3 4 4" xfId="18591" xr:uid="{BB95D95C-FD80-400B-9D80-C23D350E4BA1}"/>
    <cellStyle name="Normal 2 4 2 4 3 4 5" xfId="27036" xr:uid="{18FE724C-2306-4996-89EC-27FF5B0DAC0E}"/>
    <cellStyle name="Normal 2 4 2 4 3 4 6" xfId="10150" xr:uid="{71D21D60-B647-48BF-9566-118EA753BB54}"/>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25367" xr:uid="{42A903F0-BA33-4E22-B8A5-5C440125F1B0}"/>
    <cellStyle name="Normal 2 4 2 4 3 5 2 2 3" xfId="33813" xr:uid="{B1E7DE0A-4808-4436-BC1D-F6E9D46B27F1}"/>
    <cellStyle name="Normal 2 4 2 4 3 5 2 2 4" xfId="16926" xr:uid="{FD3C1189-7C9E-40CB-8C8C-EFE444351B34}"/>
    <cellStyle name="Normal 2 4 2 4 3 5 2 3" xfId="21149" xr:uid="{E236F61F-8504-46FB-BEAC-25C330F9C32B}"/>
    <cellStyle name="Normal 2 4 2 4 3 5 2 4" xfId="29596" xr:uid="{FA241E0D-93B1-4E38-B2FD-1EAD2ABEBB13}"/>
    <cellStyle name="Normal 2 4 2 4 3 5 2 5" xfId="12708" xr:uid="{AAEB17DC-691D-44BE-B6E1-604E393935A7}"/>
    <cellStyle name="Normal 2 4 2 4 3 5 3" xfId="6339" xr:uid="{00000000-0005-0000-0000-00006F0F0000}"/>
    <cellStyle name="Normal 2 4 2 4 3 5 3 2" xfId="23222" xr:uid="{4AAF1B32-CB6D-4827-BA69-4CCC25802DCB}"/>
    <cellStyle name="Normal 2 4 2 4 3 5 3 3" xfId="31668" xr:uid="{4742F527-9D9F-4189-A45B-53E232A12676}"/>
    <cellStyle name="Normal 2 4 2 4 3 5 3 4" xfId="14781" xr:uid="{A156FA08-C9ED-4499-B31A-9018BA8932D3}"/>
    <cellStyle name="Normal 2 4 2 4 3 5 4" xfId="19004" xr:uid="{659A3B63-691C-4CE9-8A51-F81EECCBA403}"/>
    <cellStyle name="Normal 2 4 2 4 3 5 5" xfId="27449" xr:uid="{1B07B03C-F4B5-4497-AC7E-8BDB78F8BE9D}"/>
    <cellStyle name="Normal 2 4 2 4 3 5 6" xfId="10563" xr:uid="{B07DF604-D4AA-4C9F-8BF4-619DAE1AB6EF}"/>
    <cellStyle name="Normal 2 4 2 4 3 6" xfId="2468" xr:uid="{00000000-0005-0000-0000-0000700F0000}"/>
    <cellStyle name="Normal 2 4 2 4 3 6 2" xfId="6752" xr:uid="{00000000-0005-0000-0000-0000710F0000}"/>
    <cellStyle name="Normal 2 4 2 4 3 6 2 2" xfId="23635" xr:uid="{C093F091-4B3B-4C3F-8261-1A4669EF6343}"/>
    <cellStyle name="Normal 2 4 2 4 3 6 2 3" xfId="32081" xr:uid="{170B003B-5DEC-4839-9CE6-F854974AB149}"/>
    <cellStyle name="Normal 2 4 2 4 3 6 2 4" xfId="15194" xr:uid="{A6F41174-80B7-4F1F-9F74-668772B6472A}"/>
    <cellStyle name="Normal 2 4 2 4 3 6 3" xfId="19417" xr:uid="{98BA9F85-4BC7-4180-B7B4-776D2B0FEB1F}"/>
    <cellStyle name="Normal 2 4 2 4 3 6 4" xfId="27862" xr:uid="{0879B677-96C9-4950-BDCB-F864A56B6830}"/>
    <cellStyle name="Normal 2 4 2 4 3 6 5" xfId="10976" xr:uid="{4D7EEA73-08F9-4B78-B4BA-ECD1CCFC2657}"/>
    <cellStyle name="Normal 2 4 2 4 3 7" xfId="4686" xr:uid="{00000000-0005-0000-0000-0000720F0000}"/>
    <cellStyle name="Normal 2 4 2 4 3 7 2" xfId="21569" xr:uid="{38D7A0DA-6765-4C01-A3BE-E3719854713E}"/>
    <cellStyle name="Normal 2 4 2 4 3 7 3" xfId="30015" xr:uid="{6910CE03-EC98-467B-BDAA-2CA49BAA7686}"/>
    <cellStyle name="Normal 2 4 2 4 3 7 4" xfId="13128" xr:uid="{735E8660-1EC3-4550-8B23-E2AE9FCEB155}"/>
    <cellStyle name="Normal 2 4 2 4 3 8" xfId="17351" xr:uid="{021A89B5-7646-43F9-A8B2-E0F8733661EE}"/>
    <cellStyle name="Normal 2 4 2 4 3 9" xfId="25795" xr:uid="{40A694A2-9CC3-4C2D-AA04-99A011FFEF7A}"/>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24125" xr:uid="{58860176-D7FE-4753-B0DB-0787844AFB1E}"/>
    <cellStyle name="Normal 2 4 2 4 4 2 2 3" xfId="32571" xr:uid="{50046B5E-1314-4173-BCEF-589EDAAFD396}"/>
    <cellStyle name="Normal 2 4 2 4 4 2 2 4" xfId="15684" xr:uid="{020B11FE-E9D3-4397-9E20-B8D971643E71}"/>
    <cellStyle name="Normal 2 4 2 4 4 2 3" xfId="19907" xr:uid="{4333A106-E353-4383-A406-E6126E2AB24A}"/>
    <cellStyle name="Normal 2 4 2 4 4 2 4" xfId="28354" xr:uid="{BAF786A0-689A-43F5-9BD9-347C61A6F970}"/>
    <cellStyle name="Normal 2 4 2 4 4 2 5" xfId="11466" xr:uid="{40C6059E-ABD7-4B85-89F4-5789BB3541A9}"/>
    <cellStyle name="Normal 2 4 2 4 4 3" xfId="5097" xr:uid="{00000000-0005-0000-0000-0000760F0000}"/>
    <cellStyle name="Normal 2 4 2 4 4 3 2" xfId="21980" xr:uid="{A73CF479-CB04-46F9-9545-C2A53EECFEC3}"/>
    <cellStyle name="Normal 2 4 2 4 4 3 3" xfId="30426" xr:uid="{CAA0EA0C-B9D1-4B0C-9702-53594EEEBAFA}"/>
    <cellStyle name="Normal 2 4 2 4 4 3 4" xfId="13539" xr:uid="{404F57C2-65E8-4053-96C3-EB8CE3237BA5}"/>
    <cellStyle name="Normal 2 4 2 4 4 4" xfId="17762" xr:uid="{497F13FD-F157-4C8D-B8B9-5416EE5A8BFE}"/>
    <cellStyle name="Normal 2 4 2 4 4 5" xfId="26207" xr:uid="{7D81EF5B-96B3-46A7-A1B1-D8E2639341BB}"/>
    <cellStyle name="Normal 2 4 2 4 4 6" xfId="9321" xr:uid="{3F630DD6-448C-447C-B947-A96B0343D236}"/>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24538" xr:uid="{C96CA9EE-7BCB-4A38-B85C-35457FF021C3}"/>
    <cellStyle name="Normal 2 4 2 4 5 2 2 3" xfId="32984" xr:uid="{FCB634FA-E1A1-4DAC-9F9F-CAF3C090D596}"/>
    <cellStyle name="Normal 2 4 2 4 5 2 2 4" xfId="16097" xr:uid="{AAE17531-7E95-4DF4-BDC0-0390EC60703D}"/>
    <cellStyle name="Normal 2 4 2 4 5 2 3" xfId="20320" xr:uid="{5EC28078-9665-4DD0-88BA-09875204533C}"/>
    <cellStyle name="Normal 2 4 2 4 5 2 4" xfId="28767" xr:uid="{2EE225D6-4E47-43C2-A7E8-5428EA73872A}"/>
    <cellStyle name="Normal 2 4 2 4 5 2 5" xfId="11879" xr:uid="{E4BA8412-F665-4214-B3AA-D2E621264AF1}"/>
    <cellStyle name="Normal 2 4 2 4 5 3" xfId="5510" xr:uid="{00000000-0005-0000-0000-00007A0F0000}"/>
    <cellStyle name="Normal 2 4 2 4 5 3 2" xfId="22393" xr:uid="{EC92FE07-6067-4082-BB36-C62C0E66D9A4}"/>
    <cellStyle name="Normal 2 4 2 4 5 3 3" xfId="30839" xr:uid="{0DF8BCA1-31D4-48EF-99C8-BE3D1E376065}"/>
    <cellStyle name="Normal 2 4 2 4 5 3 4" xfId="13952" xr:uid="{5854219C-A4E9-4095-B0F2-61E157DDCB48}"/>
    <cellStyle name="Normal 2 4 2 4 5 4" xfId="18175" xr:uid="{D58A36E0-EBCD-4B61-B97F-A2C265DEB09B}"/>
    <cellStyle name="Normal 2 4 2 4 5 5" xfId="26620" xr:uid="{868A03CE-1FBD-470C-9078-92C0DC95A3B3}"/>
    <cellStyle name="Normal 2 4 2 4 5 6" xfId="9734" xr:uid="{DE647BCF-5C9D-4E35-969E-A82754A5138A}"/>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24951" xr:uid="{9F1CA40C-2D32-40CC-BBE5-E865AE2AC226}"/>
    <cellStyle name="Normal 2 4 2 4 6 2 2 3" xfId="33397" xr:uid="{8C840777-35EA-43B6-AD90-64D3E5B9F820}"/>
    <cellStyle name="Normal 2 4 2 4 6 2 2 4" xfId="16510" xr:uid="{F2D7FB84-6069-41D0-A7FC-B301FEF1E442}"/>
    <cellStyle name="Normal 2 4 2 4 6 2 3" xfId="20733" xr:uid="{0BAC284A-DD96-4F18-A0D7-FBA9CE3F5999}"/>
    <cellStyle name="Normal 2 4 2 4 6 2 4" xfId="29180" xr:uid="{BEE407D5-7A3D-4938-8F73-B23CA05FB44A}"/>
    <cellStyle name="Normal 2 4 2 4 6 2 5" xfId="12292" xr:uid="{8C6BC2DE-DC33-497E-9827-2CE4F1BA03CE}"/>
    <cellStyle name="Normal 2 4 2 4 6 3" xfId="5923" xr:uid="{00000000-0005-0000-0000-00007E0F0000}"/>
    <cellStyle name="Normal 2 4 2 4 6 3 2" xfId="22806" xr:uid="{5CFA4FF3-0096-430E-B2A5-A4F257880CBB}"/>
    <cellStyle name="Normal 2 4 2 4 6 3 3" xfId="31252" xr:uid="{86A5D46E-FD75-471B-BFAE-A1DCB5C77C12}"/>
    <cellStyle name="Normal 2 4 2 4 6 3 4" xfId="14365" xr:uid="{0C002441-3C23-4D7F-A0D6-5088BC23D90D}"/>
    <cellStyle name="Normal 2 4 2 4 6 4" xfId="18588" xr:uid="{A902CD3E-0DDB-479D-B043-CFCB36556CF6}"/>
    <cellStyle name="Normal 2 4 2 4 6 5" xfId="27033" xr:uid="{51E09779-EC26-4E7F-84A1-8A1FC7B65197}"/>
    <cellStyle name="Normal 2 4 2 4 6 6" xfId="10147" xr:uid="{6FAD5F38-27A2-463C-B691-D60D8A836B05}"/>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25364" xr:uid="{D31693DD-C7D7-47EF-9B2A-AB92B65E52DD}"/>
    <cellStyle name="Normal 2 4 2 4 7 2 2 3" xfId="33810" xr:uid="{E73EBE64-95E4-4643-9995-8F7DD462C25A}"/>
    <cellStyle name="Normal 2 4 2 4 7 2 2 4" xfId="16923" xr:uid="{DD9478AA-1191-4CDD-BB0D-0074A9CA3DE9}"/>
    <cellStyle name="Normal 2 4 2 4 7 2 3" xfId="21146" xr:uid="{5D7844EE-F914-4ADD-A18D-0ED43EB92329}"/>
    <cellStyle name="Normal 2 4 2 4 7 2 4" xfId="29593" xr:uid="{F6F1281D-B28F-458F-89DC-D7E876394692}"/>
    <cellStyle name="Normal 2 4 2 4 7 2 5" xfId="12705" xr:uid="{20BCE7C9-68D0-4DE7-9BEC-139E8D1C3435}"/>
    <cellStyle name="Normal 2 4 2 4 7 3" xfId="6336" xr:uid="{00000000-0005-0000-0000-0000820F0000}"/>
    <cellStyle name="Normal 2 4 2 4 7 3 2" xfId="23219" xr:uid="{5191D445-123B-47FB-AC06-CE6ABA18B805}"/>
    <cellStyle name="Normal 2 4 2 4 7 3 3" xfId="31665" xr:uid="{4567F80B-7516-4746-8836-44F05EB2A944}"/>
    <cellStyle name="Normal 2 4 2 4 7 3 4" xfId="14778" xr:uid="{C4CDE806-D021-42EF-9A8F-3A46E7F574BA}"/>
    <cellStyle name="Normal 2 4 2 4 7 4" xfId="19001" xr:uid="{9DF09FCA-24AE-46EA-BFB5-CCB1E1F75A48}"/>
    <cellStyle name="Normal 2 4 2 4 7 5" xfId="27446" xr:uid="{7B0EC22A-6DD0-41E7-AB6E-B6CBC6820104}"/>
    <cellStyle name="Normal 2 4 2 4 7 6" xfId="10560" xr:uid="{4A9BBDDF-5C52-4557-B12D-B7B2A2CD7DDC}"/>
    <cellStyle name="Normal 2 4 2 4 8" xfId="2465" xr:uid="{00000000-0005-0000-0000-0000830F0000}"/>
    <cellStyle name="Normal 2 4 2 4 8 2" xfId="6749" xr:uid="{00000000-0005-0000-0000-0000840F0000}"/>
    <cellStyle name="Normal 2 4 2 4 8 2 2" xfId="23632" xr:uid="{1C2DECB9-60CF-4415-8D2E-CB3553D3D3EA}"/>
    <cellStyle name="Normal 2 4 2 4 8 2 3" xfId="32078" xr:uid="{E0D2A8BF-C03F-491B-B9E8-DDEB443FACEB}"/>
    <cellStyle name="Normal 2 4 2 4 8 2 4" xfId="15191" xr:uid="{7341C3BC-DDB0-413C-84A3-CFE1D2BE2D1A}"/>
    <cellStyle name="Normal 2 4 2 4 8 3" xfId="19414" xr:uid="{4DC76701-44E2-4639-AF21-8ADB05EABB97}"/>
    <cellStyle name="Normal 2 4 2 4 8 4" xfId="27859" xr:uid="{9DFD0AD7-B978-442D-B5FA-EB97B51A1394}"/>
    <cellStyle name="Normal 2 4 2 4 8 5" xfId="10973" xr:uid="{6682494D-DE07-4D02-802F-854A202F83F4}"/>
    <cellStyle name="Normal 2 4 2 4 9" xfId="4683" xr:uid="{00000000-0005-0000-0000-0000850F0000}"/>
    <cellStyle name="Normal 2 4 2 4 9 2" xfId="21566" xr:uid="{C117F1F8-0BD5-4010-B500-AC8BB3169944}"/>
    <cellStyle name="Normal 2 4 2 4 9 3" xfId="30012" xr:uid="{CD90E724-BBDB-43BB-AD6A-F4E9BAD23C11}"/>
    <cellStyle name="Normal 2 4 2 4 9 4" xfId="13125" xr:uid="{BA71A299-237E-46ED-9A8B-894630363A0E}"/>
    <cellStyle name="Normal 2 4 2 5" xfId="293" xr:uid="{00000000-0005-0000-0000-0000860F0000}"/>
    <cellStyle name="Normal 2 4 2 5 10" xfId="25796" xr:uid="{EABED730-0FA6-4DE5-B008-B0DC5B1E0382}"/>
    <cellStyle name="Normal 2 4 2 5 11" xfId="8911" xr:uid="{679FDC08-62B5-443A-B4E8-48BAF031FD38}"/>
    <cellStyle name="Normal 2 4 2 5 2" xfId="294" xr:uid="{00000000-0005-0000-0000-0000870F0000}"/>
    <cellStyle name="Normal 2 4 2 5 2 10" xfId="8912" xr:uid="{10E1EFE5-23BF-4B6D-B4BE-1A007C7AA44C}"/>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24130" xr:uid="{47C75108-8263-426B-B56E-1FE9D7DC5159}"/>
    <cellStyle name="Normal 2 4 2 5 2 2 2 2 3" xfId="32576" xr:uid="{5BC626E3-8EC0-40B3-BCD6-E3377C05C18E}"/>
    <cellStyle name="Normal 2 4 2 5 2 2 2 2 4" xfId="15689" xr:uid="{E9F6C7E9-0B3B-4C98-8FB2-D65E32C1CEAC}"/>
    <cellStyle name="Normal 2 4 2 5 2 2 2 3" xfId="19912" xr:uid="{D146148A-F974-41F8-A3A3-E9426937498C}"/>
    <cellStyle name="Normal 2 4 2 5 2 2 2 4" xfId="28359" xr:uid="{74B2D1FC-C4EA-4F41-84AC-340A9387DE95}"/>
    <cellStyle name="Normal 2 4 2 5 2 2 2 5" xfId="11471" xr:uid="{C6A7E445-29B1-4238-BB2D-470F2E508EDD}"/>
    <cellStyle name="Normal 2 4 2 5 2 2 3" xfId="5102" xr:uid="{00000000-0005-0000-0000-00008B0F0000}"/>
    <cellStyle name="Normal 2 4 2 5 2 2 3 2" xfId="21985" xr:uid="{1A9BC4DB-C71B-4955-A63F-D6E684A1DCED}"/>
    <cellStyle name="Normal 2 4 2 5 2 2 3 3" xfId="30431" xr:uid="{A35FEE73-91DA-423B-93CB-37002687E826}"/>
    <cellStyle name="Normal 2 4 2 5 2 2 3 4" xfId="13544" xr:uid="{26D19A68-52B2-47B4-AE87-77EFC32F4553}"/>
    <cellStyle name="Normal 2 4 2 5 2 2 4" xfId="17767" xr:uid="{896D385B-02BC-4968-874F-C3EFEB588842}"/>
    <cellStyle name="Normal 2 4 2 5 2 2 5" xfId="26212" xr:uid="{7CC3E51C-2A34-4865-95A7-8BAD6BB65604}"/>
    <cellStyle name="Normal 2 4 2 5 2 2 6" xfId="9326" xr:uid="{983A4BBB-45A4-45A4-AA76-8D4886201D7E}"/>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24543" xr:uid="{87E1C538-7B69-4D12-BC82-2C16B83D7C0C}"/>
    <cellStyle name="Normal 2 4 2 5 2 3 2 2 3" xfId="32989" xr:uid="{00DDE4CC-BE7F-4375-B235-33D1A361D6D5}"/>
    <cellStyle name="Normal 2 4 2 5 2 3 2 2 4" xfId="16102" xr:uid="{CB04A3AF-CCC8-4F3F-A831-39DF206C3F7E}"/>
    <cellStyle name="Normal 2 4 2 5 2 3 2 3" xfId="20325" xr:uid="{56CA12F1-AAF3-44A6-9AFF-A2E399841CA2}"/>
    <cellStyle name="Normal 2 4 2 5 2 3 2 4" xfId="28772" xr:uid="{F03AFC7A-0274-40D5-BE9D-6B8E488A1F13}"/>
    <cellStyle name="Normal 2 4 2 5 2 3 2 5" xfId="11884" xr:uid="{8C69068F-82E1-4F7D-9332-93832C692922}"/>
    <cellStyle name="Normal 2 4 2 5 2 3 3" xfId="5515" xr:uid="{00000000-0005-0000-0000-00008F0F0000}"/>
    <cellStyle name="Normal 2 4 2 5 2 3 3 2" xfId="22398" xr:uid="{F8383835-A6FD-4AF6-BA41-C76510EE45B5}"/>
    <cellStyle name="Normal 2 4 2 5 2 3 3 3" xfId="30844" xr:uid="{224FED24-CEF5-4FF4-8295-711AD1EC5249}"/>
    <cellStyle name="Normal 2 4 2 5 2 3 3 4" xfId="13957" xr:uid="{7285548D-690B-4DA3-80FC-43196C41BBCE}"/>
    <cellStyle name="Normal 2 4 2 5 2 3 4" xfId="18180" xr:uid="{13AC4B65-A401-4EB0-AE40-580A9E89664D}"/>
    <cellStyle name="Normal 2 4 2 5 2 3 5" xfId="26625" xr:uid="{53BDA6D4-757C-4D69-83EB-E9DD95DB8BB2}"/>
    <cellStyle name="Normal 2 4 2 5 2 3 6" xfId="9739" xr:uid="{232B9395-9655-4347-A6CB-297C0702B76C}"/>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24956" xr:uid="{39310AAF-907E-4B29-81E9-21CBAA9221DB}"/>
    <cellStyle name="Normal 2 4 2 5 2 4 2 2 3" xfId="33402" xr:uid="{F3C544F2-2975-4C4C-8AF7-A44658891B60}"/>
    <cellStyle name="Normal 2 4 2 5 2 4 2 2 4" xfId="16515" xr:uid="{12F70649-AA0A-43F2-BA86-1C07B36AAFCD}"/>
    <cellStyle name="Normal 2 4 2 5 2 4 2 3" xfId="20738" xr:uid="{DC2046FC-4F86-420A-B7C1-8592B5F40634}"/>
    <cellStyle name="Normal 2 4 2 5 2 4 2 4" xfId="29185" xr:uid="{1FDEA018-E9CD-4EFC-89CA-0BBB53DA435C}"/>
    <cellStyle name="Normal 2 4 2 5 2 4 2 5" xfId="12297" xr:uid="{14766CAD-76BF-44AE-A61F-B289639D90E4}"/>
    <cellStyle name="Normal 2 4 2 5 2 4 3" xfId="5928" xr:uid="{00000000-0005-0000-0000-0000930F0000}"/>
    <cellStyle name="Normal 2 4 2 5 2 4 3 2" xfId="22811" xr:uid="{6B764EDA-FF3E-465E-A9EF-98A969C8FE23}"/>
    <cellStyle name="Normal 2 4 2 5 2 4 3 3" xfId="31257" xr:uid="{A5EF906B-1A7D-4F9D-BD45-8A541A5E0DDB}"/>
    <cellStyle name="Normal 2 4 2 5 2 4 3 4" xfId="14370" xr:uid="{BC475224-5201-41E5-987A-0E9CF97F59A3}"/>
    <cellStyle name="Normal 2 4 2 5 2 4 4" xfId="18593" xr:uid="{6A4CC19B-6C7B-40EC-8B14-8C407245ACBB}"/>
    <cellStyle name="Normal 2 4 2 5 2 4 5" xfId="27038" xr:uid="{C653719B-C139-475B-9E87-CED9C727CCF3}"/>
    <cellStyle name="Normal 2 4 2 5 2 4 6" xfId="10152" xr:uid="{67621E1F-7261-4205-8481-1BEEC800997B}"/>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25369" xr:uid="{CD1A5A63-FD2C-4985-BB07-B97EADC766E9}"/>
    <cellStyle name="Normal 2 4 2 5 2 5 2 2 3" xfId="33815" xr:uid="{39BFD236-3073-4591-BF3D-7D020FAF20D5}"/>
    <cellStyle name="Normal 2 4 2 5 2 5 2 2 4" xfId="16928" xr:uid="{2A2769D6-EF2C-4C9F-BEC4-A18A04E8AADF}"/>
    <cellStyle name="Normal 2 4 2 5 2 5 2 3" xfId="21151" xr:uid="{4B6F5F1C-3826-4D00-BD68-6FEF3157DBB6}"/>
    <cellStyle name="Normal 2 4 2 5 2 5 2 4" xfId="29598" xr:uid="{B668007F-D643-4480-B7B8-CCB49CCC13D1}"/>
    <cellStyle name="Normal 2 4 2 5 2 5 2 5" xfId="12710" xr:uid="{4730AAD4-1FAA-4368-858E-679E8A060172}"/>
    <cellStyle name="Normal 2 4 2 5 2 5 3" xfId="6341" xr:uid="{00000000-0005-0000-0000-0000970F0000}"/>
    <cellStyle name="Normal 2 4 2 5 2 5 3 2" xfId="23224" xr:uid="{7A7B5CDA-BB1B-471C-BFAC-18D6675A5299}"/>
    <cellStyle name="Normal 2 4 2 5 2 5 3 3" xfId="31670" xr:uid="{6E6EE226-AB75-4BB3-B4CA-D351B7C99533}"/>
    <cellStyle name="Normal 2 4 2 5 2 5 3 4" xfId="14783" xr:uid="{7DD23377-7795-4EE0-9CE4-0826086A0655}"/>
    <cellStyle name="Normal 2 4 2 5 2 5 4" xfId="19006" xr:uid="{EC93BC24-FDAB-4F1E-9C1A-B3129C58FD8A}"/>
    <cellStyle name="Normal 2 4 2 5 2 5 5" xfId="27451" xr:uid="{B25E22C6-C918-4BB0-9DCD-9106345A1891}"/>
    <cellStyle name="Normal 2 4 2 5 2 5 6" xfId="10565" xr:uid="{72C26434-B5E7-48BE-A5C9-B742FB695114}"/>
    <cellStyle name="Normal 2 4 2 5 2 6" xfId="2470" xr:uid="{00000000-0005-0000-0000-0000980F0000}"/>
    <cellStyle name="Normal 2 4 2 5 2 6 2" xfId="6754" xr:uid="{00000000-0005-0000-0000-0000990F0000}"/>
    <cellStyle name="Normal 2 4 2 5 2 6 2 2" xfId="23637" xr:uid="{BC8FB840-2401-47BB-8A70-C6D42057454C}"/>
    <cellStyle name="Normal 2 4 2 5 2 6 2 3" xfId="32083" xr:uid="{A0C6EA74-BEF5-4B8F-97D6-4E7318E6FF32}"/>
    <cellStyle name="Normal 2 4 2 5 2 6 2 4" xfId="15196" xr:uid="{B3A5AEC3-6A3A-46D0-B02D-B9EDF0AC0A30}"/>
    <cellStyle name="Normal 2 4 2 5 2 6 3" xfId="19419" xr:uid="{5270C71E-F19E-427E-AA53-5299191E25E0}"/>
    <cellStyle name="Normal 2 4 2 5 2 6 4" xfId="27864" xr:uid="{AADB3093-1D87-4CB3-A79B-526F7460D8B7}"/>
    <cellStyle name="Normal 2 4 2 5 2 6 5" xfId="10978" xr:uid="{099AC32D-810C-458E-B348-6451588A0AD7}"/>
    <cellStyle name="Normal 2 4 2 5 2 7" xfId="4688" xr:uid="{00000000-0005-0000-0000-00009A0F0000}"/>
    <cellStyle name="Normal 2 4 2 5 2 7 2" xfId="21571" xr:uid="{5DBF045C-E350-4EB8-A822-53A9D9A18E76}"/>
    <cellStyle name="Normal 2 4 2 5 2 7 3" xfId="30017" xr:uid="{FE5A7A63-706E-42E5-A6BD-FA1E122FE7A9}"/>
    <cellStyle name="Normal 2 4 2 5 2 7 4" xfId="13130" xr:uid="{6DB82F73-2E52-424A-B528-3A1C709137EF}"/>
    <cellStyle name="Normal 2 4 2 5 2 8" xfId="17353" xr:uid="{73CC4E0A-1C6C-4F37-BC37-906C74F9B0A5}"/>
    <cellStyle name="Normal 2 4 2 5 2 9" xfId="25797" xr:uid="{C03222ED-8E29-4FC3-A958-128C520D9298}"/>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24129" xr:uid="{7A0E20D4-3DB6-476D-A90C-FB161A9B305B}"/>
    <cellStyle name="Normal 2 4 2 5 3 2 2 3" xfId="32575" xr:uid="{050FFD34-BF80-4123-8EA6-BC446BB40BAD}"/>
    <cellStyle name="Normal 2 4 2 5 3 2 2 4" xfId="15688" xr:uid="{F9F90279-18A4-4946-B4FF-C8D1C899A7B3}"/>
    <cellStyle name="Normal 2 4 2 5 3 2 3" xfId="19911" xr:uid="{860EB93C-76D8-49B4-9020-36062E9EC8EE}"/>
    <cellStyle name="Normal 2 4 2 5 3 2 4" xfId="28358" xr:uid="{45B57501-BBF5-4384-9E42-87AAF3E18DD8}"/>
    <cellStyle name="Normal 2 4 2 5 3 2 5" xfId="11470" xr:uid="{5531EE65-B438-400C-BD2B-DEB1D619B2CF}"/>
    <cellStyle name="Normal 2 4 2 5 3 3" xfId="5101" xr:uid="{00000000-0005-0000-0000-00009E0F0000}"/>
    <cellStyle name="Normal 2 4 2 5 3 3 2" xfId="21984" xr:uid="{CEE553A6-6781-4218-AC5A-150A0B650C1A}"/>
    <cellStyle name="Normal 2 4 2 5 3 3 3" xfId="30430" xr:uid="{32B1D49F-FF9B-4243-8D06-CBF9B0531ABD}"/>
    <cellStyle name="Normal 2 4 2 5 3 3 4" xfId="13543" xr:uid="{A896BBC5-9652-4B7C-8BEB-4273C751F9CA}"/>
    <cellStyle name="Normal 2 4 2 5 3 4" xfId="17766" xr:uid="{D939055A-6E27-460A-8141-15735EE39F12}"/>
    <cellStyle name="Normal 2 4 2 5 3 5" xfId="26211" xr:uid="{0A58257F-1DEE-4DBD-8668-B1026666E698}"/>
    <cellStyle name="Normal 2 4 2 5 3 6" xfId="9325" xr:uid="{C10E114E-A695-4E8D-9C9C-C256AE7B965B}"/>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24542" xr:uid="{4D056583-154B-4D7D-8C77-F331A0E74A24}"/>
    <cellStyle name="Normal 2 4 2 5 4 2 2 3" xfId="32988" xr:uid="{0480C71B-9033-4D89-849A-ABE13588C4EF}"/>
    <cellStyle name="Normal 2 4 2 5 4 2 2 4" xfId="16101" xr:uid="{75A967EA-8D63-4A89-91D0-13B23EF20C59}"/>
    <cellStyle name="Normal 2 4 2 5 4 2 3" xfId="20324" xr:uid="{33BB1EBA-6237-49A2-81B7-80C5565FB478}"/>
    <cellStyle name="Normal 2 4 2 5 4 2 4" xfId="28771" xr:uid="{59F841F4-DA20-4E4D-A84C-B7189ED3848D}"/>
    <cellStyle name="Normal 2 4 2 5 4 2 5" xfId="11883" xr:uid="{92BD2686-D486-4E76-A9FB-50D7F0328174}"/>
    <cellStyle name="Normal 2 4 2 5 4 3" xfId="5514" xr:uid="{00000000-0005-0000-0000-0000A20F0000}"/>
    <cellStyle name="Normal 2 4 2 5 4 3 2" xfId="22397" xr:uid="{C8DCED18-AF01-416A-9A53-0900F15C9F69}"/>
    <cellStyle name="Normal 2 4 2 5 4 3 3" xfId="30843" xr:uid="{ABFA2516-968C-4BD7-BB72-42D8C870107F}"/>
    <cellStyle name="Normal 2 4 2 5 4 3 4" xfId="13956" xr:uid="{257C6275-27B9-4A59-9BEB-5EB49082010E}"/>
    <cellStyle name="Normal 2 4 2 5 4 4" xfId="18179" xr:uid="{3230FE94-FA4E-4413-9F52-F08E8AEC729D}"/>
    <cellStyle name="Normal 2 4 2 5 4 5" xfId="26624" xr:uid="{606B1C5D-2B84-49D9-AD80-4C11BE3DC641}"/>
    <cellStyle name="Normal 2 4 2 5 4 6" xfId="9738" xr:uid="{0CBCA664-76D9-41FF-9862-2EE0160C1010}"/>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24955" xr:uid="{ADD66B28-6CA4-4842-A6BC-3CB919F6CABC}"/>
    <cellStyle name="Normal 2 4 2 5 5 2 2 3" xfId="33401" xr:uid="{8BACBE87-8BCE-4386-98AF-DE1CE8540F5B}"/>
    <cellStyle name="Normal 2 4 2 5 5 2 2 4" xfId="16514" xr:uid="{68AAF351-C2F6-48FD-954F-2C7B3637BF5E}"/>
    <cellStyle name="Normal 2 4 2 5 5 2 3" xfId="20737" xr:uid="{B0FADBFA-EDB7-47D5-A69A-374C90204C15}"/>
    <cellStyle name="Normal 2 4 2 5 5 2 4" xfId="29184" xr:uid="{F111789C-DC9D-4095-83E6-73B76A43B444}"/>
    <cellStyle name="Normal 2 4 2 5 5 2 5" xfId="12296" xr:uid="{4D36DA8D-C3BD-4144-9C85-5FA7845CBDBE}"/>
    <cellStyle name="Normal 2 4 2 5 5 3" xfId="5927" xr:uid="{00000000-0005-0000-0000-0000A60F0000}"/>
    <cellStyle name="Normal 2 4 2 5 5 3 2" xfId="22810" xr:uid="{86AC5801-3B98-40B9-ACE7-6FECE1D144EE}"/>
    <cellStyle name="Normal 2 4 2 5 5 3 3" xfId="31256" xr:uid="{3920612D-EAD6-42C9-8A71-A24E4B1A12C1}"/>
    <cellStyle name="Normal 2 4 2 5 5 3 4" xfId="14369" xr:uid="{369B7C7D-2C09-40BD-A7B9-84871A06BCDD}"/>
    <cellStyle name="Normal 2 4 2 5 5 4" xfId="18592" xr:uid="{D88D1F5F-309C-494B-AD1C-CC037D1352D8}"/>
    <cellStyle name="Normal 2 4 2 5 5 5" xfId="27037" xr:uid="{21228732-DB8C-4207-95A0-FBC4ACFA2694}"/>
    <cellStyle name="Normal 2 4 2 5 5 6" xfId="10151" xr:uid="{C95E3C33-6D41-42D1-A78A-E5BCEE404ECA}"/>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25368" xr:uid="{B8C871BE-F112-42A4-A179-CDA23089CA6C}"/>
    <cellStyle name="Normal 2 4 2 5 6 2 2 3" xfId="33814" xr:uid="{998DB5A6-4F16-4706-9C90-DFD653839CFB}"/>
    <cellStyle name="Normal 2 4 2 5 6 2 2 4" xfId="16927" xr:uid="{9904FFC1-63F3-4A67-AE45-D7399509DFE5}"/>
    <cellStyle name="Normal 2 4 2 5 6 2 3" xfId="21150" xr:uid="{9C1D0562-14E2-4636-AD5A-CE3C04DD8761}"/>
    <cellStyle name="Normal 2 4 2 5 6 2 4" xfId="29597" xr:uid="{80DA7A13-5C58-4872-850D-1DB4F679168A}"/>
    <cellStyle name="Normal 2 4 2 5 6 2 5" xfId="12709" xr:uid="{974FE0C8-B006-4D82-95AF-98EC0F239558}"/>
    <cellStyle name="Normal 2 4 2 5 6 3" xfId="6340" xr:uid="{00000000-0005-0000-0000-0000AA0F0000}"/>
    <cellStyle name="Normal 2 4 2 5 6 3 2" xfId="23223" xr:uid="{A37B0607-06FE-4033-ABC3-406595E5A045}"/>
    <cellStyle name="Normal 2 4 2 5 6 3 3" xfId="31669" xr:uid="{1532FB0C-AD46-415F-B0EF-72F89CFC16BC}"/>
    <cellStyle name="Normal 2 4 2 5 6 3 4" xfId="14782" xr:uid="{1A4888B5-CD73-4BEB-97C7-C44D067A8F2A}"/>
    <cellStyle name="Normal 2 4 2 5 6 4" xfId="19005" xr:uid="{A49EB83D-472B-47B5-B528-2D4791E762E6}"/>
    <cellStyle name="Normal 2 4 2 5 6 5" xfId="27450" xr:uid="{7893505C-06DE-489A-A6AC-B62F5596E5A6}"/>
    <cellStyle name="Normal 2 4 2 5 6 6" xfId="10564" xr:uid="{C813799B-1197-48D9-9584-2759D8B1DE7E}"/>
    <cellStyle name="Normal 2 4 2 5 7" xfId="2469" xr:uid="{00000000-0005-0000-0000-0000AB0F0000}"/>
    <cellStyle name="Normal 2 4 2 5 7 2" xfId="6753" xr:uid="{00000000-0005-0000-0000-0000AC0F0000}"/>
    <cellStyle name="Normal 2 4 2 5 7 2 2" xfId="23636" xr:uid="{3B6B4313-D82B-4930-9987-73D69065387F}"/>
    <cellStyle name="Normal 2 4 2 5 7 2 3" xfId="32082" xr:uid="{E915F5CD-ACEE-4F07-BFD5-B9C21FCAE40A}"/>
    <cellStyle name="Normal 2 4 2 5 7 2 4" xfId="15195" xr:uid="{4ACEE15A-99E2-4050-BAF6-624B693A5326}"/>
    <cellStyle name="Normal 2 4 2 5 7 3" xfId="19418" xr:uid="{D6B8C7FD-66F6-417B-89E6-E5D669888B36}"/>
    <cellStyle name="Normal 2 4 2 5 7 4" xfId="27863" xr:uid="{FA6D300D-5EA5-45FE-9921-6493A123A29B}"/>
    <cellStyle name="Normal 2 4 2 5 7 5" xfId="10977" xr:uid="{D3DD1016-5826-43BA-B41E-D66F6CDBA6AB}"/>
    <cellStyle name="Normal 2 4 2 5 8" xfId="4687" xr:uid="{00000000-0005-0000-0000-0000AD0F0000}"/>
    <cellStyle name="Normal 2 4 2 5 8 2" xfId="21570" xr:uid="{B228A072-6C98-4271-8640-79A220DAE92D}"/>
    <cellStyle name="Normal 2 4 2 5 8 3" xfId="30016" xr:uid="{7E4BB36F-C518-4036-B1A4-FFF165E42DF6}"/>
    <cellStyle name="Normal 2 4 2 5 8 4" xfId="13129" xr:uid="{B918C4A2-0850-4642-8560-FCCA91A7E968}"/>
    <cellStyle name="Normal 2 4 2 5 9" xfId="17352" xr:uid="{1386AB02-9FA3-4700-8571-4E900865AE62}"/>
    <cellStyle name="Normal 2 4 2 6" xfId="295" xr:uid="{00000000-0005-0000-0000-0000AE0F0000}"/>
    <cellStyle name="Normal 2 4 2 6 10" xfId="8913" xr:uid="{2BBC9040-4E66-484D-B061-ECB0CD2888AC}"/>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24131" xr:uid="{03248745-3B48-49F2-87A0-C2D58721BE34}"/>
    <cellStyle name="Normal 2 4 2 6 2 2 2 3" xfId="32577" xr:uid="{F4C4E569-5E9B-4AF2-B224-6DF3EBEA4431}"/>
    <cellStyle name="Normal 2 4 2 6 2 2 2 4" xfId="15690" xr:uid="{8B94C418-5373-41F2-AC29-6053143A2AF4}"/>
    <cellStyle name="Normal 2 4 2 6 2 2 3" xfId="19913" xr:uid="{3676BC54-59E9-4318-8C1C-58DB7DCC5C24}"/>
    <cellStyle name="Normal 2 4 2 6 2 2 4" xfId="28360" xr:uid="{96CEAB8E-BC9B-43EC-875A-41523372C8AA}"/>
    <cellStyle name="Normal 2 4 2 6 2 2 5" xfId="11472" xr:uid="{82CB3F51-4C1A-4A28-80C8-299E5C918D42}"/>
    <cellStyle name="Normal 2 4 2 6 2 3" xfId="5103" xr:uid="{00000000-0005-0000-0000-0000B20F0000}"/>
    <cellStyle name="Normal 2 4 2 6 2 3 2" xfId="21986" xr:uid="{9A539A6B-27DA-443C-BF3D-797942B852B0}"/>
    <cellStyle name="Normal 2 4 2 6 2 3 3" xfId="30432" xr:uid="{EBE8D950-6077-414C-A192-D8ADA0BD618E}"/>
    <cellStyle name="Normal 2 4 2 6 2 3 4" xfId="13545" xr:uid="{CF113A9A-ED72-4FE4-A1D8-E5C92B75DE09}"/>
    <cellStyle name="Normal 2 4 2 6 2 4" xfId="17768" xr:uid="{6986170C-1DF6-475C-98E0-1E37FCD4283A}"/>
    <cellStyle name="Normal 2 4 2 6 2 5" xfId="26213" xr:uid="{05BD9F72-D7CD-4102-99AA-1C71DA06E5FF}"/>
    <cellStyle name="Normal 2 4 2 6 2 6" xfId="9327" xr:uid="{60FE55CE-FD7A-4055-8DA3-550F532179C4}"/>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24544" xr:uid="{8BD8BB38-87BC-42B9-9435-BD0D9091539F}"/>
    <cellStyle name="Normal 2 4 2 6 3 2 2 3" xfId="32990" xr:uid="{B9C1CA42-2E57-4305-9AE2-1A86681BE23A}"/>
    <cellStyle name="Normal 2 4 2 6 3 2 2 4" xfId="16103" xr:uid="{06598F64-2C13-4DFE-BB5B-3874EAD5786F}"/>
    <cellStyle name="Normal 2 4 2 6 3 2 3" xfId="20326" xr:uid="{7F463C68-581C-4BAF-BCBF-54F6220298E0}"/>
    <cellStyle name="Normal 2 4 2 6 3 2 4" xfId="28773" xr:uid="{C1251650-FB7F-4C1E-BD0E-0F2DA16254F0}"/>
    <cellStyle name="Normal 2 4 2 6 3 2 5" xfId="11885" xr:uid="{E3359FD6-2816-4BB9-9E3B-8E54A1DA23D6}"/>
    <cellStyle name="Normal 2 4 2 6 3 3" xfId="5516" xr:uid="{00000000-0005-0000-0000-0000B60F0000}"/>
    <cellStyle name="Normal 2 4 2 6 3 3 2" xfId="22399" xr:uid="{0FC2012E-5978-4BB3-8484-AF4A2599555E}"/>
    <cellStyle name="Normal 2 4 2 6 3 3 3" xfId="30845" xr:uid="{0FA2378E-E34A-4C8C-A507-905CA3BB80FB}"/>
    <cellStyle name="Normal 2 4 2 6 3 3 4" xfId="13958" xr:uid="{FAFC3820-8A2D-4FA0-AC16-A9B121320586}"/>
    <cellStyle name="Normal 2 4 2 6 3 4" xfId="18181" xr:uid="{4000EC39-9322-4974-A4D8-090D5D0AA8EE}"/>
    <cellStyle name="Normal 2 4 2 6 3 5" xfId="26626" xr:uid="{F19936E3-094F-4ACF-B1FD-B6F64485E62A}"/>
    <cellStyle name="Normal 2 4 2 6 3 6" xfId="9740" xr:uid="{56456659-2B75-4F29-96D0-738903046153}"/>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24957" xr:uid="{122AF1F9-B023-4A06-B4BA-1C9DE6F93690}"/>
    <cellStyle name="Normal 2 4 2 6 4 2 2 3" xfId="33403" xr:uid="{00F4357D-17E4-48E0-9558-1B217AD3E778}"/>
    <cellStyle name="Normal 2 4 2 6 4 2 2 4" xfId="16516" xr:uid="{2B673A8A-02EC-4E63-83E0-E43EFA08CAA5}"/>
    <cellStyle name="Normal 2 4 2 6 4 2 3" xfId="20739" xr:uid="{3DB353E5-995D-4E5C-A8E5-8E636FB24859}"/>
    <cellStyle name="Normal 2 4 2 6 4 2 4" xfId="29186" xr:uid="{982F5959-B9F1-426D-BE59-6E5FC362E8A2}"/>
    <cellStyle name="Normal 2 4 2 6 4 2 5" xfId="12298" xr:uid="{2FBC1218-11EA-4721-A985-CA2EFC6DF9ED}"/>
    <cellStyle name="Normal 2 4 2 6 4 3" xfId="5929" xr:uid="{00000000-0005-0000-0000-0000BA0F0000}"/>
    <cellStyle name="Normal 2 4 2 6 4 3 2" xfId="22812" xr:uid="{C610A054-D6BA-46EC-9B33-F2972C6EDD3C}"/>
    <cellStyle name="Normal 2 4 2 6 4 3 3" xfId="31258" xr:uid="{0B081957-BAB7-47F3-BA2E-258AF8209660}"/>
    <cellStyle name="Normal 2 4 2 6 4 3 4" xfId="14371" xr:uid="{F5D55488-4E95-468F-B845-4A98D145E79E}"/>
    <cellStyle name="Normal 2 4 2 6 4 4" xfId="18594" xr:uid="{23FF3D4C-98CA-4C65-B83A-7FF48411691C}"/>
    <cellStyle name="Normal 2 4 2 6 4 5" xfId="27039" xr:uid="{9F766EB3-58F2-4D2C-961A-4F297C2D8DC1}"/>
    <cellStyle name="Normal 2 4 2 6 4 6" xfId="10153" xr:uid="{9BDC8D16-2C8B-4748-9706-8B59AF962376}"/>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25370" xr:uid="{2759ED64-E734-45FB-B462-AB10EA9F8E97}"/>
    <cellStyle name="Normal 2 4 2 6 5 2 2 3" xfId="33816" xr:uid="{D29B1FEE-13C9-4A6B-9472-ECDADDCB6E29}"/>
    <cellStyle name="Normal 2 4 2 6 5 2 2 4" xfId="16929" xr:uid="{8DE4F256-5BE6-4C5D-BBE0-6C3A849E6EA4}"/>
    <cellStyle name="Normal 2 4 2 6 5 2 3" xfId="21152" xr:uid="{7B60D1D3-CA10-46CB-8F2E-40669DA3D652}"/>
    <cellStyle name="Normal 2 4 2 6 5 2 4" xfId="29599" xr:uid="{3F0ADB8E-F924-4237-A852-CF8FE04E5FEA}"/>
    <cellStyle name="Normal 2 4 2 6 5 2 5" xfId="12711" xr:uid="{3E5CCD3B-089F-4F41-87E4-7E4272BC3A6F}"/>
    <cellStyle name="Normal 2 4 2 6 5 3" xfId="6342" xr:uid="{00000000-0005-0000-0000-0000BE0F0000}"/>
    <cellStyle name="Normal 2 4 2 6 5 3 2" xfId="23225" xr:uid="{93829CCB-0396-4F72-A5EA-379890987D58}"/>
    <cellStyle name="Normal 2 4 2 6 5 3 3" xfId="31671" xr:uid="{B8F475FD-AAED-433D-A3BA-949295E4D1CA}"/>
    <cellStyle name="Normal 2 4 2 6 5 3 4" xfId="14784" xr:uid="{9D2A32EA-6075-43E4-89AC-E9E793FDF24D}"/>
    <cellStyle name="Normal 2 4 2 6 5 4" xfId="19007" xr:uid="{45FC41BC-C19D-4190-9E79-84BE58EDFF75}"/>
    <cellStyle name="Normal 2 4 2 6 5 5" xfId="27452" xr:uid="{FA4D9A71-59E5-426C-8AD3-E647CCDED129}"/>
    <cellStyle name="Normal 2 4 2 6 5 6" xfId="10566" xr:uid="{E7032E76-DDDD-4A9C-9025-2C06E08C2A9D}"/>
    <cellStyle name="Normal 2 4 2 6 6" xfId="2471" xr:uid="{00000000-0005-0000-0000-0000BF0F0000}"/>
    <cellStyle name="Normal 2 4 2 6 6 2" xfId="6755" xr:uid="{00000000-0005-0000-0000-0000C00F0000}"/>
    <cellStyle name="Normal 2 4 2 6 6 2 2" xfId="23638" xr:uid="{F258D0C1-8E75-4A26-8E07-B17241EB2F72}"/>
    <cellStyle name="Normal 2 4 2 6 6 2 3" xfId="32084" xr:uid="{011913FC-70C0-4214-BF0C-03AD55009F8E}"/>
    <cellStyle name="Normal 2 4 2 6 6 2 4" xfId="15197" xr:uid="{35C527EF-DD8F-4989-BB87-10277F3A33FC}"/>
    <cellStyle name="Normal 2 4 2 6 6 3" xfId="19420" xr:uid="{F76BD9B8-D123-47BD-807E-76D842EC3C69}"/>
    <cellStyle name="Normal 2 4 2 6 6 4" xfId="27865" xr:uid="{A8CC6944-CBAE-44A2-8472-CE478D675C88}"/>
    <cellStyle name="Normal 2 4 2 6 6 5" xfId="10979" xr:uid="{A36FF3E7-2BDF-4AF0-9B40-47AA8DE361FD}"/>
    <cellStyle name="Normal 2 4 2 6 7" xfId="4689" xr:uid="{00000000-0005-0000-0000-0000C10F0000}"/>
    <cellStyle name="Normal 2 4 2 6 7 2" xfId="21572" xr:uid="{5211BED7-CAD8-4EFF-A74D-12C39698E9B9}"/>
    <cellStyle name="Normal 2 4 2 6 7 3" xfId="30018" xr:uid="{0F0B67B4-6CB4-42D6-90E0-229193677ECB}"/>
    <cellStyle name="Normal 2 4 2 6 7 4" xfId="13131" xr:uid="{E2D8CC22-B1E3-4629-8617-85DCA473AFE1}"/>
    <cellStyle name="Normal 2 4 2 6 8" xfId="17354" xr:uid="{2DB2F63D-A08B-4AF8-A519-5FE65A8DC9EE}"/>
    <cellStyle name="Normal 2 4 2 6 9" xfId="25798" xr:uid="{CB89B65A-249B-4C99-9FE3-DB0D86D8D2CE}"/>
    <cellStyle name="Normal 2 4 2 7" xfId="771" xr:uid="{00000000-0005-0000-0000-0000C20F0000}"/>
    <cellStyle name="Normal 2 4 2 7 2" xfId="3010" xr:uid="{00000000-0005-0000-0000-0000C30F0000}"/>
    <cellStyle name="Normal 2 4 2 7 2 2" xfId="7233" xr:uid="{00000000-0005-0000-0000-0000C40F0000}"/>
    <cellStyle name="Normal 2 4 2 7 2 2 2" xfId="24116" xr:uid="{15C848EF-9BFD-4B60-A77F-E8075A3FE570}"/>
    <cellStyle name="Normal 2 4 2 7 2 2 3" xfId="32562" xr:uid="{7ED597DC-78A1-4B0C-AE16-475CB9F0ED31}"/>
    <cellStyle name="Normal 2 4 2 7 2 2 4" xfId="15675" xr:uid="{D0AE0F23-F3B3-47A3-8F82-D40CC15EF82E}"/>
    <cellStyle name="Normal 2 4 2 7 2 3" xfId="19898" xr:uid="{28E06CE7-1819-47E5-B429-C085976143E1}"/>
    <cellStyle name="Normal 2 4 2 7 2 4" xfId="28345" xr:uid="{5C23550C-B82D-49BD-9B40-149D3089DA17}"/>
    <cellStyle name="Normal 2 4 2 7 2 5" xfId="11457" xr:uid="{21911BAE-7232-4651-98D9-16292B6B931A}"/>
    <cellStyle name="Normal 2 4 2 7 3" xfId="5088" xr:uid="{00000000-0005-0000-0000-0000C50F0000}"/>
    <cellStyle name="Normal 2 4 2 7 3 2" xfId="21971" xr:uid="{69CB1E55-6E92-4FF9-B289-FB38DAF27150}"/>
    <cellStyle name="Normal 2 4 2 7 3 3" xfId="30417" xr:uid="{B2B59623-1E92-4B28-9470-F639C63ED676}"/>
    <cellStyle name="Normal 2 4 2 7 3 4" xfId="13530" xr:uid="{CAA1143F-D946-42AA-AF08-5351BA74ADDB}"/>
    <cellStyle name="Normal 2 4 2 7 4" xfId="17753" xr:uid="{D93EFFFA-01F9-4993-B90D-272C932F2369}"/>
    <cellStyle name="Normal 2 4 2 7 5" xfId="26198" xr:uid="{8DA6EA12-21CF-4DCD-AF22-F8B400C5F544}"/>
    <cellStyle name="Normal 2 4 2 7 6" xfId="9312" xr:uid="{BF63461B-2621-4EB7-9CAE-E188F6075FF1}"/>
    <cellStyle name="Normal 2 4 2 8" xfId="1193" xr:uid="{00000000-0005-0000-0000-0000C60F0000}"/>
    <cellStyle name="Normal 2 4 2 8 2" xfId="3423" xr:uid="{00000000-0005-0000-0000-0000C70F0000}"/>
    <cellStyle name="Normal 2 4 2 8 2 2" xfId="7646" xr:uid="{00000000-0005-0000-0000-0000C80F0000}"/>
    <cellStyle name="Normal 2 4 2 8 2 2 2" xfId="24529" xr:uid="{589D6B97-A258-4B13-9877-00CA581D5181}"/>
    <cellStyle name="Normal 2 4 2 8 2 2 3" xfId="32975" xr:uid="{4F37BC2B-200A-4893-94D7-707B8BE9E677}"/>
    <cellStyle name="Normal 2 4 2 8 2 2 4" xfId="16088" xr:uid="{D569CF50-7244-489C-8845-5C8751A1CBC9}"/>
    <cellStyle name="Normal 2 4 2 8 2 3" xfId="20311" xr:uid="{A3C514AB-E8D5-4D79-9283-A4AF1856452E}"/>
    <cellStyle name="Normal 2 4 2 8 2 4" xfId="28758" xr:uid="{D752D3F3-4140-48CB-B5A3-31C3F791A459}"/>
    <cellStyle name="Normal 2 4 2 8 2 5" xfId="11870" xr:uid="{44DFA46D-F733-40F6-BEF6-449FCCD36DAE}"/>
    <cellStyle name="Normal 2 4 2 8 3" xfId="5501" xr:uid="{00000000-0005-0000-0000-0000C90F0000}"/>
    <cellStyle name="Normal 2 4 2 8 3 2" xfId="22384" xr:uid="{6ABEE47D-85FE-42E9-B31C-D3C97DD91D6F}"/>
    <cellStyle name="Normal 2 4 2 8 3 3" xfId="30830" xr:uid="{F3428798-56B3-4F4A-B69B-CD32A30D3921}"/>
    <cellStyle name="Normal 2 4 2 8 3 4" xfId="13943" xr:uid="{F0BD3007-DDC4-4720-B747-C5A08C6D16A3}"/>
    <cellStyle name="Normal 2 4 2 8 4" xfId="18166" xr:uid="{27F0C2BD-0250-4697-9837-437D47834D10}"/>
    <cellStyle name="Normal 2 4 2 8 5" xfId="26611" xr:uid="{E0FD08A9-91E8-4358-BB3D-C5A718FF9428}"/>
    <cellStyle name="Normal 2 4 2 8 6" xfId="9725" xr:uid="{9ADC68B3-049F-4912-B650-DFE45D986302}"/>
    <cellStyle name="Normal 2 4 2 9" xfId="1606" xr:uid="{00000000-0005-0000-0000-0000CA0F0000}"/>
    <cellStyle name="Normal 2 4 2 9 2" xfId="3836" xr:uid="{00000000-0005-0000-0000-0000CB0F0000}"/>
    <cellStyle name="Normal 2 4 2 9 2 2" xfId="8059" xr:uid="{00000000-0005-0000-0000-0000CC0F0000}"/>
    <cellStyle name="Normal 2 4 2 9 2 2 2" xfId="24942" xr:uid="{5F4F34D8-D85B-482B-BB52-21879C98FBD4}"/>
    <cellStyle name="Normal 2 4 2 9 2 2 3" xfId="33388" xr:uid="{0DE6DD03-5D2E-413E-9349-CAA66B7A3B29}"/>
    <cellStyle name="Normal 2 4 2 9 2 2 4" xfId="16501" xr:uid="{FBF173AD-1223-4E24-BF09-29DA21E1BFDF}"/>
    <cellStyle name="Normal 2 4 2 9 2 3" xfId="20724" xr:uid="{C05EB11E-9415-46F4-B632-940C35953E39}"/>
    <cellStyle name="Normal 2 4 2 9 2 4" xfId="29171" xr:uid="{891EB270-5104-4804-9062-5F1E19652E25}"/>
    <cellStyle name="Normal 2 4 2 9 2 5" xfId="12283" xr:uid="{207611AB-1BF6-4E79-8C96-67E57EFD6DBC}"/>
    <cellStyle name="Normal 2 4 2 9 3" xfId="5914" xr:uid="{00000000-0005-0000-0000-0000CD0F0000}"/>
    <cellStyle name="Normal 2 4 2 9 3 2" xfId="22797" xr:uid="{8F525C15-A71C-4B20-9483-EC70B64B5F4E}"/>
    <cellStyle name="Normal 2 4 2 9 3 3" xfId="31243" xr:uid="{C8AE71BD-ACBA-4CEE-8916-6C935C1182A3}"/>
    <cellStyle name="Normal 2 4 2 9 3 4" xfId="14356" xr:uid="{FF98DE13-E171-4ED0-B8F7-787928EB9BC8}"/>
    <cellStyle name="Normal 2 4 2 9 4" xfId="18579" xr:uid="{72F8454F-5E23-4E67-B43B-AAA63E5B4E26}"/>
    <cellStyle name="Normal 2 4 2 9 5" xfId="27024" xr:uid="{13F11A50-904D-461B-9BC0-D05C85CEA36B}"/>
    <cellStyle name="Normal 2 4 2 9 6" xfId="10138" xr:uid="{4F54B5E6-968B-45A2-8A38-F2A9344DFDD1}"/>
    <cellStyle name="Normal 2 4 3" xfId="296" xr:uid="{00000000-0005-0000-0000-0000CE0F0000}"/>
    <cellStyle name="Normal 2 4 3 10" xfId="17355" xr:uid="{774A7663-9EEF-45D6-8954-EC34D22C15A5}"/>
    <cellStyle name="Normal 2 4 3 11" xfId="25799" xr:uid="{5629E9AB-3AD8-4208-859C-FA848940E318}"/>
    <cellStyle name="Normal 2 4 3 12" xfId="8914" xr:uid="{D3094183-326A-4071-94BE-C4EAC6812235}"/>
    <cellStyle name="Normal 2 4 3 2" xfId="297" xr:uid="{00000000-0005-0000-0000-0000CF0F0000}"/>
    <cellStyle name="Normal 2 4 3 3" xfId="298" xr:uid="{00000000-0005-0000-0000-0000D00F0000}"/>
    <cellStyle name="Normal 2 4 3 3 10" xfId="17356" xr:uid="{2CCF2D97-21A8-4C28-BDE8-C3640D92E9E1}"/>
    <cellStyle name="Normal 2 4 3 3 11" xfId="25800" xr:uid="{A8F3C654-7314-49EA-A350-447BD6D68D63}"/>
    <cellStyle name="Normal 2 4 3 3 12" xfId="8915" xr:uid="{4E87860E-6B94-4205-BD24-297002AF5FBA}"/>
    <cellStyle name="Normal 2 4 3 3 2" xfId="299" xr:uid="{00000000-0005-0000-0000-0000D10F0000}"/>
    <cellStyle name="Normal 2 4 3 3 2 10" xfId="25801" xr:uid="{7DAD753E-6E3D-416F-85CE-6A77AFE61A3A}"/>
    <cellStyle name="Normal 2 4 3 3 2 11" xfId="8916" xr:uid="{7466EF04-B981-49F5-A476-2498295E7257}"/>
    <cellStyle name="Normal 2 4 3 3 2 2" xfId="300" xr:uid="{00000000-0005-0000-0000-0000D20F0000}"/>
    <cellStyle name="Normal 2 4 3 3 2 2 10" xfId="8917" xr:uid="{CBB362FE-A03E-4703-91B5-C110C0AEA80E}"/>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24135" xr:uid="{6D22125E-4ABA-4B13-8989-EF971B7DC872}"/>
    <cellStyle name="Normal 2 4 3 3 2 2 2 2 2 3" xfId="32581" xr:uid="{2A463930-A240-4D85-9D5A-6F96A844A8B8}"/>
    <cellStyle name="Normal 2 4 3 3 2 2 2 2 2 4" xfId="15694" xr:uid="{3162440F-6D3D-4BC5-9BF0-5C4C78C8306D}"/>
    <cellStyle name="Normal 2 4 3 3 2 2 2 2 3" xfId="19917" xr:uid="{CA20C647-F2A4-4008-8BEF-BFEDFCAA7E06}"/>
    <cellStyle name="Normal 2 4 3 3 2 2 2 2 4" xfId="28364" xr:uid="{3FEF1998-8AC2-4574-AFDF-E7E94832322A}"/>
    <cellStyle name="Normal 2 4 3 3 2 2 2 2 5" xfId="11476" xr:uid="{E03AAB69-D3C6-4615-B0D3-DC528895D9C5}"/>
    <cellStyle name="Normal 2 4 3 3 2 2 2 3" xfId="5107" xr:uid="{00000000-0005-0000-0000-0000D60F0000}"/>
    <cellStyle name="Normal 2 4 3 3 2 2 2 3 2" xfId="21990" xr:uid="{98320885-B2C7-4230-8ACA-DDE64C0A8E45}"/>
    <cellStyle name="Normal 2 4 3 3 2 2 2 3 3" xfId="30436" xr:uid="{45828CA8-B440-4F3A-BFD2-499A57FF7A9C}"/>
    <cellStyle name="Normal 2 4 3 3 2 2 2 3 4" xfId="13549" xr:uid="{4122F290-604E-4D9E-AE71-820AEAC7D079}"/>
    <cellStyle name="Normal 2 4 3 3 2 2 2 4" xfId="17772" xr:uid="{9ABA2345-1C14-4414-98FD-E018D07D66C6}"/>
    <cellStyle name="Normal 2 4 3 3 2 2 2 5" xfId="26217" xr:uid="{3B212A86-D8A8-4B23-A89F-A47A18F61426}"/>
    <cellStyle name="Normal 2 4 3 3 2 2 2 6" xfId="9331" xr:uid="{193988B5-2B54-46FA-9435-1918F57640D5}"/>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24548" xr:uid="{544E3596-70E6-4C6F-8402-A8D7650581F0}"/>
    <cellStyle name="Normal 2 4 3 3 2 2 3 2 2 3" xfId="32994" xr:uid="{96BA3172-AC3C-491A-B31C-EBBCA557FA42}"/>
    <cellStyle name="Normal 2 4 3 3 2 2 3 2 2 4" xfId="16107" xr:uid="{50AF8E98-5D54-45D4-913B-650E0682D1E5}"/>
    <cellStyle name="Normal 2 4 3 3 2 2 3 2 3" xfId="20330" xr:uid="{110F5E95-E570-4E34-8473-6796FD4E7BD0}"/>
    <cellStyle name="Normal 2 4 3 3 2 2 3 2 4" xfId="28777" xr:uid="{7CAE1477-AC42-4067-8D44-C01C36404D27}"/>
    <cellStyle name="Normal 2 4 3 3 2 2 3 2 5" xfId="11889" xr:uid="{93CAA40D-E35D-42B8-B704-78EF9694831A}"/>
    <cellStyle name="Normal 2 4 3 3 2 2 3 3" xfId="5520" xr:uid="{00000000-0005-0000-0000-0000DA0F0000}"/>
    <cellStyle name="Normal 2 4 3 3 2 2 3 3 2" xfId="22403" xr:uid="{DA4694D9-E0D1-4BA6-ABBF-099A72DC2047}"/>
    <cellStyle name="Normal 2 4 3 3 2 2 3 3 3" xfId="30849" xr:uid="{87E6DDFC-375C-4D6C-9970-DF803BB4242E}"/>
    <cellStyle name="Normal 2 4 3 3 2 2 3 3 4" xfId="13962" xr:uid="{520F1591-416A-4B0C-BE68-D4732AF1C997}"/>
    <cellStyle name="Normal 2 4 3 3 2 2 3 4" xfId="18185" xr:uid="{C868E9A5-ECE6-445D-83EB-011EE056CA37}"/>
    <cellStyle name="Normal 2 4 3 3 2 2 3 5" xfId="26630" xr:uid="{0F6CABAC-BE73-48A7-BC1A-72E8E736FF4C}"/>
    <cellStyle name="Normal 2 4 3 3 2 2 3 6" xfId="9744" xr:uid="{DDF1B123-E378-48D1-979E-5ECFC5808C9D}"/>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24961" xr:uid="{A56A2549-1AEB-4123-BFC3-8155DB19B624}"/>
    <cellStyle name="Normal 2 4 3 3 2 2 4 2 2 3" xfId="33407" xr:uid="{2EFE1BE3-A046-47B4-855B-B153D5E2E07D}"/>
    <cellStyle name="Normal 2 4 3 3 2 2 4 2 2 4" xfId="16520" xr:uid="{331D2C03-1822-4A43-BF82-CA99F5FDDF96}"/>
    <cellStyle name="Normal 2 4 3 3 2 2 4 2 3" xfId="20743" xr:uid="{ADB00EF7-2E16-430C-B101-741BAFFF240F}"/>
    <cellStyle name="Normal 2 4 3 3 2 2 4 2 4" xfId="29190" xr:uid="{744927DC-A07C-4641-AB3D-03A14C90613C}"/>
    <cellStyle name="Normal 2 4 3 3 2 2 4 2 5" xfId="12302" xr:uid="{B1E7A072-E32B-4366-99CB-1BE65B041838}"/>
    <cellStyle name="Normal 2 4 3 3 2 2 4 3" xfId="5933" xr:uid="{00000000-0005-0000-0000-0000DE0F0000}"/>
    <cellStyle name="Normal 2 4 3 3 2 2 4 3 2" xfId="22816" xr:uid="{3E7E5A25-888E-4516-AAE3-DFDE28758344}"/>
    <cellStyle name="Normal 2 4 3 3 2 2 4 3 3" xfId="31262" xr:uid="{2266DBCB-702B-4F3F-9E33-47627B9C4B71}"/>
    <cellStyle name="Normal 2 4 3 3 2 2 4 3 4" xfId="14375" xr:uid="{8071DF31-5438-4910-A4FF-005A33E49E27}"/>
    <cellStyle name="Normal 2 4 3 3 2 2 4 4" xfId="18598" xr:uid="{5E968C49-BFB7-4C90-95B0-87147399C7E3}"/>
    <cellStyle name="Normal 2 4 3 3 2 2 4 5" xfId="27043" xr:uid="{482D4C4D-DAE0-4A69-900F-166410F858DE}"/>
    <cellStyle name="Normal 2 4 3 3 2 2 4 6" xfId="10157" xr:uid="{A1B5B947-CA59-48CE-843F-DC587EC4661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25374" xr:uid="{BBA3E7B1-3CF0-4FA4-8B0D-3A7739FD81A5}"/>
    <cellStyle name="Normal 2 4 3 3 2 2 5 2 2 3" xfId="33820" xr:uid="{C6C163ED-1E8C-46C5-87E3-D5B238600EF7}"/>
    <cellStyle name="Normal 2 4 3 3 2 2 5 2 2 4" xfId="16933" xr:uid="{F17C468E-B475-46B5-A70F-E9EAFB6D2FA3}"/>
    <cellStyle name="Normal 2 4 3 3 2 2 5 2 3" xfId="21156" xr:uid="{5F6838C3-2A59-41F4-8C71-1F9D05AF0EBD}"/>
    <cellStyle name="Normal 2 4 3 3 2 2 5 2 4" xfId="29603" xr:uid="{9645CDA8-13DF-4DA6-A59D-72643028F8AA}"/>
    <cellStyle name="Normal 2 4 3 3 2 2 5 2 5" xfId="12715" xr:uid="{15D5BCD4-7E14-4A63-9775-68CD2DC0B966}"/>
    <cellStyle name="Normal 2 4 3 3 2 2 5 3" xfId="6346" xr:uid="{00000000-0005-0000-0000-0000E20F0000}"/>
    <cellStyle name="Normal 2 4 3 3 2 2 5 3 2" xfId="23229" xr:uid="{E43CB0A0-17B4-4573-95E1-312DFAC2FF64}"/>
    <cellStyle name="Normal 2 4 3 3 2 2 5 3 3" xfId="31675" xr:uid="{15041BA5-7F9A-4136-A432-C0FC51C57AD5}"/>
    <cellStyle name="Normal 2 4 3 3 2 2 5 3 4" xfId="14788" xr:uid="{5ACF50C6-09E0-4794-ADA9-3154A5FE4791}"/>
    <cellStyle name="Normal 2 4 3 3 2 2 5 4" xfId="19011" xr:uid="{3AD5CC6E-A37C-47AA-A494-5E376E70DDEC}"/>
    <cellStyle name="Normal 2 4 3 3 2 2 5 5" xfId="27456" xr:uid="{455568AC-1708-4E6F-9636-E9F51A5DBCCA}"/>
    <cellStyle name="Normal 2 4 3 3 2 2 5 6" xfId="10570" xr:uid="{87F8F229-28E7-4594-AD66-434CF140CA14}"/>
    <cellStyle name="Normal 2 4 3 3 2 2 6" xfId="2475" xr:uid="{00000000-0005-0000-0000-0000E30F0000}"/>
    <cellStyle name="Normal 2 4 3 3 2 2 6 2" xfId="6759" xr:uid="{00000000-0005-0000-0000-0000E40F0000}"/>
    <cellStyle name="Normal 2 4 3 3 2 2 6 2 2" xfId="23642" xr:uid="{21C6C390-9EE2-4849-A1C3-37FEC31E12B3}"/>
    <cellStyle name="Normal 2 4 3 3 2 2 6 2 3" xfId="32088" xr:uid="{DEA74142-D2E2-4636-AFD9-A4172DF6CB63}"/>
    <cellStyle name="Normal 2 4 3 3 2 2 6 2 4" xfId="15201" xr:uid="{49593B92-C647-4FD1-B9B1-DDA36F108A90}"/>
    <cellStyle name="Normal 2 4 3 3 2 2 6 3" xfId="19424" xr:uid="{A5D094BD-2E59-492E-A105-8059D9425EAC}"/>
    <cellStyle name="Normal 2 4 3 3 2 2 6 4" xfId="27869" xr:uid="{0F1E9387-C205-40C7-A580-86ADC565944E}"/>
    <cellStyle name="Normal 2 4 3 3 2 2 6 5" xfId="10983" xr:uid="{F147A003-ECF0-44DE-8125-352FB2DCBADE}"/>
    <cellStyle name="Normal 2 4 3 3 2 2 7" xfId="4693" xr:uid="{00000000-0005-0000-0000-0000E50F0000}"/>
    <cellStyle name="Normal 2 4 3 3 2 2 7 2" xfId="21576" xr:uid="{03CC748A-DEC1-47CA-9123-013C0034C4ED}"/>
    <cellStyle name="Normal 2 4 3 3 2 2 7 3" xfId="30022" xr:uid="{1C4621EE-40DC-47DB-9955-4347546E5480}"/>
    <cellStyle name="Normal 2 4 3 3 2 2 7 4" xfId="13135" xr:uid="{2406D3F3-5ADD-4CF6-8E1E-FFDDC3E0E453}"/>
    <cellStyle name="Normal 2 4 3 3 2 2 8" xfId="17358" xr:uid="{8B3BAE56-FD4B-4A85-AE8A-D7ABE6ADAEFF}"/>
    <cellStyle name="Normal 2 4 3 3 2 2 9" xfId="25802" xr:uid="{15012C24-4186-4C19-9D32-E1D9737B5752}"/>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24134" xr:uid="{98B5C65B-0983-437E-AEC7-E84A361F8406}"/>
    <cellStyle name="Normal 2 4 3 3 2 3 2 2 3" xfId="32580" xr:uid="{28D89CD2-42F8-4BAC-9E56-2766F5EE0477}"/>
    <cellStyle name="Normal 2 4 3 3 2 3 2 2 4" xfId="15693" xr:uid="{563B53D3-6382-4A32-B5B6-24CA07E39A34}"/>
    <cellStyle name="Normal 2 4 3 3 2 3 2 3" xfId="19916" xr:uid="{A8D1D924-095A-431E-8ECA-20CFB0EFE53F}"/>
    <cellStyle name="Normal 2 4 3 3 2 3 2 4" xfId="28363" xr:uid="{4034170B-07E4-4F6E-A814-78F4DEC5BC88}"/>
    <cellStyle name="Normal 2 4 3 3 2 3 2 5" xfId="11475" xr:uid="{419CBF2E-F51D-43D6-A084-41C0F21A4242}"/>
    <cellStyle name="Normal 2 4 3 3 2 3 3" xfId="5106" xr:uid="{00000000-0005-0000-0000-0000E90F0000}"/>
    <cellStyle name="Normal 2 4 3 3 2 3 3 2" xfId="21989" xr:uid="{50F9EA25-D444-4EC2-A28B-BEF6FF2D67B7}"/>
    <cellStyle name="Normal 2 4 3 3 2 3 3 3" xfId="30435" xr:uid="{D2E60BF5-C720-47AB-9F28-0A664EDB73F2}"/>
    <cellStyle name="Normal 2 4 3 3 2 3 3 4" xfId="13548" xr:uid="{59864018-6DAA-4ABD-9098-6CF4650034AC}"/>
    <cellStyle name="Normal 2 4 3 3 2 3 4" xfId="17771" xr:uid="{ADAF62E9-FFF4-4090-AF26-1E4EF15AAF7E}"/>
    <cellStyle name="Normal 2 4 3 3 2 3 5" xfId="26216" xr:uid="{0CAA31B2-C19C-4C36-BAA1-C6DEB180F59E}"/>
    <cellStyle name="Normal 2 4 3 3 2 3 6" xfId="9330" xr:uid="{1900D3CE-4566-4E5F-AA57-58785E33DDC9}"/>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24547" xr:uid="{4BF818B7-1177-45FF-820C-52A97D425786}"/>
    <cellStyle name="Normal 2 4 3 3 2 4 2 2 3" xfId="32993" xr:uid="{A621F5D1-8BC7-48CD-9B01-FE9BA37C8DFB}"/>
    <cellStyle name="Normal 2 4 3 3 2 4 2 2 4" xfId="16106" xr:uid="{A068AF35-172D-4CCF-860B-F9DA91C2BD1A}"/>
    <cellStyle name="Normal 2 4 3 3 2 4 2 3" xfId="20329" xr:uid="{00C31BE5-A022-4C6B-B9AF-D0F5D1E9B262}"/>
    <cellStyle name="Normal 2 4 3 3 2 4 2 4" xfId="28776" xr:uid="{B23193A8-E1FA-4D67-834C-44EE741A2DD8}"/>
    <cellStyle name="Normal 2 4 3 3 2 4 2 5" xfId="11888" xr:uid="{C4A701B4-0876-467A-AA24-FDAA34073714}"/>
    <cellStyle name="Normal 2 4 3 3 2 4 3" xfId="5519" xr:uid="{00000000-0005-0000-0000-0000ED0F0000}"/>
    <cellStyle name="Normal 2 4 3 3 2 4 3 2" xfId="22402" xr:uid="{957A0A7B-0D4E-4DFF-B1ED-ADD142C8B392}"/>
    <cellStyle name="Normal 2 4 3 3 2 4 3 3" xfId="30848" xr:uid="{CA008FD1-2BE0-407A-B349-4D4831BD09F9}"/>
    <cellStyle name="Normal 2 4 3 3 2 4 3 4" xfId="13961" xr:uid="{16096B9D-00A6-4523-9D39-13831B8D3CB1}"/>
    <cellStyle name="Normal 2 4 3 3 2 4 4" xfId="18184" xr:uid="{11EAC2B3-0EA7-409C-B73B-3E3B521E2537}"/>
    <cellStyle name="Normal 2 4 3 3 2 4 5" xfId="26629" xr:uid="{D12498FA-F840-421C-956A-5F6F5D030E6B}"/>
    <cellStyle name="Normal 2 4 3 3 2 4 6" xfId="9743" xr:uid="{DD79D28F-3776-45F8-9010-65F8925E7A4E}"/>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24960" xr:uid="{1EC5EEF2-802C-4297-94F2-B288312B1BD9}"/>
    <cellStyle name="Normal 2 4 3 3 2 5 2 2 3" xfId="33406" xr:uid="{39F450B1-07B9-417A-AA4E-991C80AB86FC}"/>
    <cellStyle name="Normal 2 4 3 3 2 5 2 2 4" xfId="16519" xr:uid="{03A2CF51-903F-4606-A2FF-99B6CF2A0638}"/>
    <cellStyle name="Normal 2 4 3 3 2 5 2 3" xfId="20742" xr:uid="{A839CF23-48E4-4411-B34D-6EB18B20447F}"/>
    <cellStyle name="Normal 2 4 3 3 2 5 2 4" xfId="29189" xr:uid="{57D8CE67-0BDC-4094-8252-A4583B15584B}"/>
    <cellStyle name="Normal 2 4 3 3 2 5 2 5" xfId="12301" xr:uid="{4146B717-C81B-4CB5-83ED-7BA6ED7158AA}"/>
    <cellStyle name="Normal 2 4 3 3 2 5 3" xfId="5932" xr:uid="{00000000-0005-0000-0000-0000F10F0000}"/>
    <cellStyle name="Normal 2 4 3 3 2 5 3 2" xfId="22815" xr:uid="{A65569EF-6EBC-401B-A0F4-79BD8C02E556}"/>
    <cellStyle name="Normal 2 4 3 3 2 5 3 3" xfId="31261" xr:uid="{34E45076-681C-40A8-A2FF-41A426179A55}"/>
    <cellStyle name="Normal 2 4 3 3 2 5 3 4" xfId="14374" xr:uid="{BC835DC8-C57A-44F5-95C3-ECE5F2325121}"/>
    <cellStyle name="Normal 2 4 3 3 2 5 4" xfId="18597" xr:uid="{CB59FB5A-6F69-4412-B581-356A77122374}"/>
    <cellStyle name="Normal 2 4 3 3 2 5 5" xfId="27042" xr:uid="{FC93D552-331B-4EEC-820D-DABE5683AD46}"/>
    <cellStyle name="Normal 2 4 3 3 2 5 6" xfId="10156" xr:uid="{942517F2-6E01-4903-8D89-C37B5AC0E809}"/>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25373" xr:uid="{FC30B73D-156E-4C85-ACAF-17892BF515B7}"/>
    <cellStyle name="Normal 2 4 3 3 2 6 2 2 3" xfId="33819" xr:uid="{1ACD596A-EE28-4C02-BD29-DEC7DFFBE882}"/>
    <cellStyle name="Normal 2 4 3 3 2 6 2 2 4" xfId="16932" xr:uid="{ED9435FD-67AD-4D90-8050-0D631DA4A185}"/>
    <cellStyle name="Normal 2 4 3 3 2 6 2 3" xfId="21155" xr:uid="{6455D481-F460-48D4-802A-28179998A235}"/>
    <cellStyle name="Normal 2 4 3 3 2 6 2 4" xfId="29602" xr:uid="{217727F0-7079-45E5-B819-31D1AD9BC30E}"/>
    <cellStyle name="Normal 2 4 3 3 2 6 2 5" xfId="12714" xr:uid="{67FD5120-95E2-4E88-9DDE-51F88C0B450F}"/>
    <cellStyle name="Normal 2 4 3 3 2 6 3" xfId="6345" xr:uid="{00000000-0005-0000-0000-0000F50F0000}"/>
    <cellStyle name="Normal 2 4 3 3 2 6 3 2" xfId="23228" xr:uid="{CFE71D0A-D9C0-4E17-AB3D-C2D7920B87E3}"/>
    <cellStyle name="Normal 2 4 3 3 2 6 3 3" xfId="31674" xr:uid="{506CFFA4-2DC2-4FD2-8D80-6FE324711ABA}"/>
    <cellStyle name="Normal 2 4 3 3 2 6 3 4" xfId="14787" xr:uid="{7E9ACF7D-4F0A-43B5-B993-CABB61A031B9}"/>
    <cellStyle name="Normal 2 4 3 3 2 6 4" xfId="19010" xr:uid="{54554A7B-616C-435C-81C1-525177396618}"/>
    <cellStyle name="Normal 2 4 3 3 2 6 5" xfId="27455" xr:uid="{9AAE803D-8964-441F-A8B0-76DE743BC07E}"/>
    <cellStyle name="Normal 2 4 3 3 2 6 6" xfId="10569" xr:uid="{B9701A48-78E7-4970-B037-C5BF31A76473}"/>
    <cellStyle name="Normal 2 4 3 3 2 7" xfId="2474" xr:uid="{00000000-0005-0000-0000-0000F60F0000}"/>
    <cellStyle name="Normal 2 4 3 3 2 7 2" xfId="6758" xr:uid="{00000000-0005-0000-0000-0000F70F0000}"/>
    <cellStyle name="Normal 2 4 3 3 2 7 2 2" xfId="23641" xr:uid="{26D1944E-F123-463F-978C-FAD2042176A0}"/>
    <cellStyle name="Normal 2 4 3 3 2 7 2 3" xfId="32087" xr:uid="{FB3C66D0-5C1B-4D86-9DEF-D7E03563DEC4}"/>
    <cellStyle name="Normal 2 4 3 3 2 7 2 4" xfId="15200" xr:uid="{520EB5D2-DE50-410F-B404-DCD79835B783}"/>
    <cellStyle name="Normal 2 4 3 3 2 7 3" xfId="19423" xr:uid="{5EDCDEF8-1AEC-4052-8B4F-075F8C366488}"/>
    <cellStyle name="Normal 2 4 3 3 2 7 4" xfId="27868" xr:uid="{B52B0F12-D061-4EDF-B28B-3A295E878AC2}"/>
    <cellStyle name="Normal 2 4 3 3 2 7 5" xfId="10982" xr:uid="{59FB9FE1-440B-4245-B3B8-37A81BF99CAC}"/>
    <cellStyle name="Normal 2 4 3 3 2 8" xfId="4692" xr:uid="{00000000-0005-0000-0000-0000F80F0000}"/>
    <cellStyle name="Normal 2 4 3 3 2 8 2" xfId="21575" xr:uid="{8D4FA249-5B20-4F29-8FEB-B64C2F127629}"/>
    <cellStyle name="Normal 2 4 3 3 2 8 3" xfId="30021" xr:uid="{938F07D6-D934-451D-81EE-BF31A1A99261}"/>
    <cellStyle name="Normal 2 4 3 3 2 8 4" xfId="13134" xr:uid="{CE8D5BBE-A2E1-4275-B6BB-9568E6D634B5}"/>
    <cellStyle name="Normal 2 4 3 3 2 9" xfId="17357" xr:uid="{76C8925D-25A8-453B-836B-12BC624977A4}"/>
    <cellStyle name="Normal 2 4 3 3 3" xfId="301" xr:uid="{00000000-0005-0000-0000-0000F90F0000}"/>
    <cellStyle name="Normal 2 4 3 3 3 10" xfId="8918" xr:uid="{17395EC4-C817-43EF-A969-6857BDDC79EE}"/>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24136" xr:uid="{7B3A5FF2-0C62-40DB-9E78-3BE148A72EA0}"/>
    <cellStyle name="Normal 2 4 3 3 3 2 2 2 3" xfId="32582" xr:uid="{B380500D-EF00-4274-9657-0B1014D1D8AE}"/>
    <cellStyle name="Normal 2 4 3 3 3 2 2 2 4" xfId="15695" xr:uid="{A276718E-28DA-486E-BAB5-4ACA1F608917}"/>
    <cellStyle name="Normal 2 4 3 3 3 2 2 3" xfId="19918" xr:uid="{65A14B37-16AA-49A8-B404-65FA801FD53E}"/>
    <cellStyle name="Normal 2 4 3 3 3 2 2 4" xfId="28365" xr:uid="{CD0F0B4B-EEDF-452E-BB05-318BC524D896}"/>
    <cellStyle name="Normal 2 4 3 3 3 2 2 5" xfId="11477" xr:uid="{E516D500-D4E8-4736-9477-8A60A286F406}"/>
    <cellStyle name="Normal 2 4 3 3 3 2 3" xfId="5108" xr:uid="{00000000-0005-0000-0000-0000FD0F0000}"/>
    <cellStyle name="Normal 2 4 3 3 3 2 3 2" xfId="21991" xr:uid="{5CB3FF38-B6C7-4982-897B-FCDC6DD6D69D}"/>
    <cellStyle name="Normal 2 4 3 3 3 2 3 3" xfId="30437" xr:uid="{D148FC51-A5BE-410C-BDC4-E147A53EB574}"/>
    <cellStyle name="Normal 2 4 3 3 3 2 3 4" xfId="13550" xr:uid="{F1C99610-C62C-4C5C-8F8C-B237702D22D2}"/>
    <cellStyle name="Normal 2 4 3 3 3 2 4" xfId="17773" xr:uid="{32DF1A76-D0B5-4648-8C99-D4DE10B6B644}"/>
    <cellStyle name="Normal 2 4 3 3 3 2 5" xfId="26218" xr:uid="{DB0B7A8F-AB9A-4AA0-97D6-9DA16131236F}"/>
    <cellStyle name="Normal 2 4 3 3 3 2 6" xfId="9332" xr:uid="{BB1C5AE4-504A-44F2-BE0D-F6958DE02C3C}"/>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24549" xr:uid="{119A47A8-1084-4B3C-8253-297C78CB9C14}"/>
    <cellStyle name="Normal 2 4 3 3 3 3 2 2 3" xfId="32995" xr:uid="{A1BD11D2-3113-4B16-B367-D1AE3B615A9A}"/>
    <cellStyle name="Normal 2 4 3 3 3 3 2 2 4" xfId="16108" xr:uid="{D7BB3FE5-16D8-4399-ACA4-8D698DFB6C05}"/>
    <cellStyle name="Normal 2 4 3 3 3 3 2 3" xfId="20331" xr:uid="{037CA714-5330-4971-A975-94CA420A0ED9}"/>
    <cellStyle name="Normal 2 4 3 3 3 3 2 4" xfId="28778" xr:uid="{9A57085A-01A1-4A51-898A-F19EF8FFFCF1}"/>
    <cellStyle name="Normal 2 4 3 3 3 3 2 5" xfId="11890" xr:uid="{B12971C5-27FA-4878-B5EA-6518812E844B}"/>
    <cellStyle name="Normal 2 4 3 3 3 3 3" xfId="5521" xr:uid="{00000000-0005-0000-0000-000001100000}"/>
    <cellStyle name="Normal 2 4 3 3 3 3 3 2" xfId="22404" xr:uid="{170D5D9B-17FF-486B-B33F-C9C4BAAADFC7}"/>
    <cellStyle name="Normal 2 4 3 3 3 3 3 3" xfId="30850" xr:uid="{7CD90D7D-1D3C-433F-B110-C9B7F6DA05B3}"/>
    <cellStyle name="Normal 2 4 3 3 3 3 3 4" xfId="13963" xr:uid="{9F34A2B2-7932-4E23-8071-0E54DCD3C16B}"/>
    <cellStyle name="Normal 2 4 3 3 3 3 4" xfId="18186" xr:uid="{AF19EDCB-29F2-4AB2-A65F-591F12E44EBA}"/>
    <cellStyle name="Normal 2 4 3 3 3 3 5" xfId="26631" xr:uid="{1551B91E-8D37-4FF4-8883-FBA46559F213}"/>
    <cellStyle name="Normal 2 4 3 3 3 3 6" xfId="9745" xr:uid="{64540B9E-7E0F-4F99-89E4-951B013FB60F}"/>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24962" xr:uid="{868BB2A8-5CC9-400D-8EB8-E09BA1E0EEA3}"/>
    <cellStyle name="Normal 2 4 3 3 3 4 2 2 3" xfId="33408" xr:uid="{B0142A44-3E5E-4880-8335-C2342CBC9D7B}"/>
    <cellStyle name="Normal 2 4 3 3 3 4 2 2 4" xfId="16521" xr:uid="{F949F3DF-1797-459B-BF05-5D2FB9B2009A}"/>
    <cellStyle name="Normal 2 4 3 3 3 4 2 3" xfId="20744" xr:uid="{562323FC-FC83-4EF4-9B12-2ED477957F97}"/>
    <cellStyle name="Normal 2 4 3 3 3 4 2 4" xfId="29191" xr:uid="{BB7182B0-9DFF-4577-BE30-10C17277D48F}"/>
    <cellStyle name="Normal 2 4 3 3 3 4 2 5" xfId="12303" xr:uid="{3772CABA-5AEE-4DA8-935A-16FEB38FBDCD}"/>
    <cellStyle name="Normal 2 4 3 3 3 4 3" xfId="5934" xr:uid="{00000000-0005-0000-0000-000005100000}"/>
    <cellStyle name="Normal 2 4 3 3 3 4 3 2" xfId="22817" xr:uid="{785FA023-F03F-454E-B68A-978F925B4C11}"/>
    <cellStyle name="Normal 2 4 3 3 3 4 3 3" xfId="31263" xr:uid="{66E0FE05-5B0B-4D63-AF5C-3AEE2FF2287C}"/>
    <cellStyle name="Normal 2 4 3 3 3 4 3 4" xfId="14376" xr:uid="{08AD2562-9DE3-473E-8A89-B49041D9AAC6}"/>
    <cellStyle name="Normal 2 4 3 3 3 4 4" xfId="18599" xr:uid="{A4073BA0-C534-48A6-B7AD-3F977203951C}"/>
    <cellStyle name="Normal 2 4 3 3 3 4 5" xfId="27044" xr:uid="{B39D9BB1-6FE3-4CFB-B754-7484BE06AF9C}"/>
    <cellStyle name="Normal 2 4 3 3 3 4 6" xfId="10158" xr:uid="{80BA1EE4-2ABB-4EE6-B3E9-C1DCBA88A3DB}"/>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25375" xr:uid="{E8FD3999-21A9-4652-B08E-56C562EE9116}"/>
    <cellStyle name="Normal 2 4 3 3 3 5 2 2 3" xfId="33821" xr:uid="{547C7B28-6EAE-4AF0-A5DA-3F58C68AFFB9}"/>
    <cellStyle name="Normal 2 4 3 3 3 5 2 2 4" xfId="16934" xr:uid="{4F535EC7-1DDC-47EF-ADDA-C7B394B55A02}"/>
    <cellStyle name="Normal 2 4 3 3 3 5 2 3" xfId="21157" xr:uid="{076111B3-896C-453B-9C0A-9BD8424C2E9A}"/>
    <cellStyle name="Normal 2 4 3 3 3 5 2 4" xfId="29604" xr:uid="{98728ED6-FCCD-4C74-B335-D4875391E677}"/>
    <cellStyle name="Normal 2 4 3 3 3 5 2 5" xfId="12716" xr:uid="{19FE3BBA-E143-4655-BDA2-B3484EF78F14}"/>
    <cellStyle name="Normal 2 4 3 3 3 5 3" xfId="6347" xr:uid="{00000000-0005-0000-0000-000009100000}"/>
    <cellStyle name="Normal 2 4 3 3 3 5 3 2" xfId="23230" xr:uid="{2C91951A-AD2B-4031-9FD3-2D8E55FD24EE}"/>
    <cellStyle name="Normal 2 4 3 3 3 5 3 3" xfId="31676" xr:uid="{774DB2B2-44A3-40E7-B182-6E80D38A5F5F}"/>
    <cellStyle name="Normal 2 4 3 3 3 5 3 4" xfId="14789" xr:uid="{E48ED574-55AE-4258-964D-CB1BF7B82806}"/>
    <cellStyle name="Normal 2 4 3 3 3 5 4" xfId="19012" xr:uid="{F220D23E-D486-48DA-A8D5-B13114294623}"/>
    <cellStyle name="Normal 2 4 3 3 3 5 5" xfId="27457" xr:uid="{0DC93EE0-45A7-43EF-97D1-9308AE280B81}"/>
    <cellStyle name="Normal 2 4 3 3 3 5 6" xfId="10571" xr:uid="{65B9CFB2-9488-4BA2-8EFD-74F293CFF4FC}"/>
    <cellStyle name="Normal 2 4 3 3 3 6" xfId="2476" xr:uid="{00000000-0005-0000-0000-00000A100000}"/>
    <cellStyle name="Normal 2 4 3 3 3 6 2" xfId="6760" xr:uid="{00000000-0005-0000-0000-00000B100000}"/>
    <cellStyle name="Normal 2 4 3 3 3 6 2 2" xfId="23643" xr:uid="{2DE913C9-B145-42CB-9660-A86A288F5099}"/>
    <cellStyle name="Normal 2 4 3 3 3 6 2 3" xfId="32089" xr:uid="{9CE4CB38-B7F8-4921-BB54-33865354EA5C}"/>
    <cellStyle name="Normal 2 4 3 3 3 6 2 4" xfId="15202" xr:uid="{5DC2C769-56A8-44DD-A5F0-166036B772F4}"/>
    <cellStyle name="Normal 2 4 3 3 3 6 3" xfId="19425" xr:uid="{036CFCEA-CA7A-4F21-B29C-717C56D520F3}"/>
    <cellStyle name="Normal 2 4 3 3 3 6 4" xfId="27870" xr:uid="{E79CE0F8-02E0-4BCD-8BF8-EACF46D5A124}"/>
    <cellStyle name="Normal 2 4 3 3 3 6 5" xfId="10984" xr:uid="{30E25376-25A3-4ED2-BE0C-C8FE96C4E369}"/>
    <cellStyle name="Normal 2 4 3 3 3 7" xfId="4694" xr:uid="{00000000-0005-0000-0000-00000C100000}"/>
    <cellStyle name="Normal 2 4 3 3 3 7 2" xfId="21577" xr:uid="{BC3FDE6E-87EB-4A0E-9242-ECF5C3C21018}"/>
    <cellStyle name="Normal 2 4 3 3 3 7 3" xfId="30023" xr:uid="{5AB086C7-4864-4A1F-B415-A2DE3AD42D9D}"/>
    <cellStyle name="Normal 2 4 3 3 3 7 4" xfId="13136" xr:uid="{24E1C69A-370A-42BF-BB80-C568119EA701}"/>
    <cellStyle name="Normal 2 4 3 3 3 8" xfId="17359" xr:uid="{CC8D51E4-F5C2-4AEB-9A9B-A9D2156B5038}"/>
    <cellStyle name="Normal 2 4 3 3 3 9" xfId="25803" xr:uid="{E548F3E3-D7D6-4914-AC2B-C9F14138DFD3}"/>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24133" xr:uid="{E93228BD-4286-4A0C-8BEB-76B036E9AD13}"/>
    <cellStyle name="Normal 2 4 3 3 4 2 2 3" xfId="32579" xr:uid="{BB48C92E-18FD-4AC8-BF03-9956707699FE}"/>
    <cellStyle name="Normal 2 4 3 3 4 2 2 4" xfId="15692" xr:uid="{48E830B9-637E-4896-AE47-2B125DB5F070}"/>
    <cellStyle name="Normal 2 4 3 3 4 2 3" xfId="19915" xr:uid="{9851954E-E2E2-4344-B8B8-16D01C2518D3}"/>
    <cellStyle name="Normal 2 4 3 3 4 2 4" xfId="28362" xr:uid="{D4C0E1A3-5753-407D-9A31-6B0FAEA2B81E}"/>
    <cellStyle name="Normal 2 4 3 3 4 2 5" xfId="11474" xr:uid="{2738B036-6B84-4E02-A19E-77FAE5B51B66}"/>
    <cellStyle name="Normal 2 4 3 3 4 3" xfId="5105" xr:uid="{00000000-0005-0000-0000-000010100000}"/>
    <cellStyle name="Normal 2 4 3 3 4 3 2" xfId="21988" xr:uid="{E0E24909-1F22-4872-AA4F-24E6ED0D4141}"/>
    <cellStyle name="Normal 2 4 3 3 4 3 3" xfId="30434" xr:uid="{AC515D0B-B2B6-4FEC-B6CD-247EB8016667}"/>
    <cellStyle name="Normal 2 4 3 3 4 3 4" xfId="13547" xr:uid="{CF68BEAA-A70A-4AFC-B38F-7F010FFD2315}"/>
    <cellStyle name="Normal 2 4 3 3 4 4" xfId="17770" xr:uid="{903D83B0-B1DD-4710-93E2-2CD1584172C2}"/>
    <cellStyle name="Normal 2 4 3 3 4 5" xfId="26215" xr:uid="{52C42AD8-50A6-4DB9-8AFC-24D715E3727F}"/>
    <cellStyle name="Normal 2 4 3 3 4 6" xfId="9329" xr:uid="{B4609588-AA30-4E64-BAA0-FE1107591AEC}"/>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24546" xr:uid="{4F3F126A-729F-462E-8918-16EE47FAF84C}"/>
    <cellStyle name="Normal 2 4 3 3 5 2 2 3" xfId="32992" xr:uid="{EED8D48A-9C9B-485D-845B-70FDC2151628}"/>
    <cellStyle name="Normal 2 4 3 3 5 2 2 4" xfId="16105" xr:uid="{3A20D75B-063B-436E-BCE0-DBC622D08623}"/>
    <cellStyle name="Normal 2 4 3 3 5 2 3" xfId="20328" xr:uid="{6D728D3C-FA08-4AF5-B04B-65E55B1FBDEC}"/>
    <cellStyle name="Normal 2 4 3 3 5 2 4" xfId="28775" xr:uid="{A926A472-4584-4BAE-9F6C-9A2C1CF29F8A}"/>
    <cellStyle name="Normal 2 4 3 3 5 2 5" xfId="11887" xr:uid="{319FF7D9-3D5D-4EA7-8C8E-EE06AF617B79}"/>
    <cellStyle name="Normal 2 4 3 3 5 3" xfId="5518" xr:uid="{00000000-0005-0000-0000-000014100000}"/>
    <cellStyle name="Normal 2 4 3 3 5 3 2" xfId="22401" xr:uid="{D3C3916D-B60A-4880-A17D-627291B04351}"/>
    <cellStyle name="Normal 2 4 3 3 5 3 3" xfId="30847" xr:uid="{0E3E9C73-4470-4708-BE57-FD3BABB839EC}"/>
    <cellStyle name="Normal 2 4 3 3 5 3 4" xfId="13960" xr:uid="{B53C4E76-2EBB-431F-A7C8-FFD25F1FDEEB}"/>
    <cellStyle name="Normal 2 4 3 3 5 4" xfId="18183" xr:uid="{3D2DD88A-5F08-4807-BFFB-B3084F10CCE3}"/>
    <cellStyle name="Normal 2 4 3 3 5 5" xfId="26628" xr:uid="{72144E31-5333-4112-8E23-3E184FD9B13A}"/>
    <cellStyle name="Normal 2 4 3 3 5 6" xfId="9742" xr:uid="{63253731-BC88-440C-8784-CBFABCCC7AAB}"/>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24959" xr:uid="{9F63B49B-919B-4ECD-A777-A5536A495904}"/>
    <cellStyle name="Normal 2 4 3 3 6 2 2 3" xfId="33405" xr:uid="{EAF618D4-796D-44F9-B965-200144897711}"/>
    <cellStyle name="Normal 2 4 3 3 6 2 2 4" xfId="16518" xr:uid="{9FA321BA-8C78-4999-B6D0-ADDAC5570F40}"/>
    <cellStyle name="Normal 2 4 3 3 6 2 3" xfId="20741" xr:uid="{4B4EE5B8-E658-4D15-8308-F0ED4F0B780C}"/>
    <cellStyle name="Normal 2 4 3 3 6 2 4" xfId="29188" xr:uid="{5EAEDE37-4E78-472A-A35F-DB517BF4F8D6}"/>
    <cellStyle name="Normal 2 4 3 3 6 2 5" xfId="12300" xr:uid="{62ADC54A-DAFF-44E5-A761-6E4D7D7E9664}"/>
    <cellStyle name="Normal 2 4 3 3 6 3" xfId="5931" xr:uid="{00000000-0005-0000-0000-000018100000}"/>
    <cellStyle name="Normal 2 4 3 3 6 3 2" xfId="22814" xr:uid="{CBBC0B36-F99D-4B9E-9A4B-A259144DD785}"/>
    <cellStyle name="Normal 2 4 3 3 6 3 3" xfId="31260" xr:uid="{0F248048-7323-40EE-9397-BF6BC3B4ABF0}"/>
    <cellStyle name="Normal 2 4 3 3 6 3 4" xfId="14373" xr:uid="{B791676B-47C7-4211-B5DB-360EA4F93A64}"/>
    <cellStyle name="Normal 2 4 3 3 6 4" xfId="18596" xr:uid="{EE8D5A8B-9413-4608-8A33-16B696A17329}"/>
    <cellStyle name="Normal 2 4 3 3 6 5" xfId="27041" xr:uid="{8EE5CD71-399A-4CB2-94DC-04EC62A24AFC}"/>
    <cellStyle name="Normal 2 4 3 3 6 6" xfId="10155" xr:uid="{B7081A13-2646-4C23-9155-77BE4F88FA2B}"/>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25372" xr:uid="{C3961D8F-5E00-4ED7-A4EC-2F31EF67F837}"/>
    <cellStyle name="Normal 2 4 3 3 7 2 2 3" xfId="33818" xr:uid="{32FAD927-7581-4030-98DF-4A50FB0B8BAE}"/>
    <cellStyle name="Normal 2 4 3 3 7 2 2 4" xfId="16931" xr:uid="{096DDE1C-22A7-4EDA-A04E-D8AFD229D11F}"/>
    <cellStyle name="Normal 2 4 3 3 7 2 3" xfId="21154" xr:uid="{62021A2E-B3CB-4877-838C-3ACBDF0D895B}"/>
    <cellStyle name="Normal 2 4 3 3 7 2 4" xfId="29601" xr:uid="{33AE57C3-81A8-4844-8FE3-96FF213DD933}"/>
    <cellStyle name="Normal 2 4 3 3 7 2 5" xfId="12713" xr:uid="{1710E1EC-0F31-4BCF-B92F-E77860AEBDCB}"/>
    <cellStyle name="Normal 2 4 3 3 7 3" xfId="6344" xr:uid="{00000000-0005-0000-0000-00001C100000}"/>
    <cellStyle name="Normal 2 4 3 3 7 3 2" xfId="23227" xr:uid="{33212910-1FD1-44E9-8892-581473FA5D17}"/>
    <cellStyle name="Normal 2 4 3 3 7 3 3" xfId="31673" xr:uid="{8C4A7799-4D18-4479-93A7-EBAABA9E51B8}"/>
    <cellStyle name="Normal 2 4 3 3 7 3 4" xfId="14786" xr:uid="{80F7270C-0EF1-4F73-881B-398D7F923E3F}"/>
    <cellStyle name="Normal 2 4 3 3 7 4" xfId="19009" xr:uid="{642188E9-48AA-4981-B321-89B45A6AEC00}"/>
    <cellStyle name="Normal 2 4 3 3 7 5" xfId="27454" xr:uid="{4BFE1CA0-C60D-4B8E-B39C-6406E39D5F8C}"/>
    <cellStyle name="Normal 2 4 3 3 7 6" xfId="10568" xr:uid="{9AE83407-ACAB-4561-BB56-0D5B747F6BB1}"/>
    <cellStyle name="Normal 2 4 3 3 8" xfId="2473" xr:uid="{00000000-0005-0000-0000-00001D100000}"/>
    <cellStyle name="Normal 2 4 3 3 8 2" xfId="6757" xr:uid="{00000000-0005-0000-0000-00001E100000}"/>
    <cellStyle name="Normal 2 4 3 3 8 2 2" xfId="23640" xr:uid="{502BB180-21A7-408A-BA84-D7EA504A90F0}"/>
    <cellStyle name="Normal 2 4 3 3 8 2 3" xfId="32086" xr:uid="{01CFA44C-9929-42DA-A169-1EC66BD006B5}"/>
    <cellStyle name="Normal 2 4 3 3 8 2 4" xfId="15199" xr:uid="{1125EB7C-A43E-4D6E-BBC6-A4C2144FB73E}"/>
    <cellStyle name="Normal 2 4 3 3 8 3" xfId="19422" xr:uid="{906F1049-8227-4968-8F36-04FFBF8C3FC3}"/>
    <cellStyle name="Normal 2 4 3 3 8 4" xfId="27867" xr:uid="{634A635E-31B1-4E0E-8F67-E96CC0545D0C}"/>
    <cellStyle name="Normal 2 4 3 3 8 5" xfId="10981" xr:uid="{325449DE-5788-4487-B290-7C3278C9F6D6}"/>
    <cellStyle name="Normal 2 4 3 3 9" xfId="4691" xr:uid="{00000000-0005-0000-0000-00001F100000}"/>
    <cellStyle name="Normal 2 4 3 3 9 2" xfId="21574" xr:uid="{64293C19-9941-4E5C-8A93-7220F789241D}"/>
    <cellStyle name="Normal 2 4 3 3 9 3" xfId="30020" xr:uid="{27E19E4B-5867-48B8-9B85-11B53F5573C9}"/>
    <cellStyle name="Normal 2 4 3 3 9 4" xfId="13133" xr:uid="{F07CB236-384C-4526-95E3-7412D8DCC29F}"/>
    <cellStyle name="Normal 2 4 3 4" xfId="787" xr:uid="{00000000-0005-0000-0000-000020100000}"/>
    <cellStyle name="Normal 2 4 3 4 2" xfId="3026" xr:uid="{00000000-0005-0000-0000-000021100000}"/>
    <cellStyle name="Normal 2 4 3 4 2 2" xfId="7249" xr:uid="{00000000-0005-0000-0000-000022100000}"/>
    <cellStyle name="Normal 2 4 3 4 2 2 2" xfId="24132" xr:uid="{E3BAEC59-DC2A-444A-A06B-97A1B4F0B891}"/>
    <cellStyle name="Normal 2 4 3 4 2 2 3" xfId="32578" xr:uid="{49B4AE28-9D7C-4867-88C1-CFE24ABA3041}"/>
    <cellStyle name="Normal 2 4 3 4 2 2 4" xfId="15691" xr:uid="{A6D78D41-B49C-45E0-A5BB-8C8F677F2FF0}"/>
    <cellStyle name="Normal 2 4 3 4 2 3" xfId="19914" xr:uid="{7E27299C-C85C-40A7-A607-0A33B82491B7}"/>
    <cellStyle name="Normal 2 4 3 4 2 4" xfId="28361" xr:uid="{9A42781B-3BA5-412A-B1E5-FD00545D8823}"/>
    <cellStyle name="Normal 2 4 3 4 2 5" xfId="11473" xr:uid="{493EFFD3-DF72-4FEF-BBF8-E158232E6BC7}"/>
    <cellStyle name="Normal 2 4 3 4 3" xfId="5104" xr:uid="{00000000-0005-0000-0000-000023100000}"/>
    <cellStyle name="Normal 2 4 3 4 3 2" xfId="21987" xr:uid="{DBA3CE7B-DAD2-4768-940F-5525FAFAA9D6}"/>
    <cellStyle name="Normal 2 4 3 4 3 3" xfId="30433" xr:uid="{91E1A6EB-69E5-439F-8551-92D034B1E8A7}"/>
    <cellStyle name="Normal 2 4 3 4 3 4" xfId="13546" xr:uid="{A974066A-D171-4F35-88C7-CF78FAA290F3}"/>
    <cellStyle name="Normal 2 4 3 4 4" xfId="17769" xr:uid="{AEDB6C68-5F98-4FF7-A6DE-E3FF7C6DE56F}"/>
    <cellStyle name="Normal 2 4 3 4 5" xfId="26214" xr:uid="{4831C128-7321-4930-8611-CAA351464460}"/>
    <cellStyle name="Normal 2 4 3 4 6" xfId="9328" xr:uid="{16FF3EC4-C720-41C8-83E2-030A01B1D2B3}"/>
    <cellStyle name="Normal 2 4 3 5" xfId="1209" xr:uid="{00000000-0005-0000-0000-000024100000}"/>
    <cellStyle name="Normal 2 4 3 5 2" xfId="3439" xr:uid="{00000000-0005-0000-0000-000025100000}"/>
    <cellStyle name="Normal 2 4 3 5 2 2" xfId="7662" xr:uid="{00000000-0005-0000-0000-000026100000}"/>
    <cellStyle name="Normal 2 4 3 5 2 2 2" xfId="24545" xr:uid="{52D86D98-FA27-4A7E-A64C-FDB785A66732}"/>
    <cellStyle name="Normal 2 4 3 5 2 2 3" xfId="32991" xr:uid="{E05EE594-7235-47B6-A93A-B636EF886D77}"/>
    <cellStyle name="Normal 2 4 3 5 2 2 4" xfId="16104" xr:uid="{22202ADB-E451-4AC7-92C2-04359C6F9EAA}"/>
    <cellStyle name="Normal 2 4 3 5 2 3" xfId="20327" xr:uid="{DBA6A803-865E-44FB-95C4-E7C731CF7498}"/>
    <cellStyle name="Normal 2 4 3 5 2 4" xfId="28774" xr:uid="{B1CE5BDF-510C-44E6-ADA4-E2FF7AC95E32}"/>
    <cellStyle name="Normal 2 4 3 5 2 5" xfId="11886" xr:uid="{38C5ABE5-3A20-4C8E-9419-84F25920896E}"/>
    <cellStyle name="Normal 2 4 3 5 3" xfId="5517" xr:uid="{00000000-0005-0000-0000-000027100000}"/>
    <cellStyle name="Normal 2 4 3 5 3 2" xfId="22400" xr:uid="{3D1206FB-7997-4942-9E32-A7522182858D}"/>
    <cellStyle name="Normal 2 4 3 5 3 3" xfId="30846" xr:uid="{82EECF84-9088-4E92-BB63-9038EB4BD487}"/>
    <cellStyle name="Normal 2 4 3 5 3 4" xfId="13959" xr:uid="{20F83E27-F6EB-401A-941C-1DABBA0DFD1A}"/>
    <cellStyle name="Normal 2 4 3 5 4" xfId="18182" xr:uid="{DEDA4ABB-92F6-482D-91E7-EE515F42A94F}"/>
    <cellStyle name="Normal 2 4 3 5 5" xfId="26627" xr:uid="{41E24F10-C992-4D48-8534-9A885AF5D9EC}"/>
    <cellStyle name="Normal 2 4 3 5 6" xfId="9741" xr:uid="{20F4A258-0241-49F0-9ED9-E77600199401}"/>
    <cellStyle name="Normal 2 4 3 6" xfId="1622" xr:uid="{00000000-0005-0000-0000-000028100000}"/>
    <cellStyle name="Normal 2 4 3 6 2" xfId="3852" xr:uid="{00000000-0005-0000-0000-000029100000}"/>
    <cellStyle name="Normal 2 4 3 6 2 2" xfId="8075" xr:uid="{00000000-0005-0000-0000-00002A100000}"/>
    <cellStyle name="Normal 2 4 3 6 2 2 2" xfId="24958" xr:uid="{6299115E-409A-4462-9FFC-97D4424FF69B}"/>
    <cellStyle name="Normal 2 4 3 6 2 2 3" xfId="33404" xr:uid="{5B6B574E-745E-4DE7-84C3-D7C315291920}"/>
    <cellStyle name="Normal 2 4 3 6 2 2 4" xfId="16517" xr:uid="{0607E7F8-5DBE-44D0-95CC-00BE01A0CB54}"/>
    <cellStyle name="Normal 2 4 3 6 2 3" xfId="20740" xr:uid="{5F692690-3F6B-4192-B430-A71C84DF7BC3}"/>
    <cellStyle name="Normal 2 4 3 6 2 4" xfId="29187" xr:uid="{3D80299D-FB6E-4D5C-AFC3-1F930AD3A449}"/>
    <cellStyle name="Normal 2 4 3 6 2 5" xfId="12299" xr:uid="{E90A3F67-66C4-4B30-BB58-55EEAF6EA9A5}"/>
    <cellStyle name="Normal 2 4 3 6 3" xfId="5930" xr:uid="{00000000-0005-0000-0000-00002B100000}"/>
    <cellStyle name="Normal 2 4 3 6 3 2" xfId="22813" xr:uid="{48647DD1-2142-4CEC-B534-17DD4C988E58}"/>
    <cellStyle name="Normal 2 4 3 6 3 3" xfId="31259" xr:uid="{562AD351-E76F-4BA9-9AA8-C15DA6F6BFCE}"/>
    <cellStyle name="Normal 2 4 3 6 3 4" xfId="14372" xr:uid="{8C7D5C9A-FA10-48AC-ADB5-CE804C366823}"/>
    <cellStyle name="Normal 2 4 3 6 4" xfId="18595" xr:uid="{21D29894-1CBB-43D6-B65C-9C0919C3E992}"/>
    <cellStyle name="Normal 2 4 3 6 5" xfId="27040" xr:uid="{3F1C8971-2D1A-4376-B4D6-E3A1280AC8A8}"/>
    <cellStyle name="Normal 2 4 3 6 6" xfId="10154" xr:uid="{DF960A0A-1C3F-483C-9A7F-DEDF0CA8F55F}"/>
    <cellStyle name="Normal 2 4 3 7" xfId="2036" xr:uid="{00000000-0005-0000-0000-00002C100000}"/>
    <cellStyle name="Normal 2 4 3 7 2" xfId="4265" xr:uid="{00000000-0005-0000-0000-00002D100000}"/>
    <cellStyle name="Normal 2 4 3 7 2 2" xfId="8488" xr:uid="{00000000-0005-0000-0000-00002E100000}"/>
    <cellStyle name="Normal 2 4 3 7 2 2 2" xfId="25371" xr:uid="{63E264A5-A57F-40FC-85ED-028FAFAF4107}"/>
    <cellStyle name="Normal 2 4 3 7 2 2 3" xfId="33817" xr:uid="{2E7F2689-1BD6-4BDF-98C4-62DDC0421493}"/>
    <cellStyle name="Normal 2 4 3 7 2 2 4" xfId="16930" xr:uid="{ED7DE1FD-1A58-408E-810B-2BA72422F802}"/>
    <cellStyle name="Normal 2 4 3 7 2 3" xfId="21153" xr:uid="{FA47B27F-C7AF-4995-AC7A-F42181D81D95}"/>
    <cellStyle name="Normal 2 4 3 7 2 4" xfId="29600" xr:uid="{1407DBD3-CDB5-45C0-B6B9-BDE00189AFD1}"/>
    <cellStyle name="Normal 2 4 3 7 2 5" xfId="12712" xr:uid="{CEBEA994-9494-4142-8710-A75D47A5AB08}"/>
    <cellStyle name="Normal 2 4 3 7 3" xfId="6343" xr:uid="{00000000-0005-0000-0000-00002F100000}"/>
    <cellStyle name="Normal 2 4 3 7 3 2" xfId="23226" xr:uid="{BCAE3786-7D48-4F40-89C2-CFA13421844D}"/>
    <cellStyle name="Normal 2 4 3 7 3 3" xfId="31672" xr:uid="{FF2D2E0E-39A2-463D-A9AB-2589A6881459}"/>
    <cellStyle name="Normal 2 4 3 7 3 4" xfId="14785" xr:uid="{4D77F766-1CAC-458B-A6A8-F163FAD321B1}"/>
    <cellStyle name="Normal 2 4 3 7 4" xfId="19008" xr:uid="{CF200B3C-2CC4-4065-9899-47263404CCD3}"/>
    <cellStyle name="Normal 2 4 3 7 5" xfId="27453" xr:uid="{E7F743DE-6B8C-4641-99F8-B45C56CC6475}"/>
    <cellStyle name="Normal 2 4 3 7 6" xfId="10567" xr:uid="{2B44BD8C-6078-4C6B-AAD5-2D970605D49C}"/>
    <cellStyle name="Normal 2 4 3 8" xfId="2472" xr:uid="{00000000-0005-0000-0000-000030100000}"/>
    <cellStyle name="Normal 2 4 3 8 2" xfId="6756" xr:uid="{00000000-0005-0000-0000-000031100000}"/>
    <cellStyle name="Normal 2 4 3 8 2 2" xfId="23639" xr:uid="{AC4BD941-E7D3-45B6-ADB2-D58FA4DE5C11}"/>
    <cellStyle name="Normal 2 4 3 8 2 3" xfId="32085" xr:uid="{4033FA0E-D72D-4319-93DF-FD6FCC44EFA1}"/>
    <cellStyle name="Normal 2 4 3 8 2 4" xfId="15198" xr:uid="{EDAEBBCA-58BB-4C38-8472-40E054027E74}"/>
    <cellStyle name="Normal 2 4 3 8 3" xfId="19421" xr:uid="{A0F4F1CA-203D-4364-B6F9-2269A6C1A098}"/>
    <cellStyle name="Normal 2 4 3 8 4" xfId="27866" xr:uid="{0BC4553F-BD52-4141-B89D-F553671F92A4}"/>
    <cellStyle name="Normal 2 4 3 8 5" xfId="10980" xr:uid="{36098A93-6B1D-4569-A371-397A7132F693}"/>
    <cellStyle name="Normal 2 4 3 9" xfId="4690" xr:uid="{00000000-0005-0000-0000-000032100000}"/>
    <cellStyle name="Normal 2 4 3 9 2" xfId="21573" xr:uid="{AC3E657B-4931-4136-8746-2919A71B2828}"/>
    <cellStyle name="Normal 2 4 3 9 3" xfId="30019" xr:uid="{4784229F-818C-4A9C-B55A-6693FB27362C}"/>
    <cellStyle name="Normal 2 4 3 9 4" xfId="13132" xr:uid="{AA9EC454-8AFD-46BF-83BE-623E54095927}"/>
    <cellStyle name="Normal 2 4 4" xfId="302" xr:uid="{00000000-0005-0000-0000-000033100000}"/>
    <cellStyle name="Normal 2 4 5" xfId="303" xr:uid="{00000000-0005-0000-0000-000034100000}"/>
    <cellStyle name="Normal 2 4 5 10" xfId="4695" xr:uid="{00000000-0005-0000-0000-000035100000}"/>
    <cellStyle name="Normal 2 4 5 10 2" xfId="21578" xr:uid="{801CC607-5C27-4E71-B0AE-B79AF1743A5F}"/>
    <cellStyle name="Normal 2 4 5 10 3" xfId="30024" xr:uid="{F0CE29D2-5FF7-47D9-984E-DD7E9B04BDC5}"/>
    <cellStyle name="Normal 2 4 5 10 4" xfId="13137" xr:uid="{2EDEC187-89CC-413A-BED3-8DD4F7982A4F}"/>
    <cellStyle name="Normal 2 4 5 11" xfId="17360" xr:uid="{AB51CC19-530D-401C-B2EB-2C8D74B412F8}"/>
    <cellStyle name="Normal 2 4 5 12" xfId="25804" xr:uid="{7152F6B0-5E36-418F-AF46-4E56EDA92041}"/>
    <cellStyle name="Normal 2 4 5 13" xfId="8919" xr:uid="{917584CC-F488-47D0-AE28-0C49DE666C3C}"/>
    <cellStyle name="Normal 2 4 5 2" xfId="304" xr:uid="{00000000-0005-0000-0000-000036100000}"/>
    <cellStyle name="Normal 2 4 5 2 10" xfId="17361" xr:uid="{F0D06F6A-96DB-42BD-B968-96186A47A65C}"/>
    <cellStyle name="Normal 2 4 5 2 11" xfId="25805" xr:uid="{7BA3C94F-D513-4665-A7C1-8540A74D70E0}"/>
    <cellStyle name="Normal 2 4 5 2 12" xfId="8920" xr:uid="{00303B1A-56CA-4047-BC29-F5B046CA5A8C}"/>
    <cellStyle name="Normal 2 4 5 2 2" xfId="305" xr:uid="{00000000-0005-0000-0000-000037100000}"/>
    <cellStyle name="Normal 2 4 5 2 2 10" xfId="25806" xr:uid="{3C32EA0A-3F38-41AB-B269-EF1CC8076A2F}"/>
    <cellStyle name="Normal 2 4 5 2 2 11" xfId="8921" xr:uid="{8B8A2265-55E5-41E0-B0E7-501B5DC4D748}"/>
    <cellStyle name="Normal 2 4 5 2 2 2" xfId="306" xr:uid="{00000000-0005-0000-0000-000038100000}"/>
    <cellStyle name="Normal 2 4 5 2 2 2 10" xfId="8922" xr:uid="{B8A58E9F-538C-4B3E-B5C7-890B4C881F4A}"/>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24140" xr:uid="{EB2797AD-BE65-4E91-909E-17C10C6EE193}"/>
    <cellStyle name="Normal 2 4 5 2 2 2 2 2 2 3" xfId="32586" xr:uid="{E29974BC-AFFA-42DE-85FB-8425BC910825}"/>
    <cellStyle name="Normal 2 4 5 2 2 2 2 2 2 4" xfId="15699" xr:uid="{826C90C1-E5FF-44EC-994D-0D1BAA7496C8}"/>
    <cellStyle name="Normal 2 4 5 2 2 2 2 2 3" xfId="19922" xr:uid="{AA2BAC36-10CA-4D22-92BE-DC657AFB8B3B}"/>
    <cellStyle name="Normal 2 4 5 2 2 2 2 2 4" xfId="28369" xr:uid="{38FB8D55-2118-4A55-B29B-0D226F982851}"/>
    <cellStyle name="Normal 2 4 5 2 2 2 2 2 5" xfId="11481" xr:uid="{4618E0ED-CB4B-4418-A0E5-BA9C736F9B1F}"/>
    <cellStyle name="Normal 2 4 5 2 2 2 2 3" xfId="5112" xr:uid="{00000000-0005-0000-0000-00003C100000}"/>
    <cellStyle name="Normal 2 4 5 2 2 2 2 3 2" xfId="21995" xr:uid="{F8D51187-999B-434E-A8E5-AD2FDB43EEC1}"/>
    <cellStyle name="Normal 2 4 5 2 2 2 2 3 3" xfId="30441" xr:uid="{F17A0342-CBBF-476E-B90F-F6578AD3CFFB}"/>
    <cellStyle name="Normal 2 4 5 2 2 2 2 3 4" xfId="13554" xr:uid="{5D13E26F-C941-4EE7-94F6-3EE8A39A3A3C}"/>
    <cellStyle name="Normal 2 4 5 2 2 2 2 4" xfId="17777" xr:uid="{659D4120-FE5C-4F6D-BBEF-179C897CF362}"/>
    <cellStyle name="Normal 2 4 5 2 2 2 2 5" xfId="26222" xr:uid="{5A90811A-98CD-4EAD-8FBB-B1DBE92CAFEF}"/>
    <cellStyle name="Normal 2 4 5 2 2 2 2 6" xfId="9336" xr:uid="{95A1B153-1B0E-4F14-83CE-53FB9A6A7315}"/>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24553" xr:uid="{3150086D-F76D-4CA0-8291-051ECF48E78F}"/>
    <cellStyle name="Normal 2 4 5 2 2 2 3 2 2 3" xfId="32999" xr:uid="{87E7D009-07A1-4962-97E0-CB728920C9BC}"/>
    <cellStyle name="Normal 2 4 5 2 2 2 3 2 2 4" xfId="16112" xr:uid="{7FF140D5-9CD8-4D8A-9A75-BA16296D5804}"/>
    <cellStyle name="Normal 2 4 5 2 2 2 3 2 3" xfId="20335" xr:uid="{CB75E835-6080-4BB4-BB9F-AAE6D5370D27}"/>
    <cellStyle name="Normal 2 4 5 2 2 2 3 2 4" xfId="28782" xr:uid="{6523034F-B56D-4345-884A-F1592E60A6A8}"/>
    <cellStyle name="Normal 2 4 5 2 2 2 3 2 5" xfId="11894" xr:uid="{85F1A01F-A0D5-49E6-B7FA-3F5544DDFCDB}"/>
    <cellStyle name="Normal 2 4 5 2 2 2 3 3" xfId="5525" xr:uid="{00000000-0005-0000-0000-000040100000}"/>
    <cellStyle name="Normal 2 4 5 2 2 2 3 3 2" xfId="22408" xr:uid="{AA67502E-E5D8-4B15-AC23-39F73146834B}"/>
    <cellStyle name="Normal 2 4 5 2 2 2 3 3 3" xfId="30854" xr:uid="{2359D077-594C-4354-B779-8754CF4C0E7C}"/>
    <cellStyle name="Normal 2 4 5 2 2 2 3 3 4" xfId="13967" xr:uid="{861B476C-ABC9-4122-82E1-E3DFA2BC9FAC}"/>
    <cellStyle name="Normal 2 4 5 2 2 2 3 4" xfId="18190" xr:uid="{984C24CB-C7D3-4273-9BAF-0A4A23E2FDF0}"/>
    <cellStyle name="Normal 2 4 5 2 2 2 3 5" xfId="26635" xr:uid="{363141CC-9F58-434F-9173-7AFDA18FB4DF}"/>
    <cellStyle name="Normal 2 4 5 2 2 2 3 6" xfId="9749" xr:uid="{75164DB5-FC0D-4767-B4BA-2797C7385AB4}"/>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24966" xr:uid="{4F89F8F9-1999-4262-9CAE-F1E627D1AA3A}"/>
    <cellStyle name="Normal 2 4 5 2 2 2 4 2 2 3" xfId="33412" xr:uid="{281A5F02-91B7-4D0A-856A-E4FA6A0CA2C6}"/>
    <cellStyle name="Normal 2 4 5 2 2 2 4 2 2 4" xfId="16525" xr:uid="{5381B83E-CAF9-4521-9A4B-3F06850501D1}"/>
    <cellStyle name="Normal 2 4 5 2 2 2 4 2 3" xfId="20748" xr:uid="{6A3A495E-ED19-4BBC-8A90-CF1F376CF114}"/>
    <cellStyle name="Normal 2 4 5 2 2 2 4 2 4" xfId="29195" xr:uid="{D70900FE-C8B4-4C06-98CE-A250B335F6B2}"/>
    <cellStyle name="Normal 2 4 5 2 2 2 4 2 5" xfId="12307" xr:uid="{D6C97683-DB8D-4989-8417-2DF56DAC4A8A}"/>
    <cellStyle name="Normal 2 4 5 2 2 2 4 3" xfId="5938" xr:uid="{00000000-0005-0000-0000-000044100000}"/>
    <cellStyle name="Normal 2 4 5 2 2 2 4 3 2" xfId="22821" xr:uid="{0CF5D0CA-2C93-457D-B3C9-BCE86DF912E8}"/>
    <cellStyle name="Normal 2 4 5 2 2 2 4 3 3" xfId="31267" xr:uid="{AA144E59-CD9B-49EF-AC84-9675A3061F10}"/>
    <cellStyle name="Normal 2 4 5 2 2 2 4 3 4" xfId="14380" xr:uid="{3EE55362-F734-4C4F-82C1-C46442D7ECA6}"/>
    <cellStyle name="Normal 2 4 5 2 2 2 4 4" xfId="18603" xr:uid="{777E00D1-B14E-461F-86F2-F27D8189BE8E}"/>
    <cellStyle name="Normal 2 4 5 2 2 2 4 5" xfId="27048" xr:uid="{07F8D433-3687-42BE-A3C3-FF7703F470E9}"/>
    <cellStyle name="Normal 2 4 5 2 2 2 4 6" xfId="10162" xr:uid="{E2786F21-0EF9-47F2-9C21-F8346280F798}"/>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25379" xr:uid="{A8AF5C02-CD05-46F3-9AE7-1F740ED7833C}"/>
    <cellStyle name="Normal 2 4 5 2 2 2 5 2 2 3" xfId="33825" xr:uid="{713783C0-0FC7-4F83-A88F-C13716C28C57}"/>
    <cellStyle name="Normal 2 4 5 2 2 2 5 2 2 4" xfId="16938" xr:uid="{3A66938F-F2D3-47A0-82C3-893826338BB4}"/>
    <cellStyle name="Normal 2 4 5 2 2 2 5 2 3" xfId="21161" xr:uid="{42953251-8A91-439B-BD97-454B101BD6F5}"/>
    <cellStyle name="Normal 2 4 5 2 2 2 5 2 4" xfId="29608" xr:uid="{A2F9829D-BC50-48EF-962B-60D0550577F8}"/>
    <cellStyle name="Normal 2 4 5 2 2 2 5 2 5" xfId="12720" xr:uid="{D46D6FE5-7132-472D-BF86-4576367A3CEB}"/>
    <cellStyle name="Normal 2 4 5 2 2 2 5 3" xfId="6351" xr:uid="{00000000-0005-0000-0000-000048100000}"/>
    <cellStyle name="Normal 2 4 5 2 2 2 5 3 2" xfId="23234" xr:uid="{8548A598-5126-4CD5-BB3A-AF6DF5851D22}"/>
    <cellStyle name="Normal 2 4 5 2 2 2 5 3 3" xfId="31680" xr:uid="{3BE8577C-5ED7-45D1-BA38-57B3D8414831}"/>
    <cellStyle name="Normal 2 4 5 2 2 2 5 3 4" xfId="14793" xr:uid="{026C49BF-38E7-4FEE-B4AD-10907BF4448C}"/>
    <cellStyle name="Normal 2 4 5 2 2 2 5 4" xfId="19016" xr:uid="{B9D91665-34EB-4B50-BE74-636AF44C30CA}"/>
    <cellStyle name="Normal 2 4 5 2 2 2 5 5" xfId="27461" xr:uid="{CE8FE871-4257-46C8-8D0A-7558FA6E94EB}"/>
    <cellStyle name="Normal 2 4 5 2 2 2 5 6" xfId="10575" xr:uid="{FB84CBA4-E169-4F9D-BB7D-E158E5EF6B67}"/>
    <cellStyle name="Normal 2 4 5 2 2 2 6" xfId="2480" xr:uid="{00000000-0005-0000-0000-000049100000}"/>
    <cellStyle name="Normal 2 4 5 2 2 2 6 2" xfId="6764" xr:uid="{00000000-0005-0000-0000-00004A100000}"/>
    <cellStyle name="Normal 2 4 5 2 2 2 6 2 2" xfId="23647" xr:uid="{FBAFBDDD-DC97-4B23-B24B-DB3AFE4852B3}"/>
    <cellStyle name="Normal 2 4 5 2 2 2 6 2 3" xfId="32093" xr:uid="{AE4AF2C4-D710-4687-9558-BEA9AAEB5638}"/>
    <cellStyle name="Normal 2 4 5 2 2 2 6 2 4" xfId="15206" xr:uid="{6A7A9126-5B53-4440-B1D0-DB6A7C8AE3F7}"/>
    <cellStyle name="Normal 2 4 5 2 2 2 6 3" xfId="19429" xr:uid="{B796F846-40DD-4AA2-8F25-77609855233D}"/>
    <cellStyle name="Normal 2 4 5 2 2 2 6 4" xfId="27874" xr:uid="{C2632DAC-8E8A-495C-B26B-DC8536B5977C}"/>
    <cellStyle name="Normal 2 4 5 2 2 2 6 5" xfId="10988" xr:uid="{CF0A9A71-2C3A-4182-9B39-658B5A65F64F}"/>
    <cellStyle name="Normal 2 4 5 2 2 2 7" xfId="4698" xr:uid="{00000000-0005-0000-0000-00004B100000}"/>
    <cellStyle name="Normal 2 4 5 2 2 2 7 2" xfId="21581" xr:uid="{631FD5E7-BAD0-4B7C-9FD8-83ACFFFE1E62}"/>
    <cellStyle name="Normal 2 4 5 2 2 2 7 3" xfId="30027" xr:uid="{5A50484D-4F8E-4242-9F15-477AB81208A9}"/>
    <cellStyle name="Normal 2 4 5 2 2 2 7 4" xfId="13140" xr:uid="{362EC749-2535-4907-8FDD-16370A782FC3}"/>
    <cellStyle name="Normal 2 4 5 2 2 2 8" xfId="17363" xr:uid="{BFDFAEC5-E442-42D9-938E-3292B156B773}"/>
    <cellStyle name="Normal 2 4 5 2 2 2 9" xfId="25807" xr:uid="{9B33E7A6-8DC1-434D-A734-8A138AA4CFD7}"/>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24139" xr:uid="{5B2DAB40-5AE0-4DA8-AEF6-A5845C011B83}"/>
    <cellStyle name="Normal 2 4 5 2 2 3 2 2 3" xfId="32585" xr:uid="{BAFB885D-6039-4270-8651-C64C2E0919C3}"/>
    <cellStyle name="Normal 2 4 5 2 2 3 2 2 4" xfId="15698" xr:uid="{D02C52FD-0A3C-43D2-A734-6AE37323F8EE}"/>
    <cellStyle name="Normal 2 4 5 2 2 3 2 3" xfId="19921" xr:uid="{BB68E641-0D46-4200-A2D0-4D82B7E28E13}"/>
    <cellStyle name="Normal 2 4 5 2 2 3 2 4" xfId="28368" xr:uid="{689B5057-630F-46AC-B43F-BE78FADFF349}"/>
    <cellStyle name="Normal 2 4 5 2 2 3 2 5" xfId="11480" xr:uid="{C00909EA-A833-4DCF-88E4-AD2EA0540A50}"/>
    <cellStyle name="Normal 2 4 5 2 2 3 3" xfId="5111" xr:uid="{00000000-0005-0000-0000-00004F100000}"/>
    <cellStyle name="Normal 2 4 5 2 2 3 3 2" xfId="21994" xr:uid="{D0416DF0-B394-47C0-A96D-2013C99CE6B2}"/>
    <cellStyle name="Normal 2 4 5 2 2 3 3 3" xfId="30440" xr:uid="{E49898E1-2498-4956-AE37-DA459690958B}"/>
    <cellStyle name="Normal 2 4 5 2 2 3 3 4" xfId="13553" xr:uid="{DC73ACA5-38D3-40D5-BFCA-2E113F0C27F4}"/>
    <cellStyle name="Normal 2 4 5 2 2 3 4" xfId="17776" xr:uid="{DF40EB44-A681-478D-A526-7E939F733C3E}"/>
    <cellStyle name="Normal 2 4 5 2 2 3 5" xfId="26221" xr:uid="{4B2C1739-9DB9-41AE-8E24-9D47CE69B031}"/>
    <cellStyle name="Normal 2 4 5 2 2 3 6" xfId="9335" xr:uid="{416388FA-A9F0-488F-BC79-C5AE6BECD8E4}"/>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24552" xr:uid="{9ADCB577-FB4B-495A-9BCA-D3F86AC0C674}"/>
    <cellStyle name="Normal 2 4 5 2 2 4 2 2 3" xfId="32998" xr:uid="{BEA06B4F-F7A2-4802-B75B-2838EE657E9A}"/>
    <cellStyle name="Normal 2 4 5 2 2 4 2 2 4" xfId="16111" xr:uid="{628B3BFA-4C0E-4732-BAD9-B3079BAAB9CF}"/>
    <cellStyle name="Normal 2 4 5 2 2 4 2 3" xfId="20334" xr:uid="{5741ABA9-C6A3-47EE-8829-E8665F257800}"/>
    <cellStyle name="Normal 2 4 5 2 2 4 2 4" xfId="28781" xr:uid="{05441369-4534-49D0-9A9E-B6476A131F06}"/>
    <cellStyle name="Normal 2 4 5 2 2 4 2 5" xfId="11893" xr:uid="{3755D559-5D7C-4467-BE4F-3F433EBB8523}"/>
    <cellStyle name="Normal 2 4 5 2 2 4 3" xfId="5524" xr:uid="{00000000-0005-0000-0000-000053100000}"/>
    <cellStyle name="Normal 2 4 5 2 2 4 3 2" xfId="22407" xr:uid="{F49DA0B3-68B4-4326-884B-BB85541455ED}"/>
    <cellStyle name="Normal 2 4 5 2 2 4 3 3" xfId="30853" xr:uid="{8D08E7A2-2132-4A1A-A4AC-84C75DEB7892}"/>
    <cellStyle name="Normal 2 4 5 2 2 4 3 4" xfId="13966" xr:uid="{F3962DDE-8204-4FB2-970A-A269094BBD81}"/>
    <cellStyle name="Normal 2 4 5 2 2 4 4" xfId="18189" xr:uid="{642549CA-621A-4485-A2C7-F9A2ABA0AC16}"/>
    <cellStyle name="Normal 2 4 5 2 2 4 5" xfId="26634" xr:uid="{DBB63AB0-5F6E-46E8-88F8-AEAE1F04E5A9}"/>
    <cellStyle name="Normal 2 4 5 2 2 4 6" xfId="9748" xr:uid="{79FA3BB9-B155-4DF3-BB57-026C0865B2C6}"/>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24965" xr:uid="{A7C40884-A85E-47A0-AA46-EEA6805FAEBA}"/>
    <cellStyle name="Normal 2 4 5 2 2 5 2 2 3" xfId="33411" xr:uid="{E5650919-4CE6-48D2-BF72-74291DEF4C43}"/>
    <cellStyle name="Normal 2 4 5 2 2 5 2 2 4" xfId="16524" xr:uid="{29CE36A1-DCF3-4C54-8488-86A09679AC95}"/>
    <cellStyle name="Normal 2 4 5 2 2 5 2 3" xfId="20747" xr:uid="{D24E8391-DCEE-4FDB-935D-A3438423E86C}"/>
    <cellStyle name="Normal 2 4 5 2 2 5 2 4" xfId="29194" xr:uid="{1F56D261-B1DC-4C4C-952B-06229DF762FD}"/>
    <cellStyle name="Normal 2 4 5 2 2 5 2 5" xfId="12306" xr:uid="{2D3E5467-E1B2-4519-8698-F8B0AC0B24A2}"/>
    <cellStyle name="Normal 2 4 5 2 2 5 3" xfId="5937" xr:uid="{00000000-0005-0000-0000-000057100000}"/>
    <cellStyle name="Normal 2 4 5 2 2 5 3 2" xfId="22820" xr:uid="{A5D3031A-CF07-474E-92B1-0018956C0533}"/>
    <cellStyle name="Normal 2 4 5 2 2 5 3 3" xfId="31266" xr:uid="{FFA896F7-6C64-4D02-84F3-C5FB4D194467}"/>
    <cellStyle name="Normal 2 4 5 2 2 5 3 4" xfId="14379" xr:uid="{7B3BC53B-9C5E-46F1-8875-8AD5F1BB6CF9}"/>
    <cellStyle name="Normal 2 4 5 2 2 5 4" xfId="18602" xr:uid="{27660209-6FE5-4CF3-B32A-A87549BB5512}"/>
    <cellStyle name="Normal 2 4 5 2 2 5 5" xfId="27047" xr:uid="{B06FE0DF-17C8-443B-AB74-2077B7CCBEC4}"/>
    <cellStyle name="Normal 2 4 5 2 2 5 6" xfId="10161" xr:uid="{19D0925D-D997-4629-90C4-26AAE329BCA2}"/>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25378" xr:uid="{D0565C2A-12F1-4333-9179-4A28442D63BB}"/>
    <cellStyle name="Normal 2 4 5 2 2 6 2 2 3" xfId="33824" xr:uid="{576484C1-E649-4452-872C-5EDDA84D4F99}"/>
    <cellStyle name="Normal 2 4 5 2 2 6 2 2 4" xfId="16937" xr:uid="{ADCDC745-00FA-45CA-B9F0-8CE05126D32C}"/>
    <cellStyle name="Normal 2 4 5 2 2 6 2 3" xfId="21160" xr:uid="{9417D108-B6AA-4CA0-AE81-7137FB897EE7}"/>
    <cellStyle name="Normal 2 4 5 2 2 6 2 4" xfId="29607" xr:uid="{AFC8D414-30A6-484D-BB2E-A6DBDB949349}"/>
    <cellStyle name="Normal 2 4 5 2 2 6 2 5" xfId="12719" xr:uid="{B72206F5-D7F9-492F-B780-C735E12C12A1}"/>
    <cellStyle name="Normal 2 4 5 2 2 6 3" xfId="6350" xr:uid="{00000000-0005-0000-0000-00005B100000}"/>
    <cellStyle name="Normal 2 4 5 2 2 6 3 2" xfId="23233" xr:uid="{F69A668C-402E-4948-B941-661CC0915D93}"/>
    <cellStyle name="Normal 2 4 5 2 2 6 3 3" xfId="31679" xr:uid="{627BC571-BA21-4D51-855C-1EE3719CA037}"/>
    <cellStyle name="Normal 2 4 5 2 2 6 3 4" xfId="14792" xr:uid="{E30243F2-63C0-4E95-A5D4-E704933B9A9F}"/>
    <cellStyle name="Normal 2 4 5 2 2 6 4" xfId="19015" xr:uid="{218152B3-6A43-4650-A5B1-CA03B4CBB8B4}"/>
    <cellStyle name="Normal 2 4 5 2 2 6 5" xfId="27460" xr:uid="{3A6F789E-42A1-430F-AEE6-CCC04C8479D3}"/>
    <cellStyle name="Normal 2 4 5 2 2 6 6" xfId="10574" xr:uid="{1D0403DE-C270-400C-826B-B4C7DF280C23}"/>
    <cellStyle name="Normal 2 4 5 2 2 7" xfId="2479" xr:uid="{00000000-0005-0000-0000-00005C100000}"/>
    <cellStyle name="Normal 2 4 5 2 2 7 2" xfId="6763" xr:uid="{00000000-0005-0000-0000-00005D100000}"/>
    <cellStyle name="Normal 2 4 5 2 2 7 2 2" xfId="23646" xr:uid="{AB599EF9-419D-41B5-A43A-E745E56C0904}"/>
    <cellStyle name="Normal 2 4 5 2 2 7 2 3" xfId="32092" xr:uid="{51195C6B-3B49-4073-BF92-084BC58DEAFC}"/>
    <cellStyle name="Normal 2 4 5 2 2 7 2 4" xfId="15205" xr:uid="{4AA93AF2-E79A-456D-AF47-1F31316A22AF}"/>
    <cellStyle name="Normal 2 4 5 2 2 7 3" xfId="19428" xr:uid="{9C7B2B16-AB85-48CC-A0F9-2C925522578F}"/>
    <cellStyle name="Normal 2 4 5 2 2 7 4" xfId="27873" xr:uid="{118CA1C3-1568-4A63-9BAD-99A3F1B00194}"/>
    <cellStyle name="Normal 2 4 5 2 2 7 5" xfId="10987" xr:uid="{24703542-4CA2-4BD9-97BD-6CB7C52DE5A6}"/>
    <cellStyle name="Normal 2 4 5 2 2 8" xfId="4697" xr:uid="{00000000-0005-0000-0000-00005E100000}"/>
    <cellStyle name="Normal 2 4 5 2 2 8 2" xfId="21580" xr:uid="{D70EB93E-DD8C-4723-AEB7-893408D373FB}"/>
    <cellStyle name="Normal 2 4 5 2 2 8 3" xfId="30026" xr:uid="{79714240-6712-4485-809B-9F5E855EDD28}"/>
    <cellStyle name="Normal 2 4 5 2 2 8 4" xfId="13139" xr:uid="{53E1E749-D110-4E17-AB2C-848D8842498B}"/>
    <cellStyle name="Normal 2 4 5 2 2 9" xfId="17362" xr:uid="{DB9B984B-1834-42B8-A5BE-6E172FA72C99}"/>
    <cellStyle name="Normal 2 4 5 2 3" xfId="307" xr:uid="{00000000-0005-0000-0000-00005F100000}"/>
    <cellStyle name="Normal 2 4 5 2 3 10" xfId="8923" xr:uid="{121A77D8-9D07-4632-91E2-1F1FD053D4CE}"/>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24141" xr:uid="{0E4F23BF-E02D-4020-B74C-75A28934C131}"/>
    <cellStyle name="Normal 2 4 5 2 3 2 2 2 3" xfId="32587" xr:uid="{44DB279A-A998-4120-9497-768EB1B870FA}"/>
    <cellStyle name="Normal 2 4 5 2 3 2 2 2 4" xfId="15700" xr:uid="{DF3EB86B-CBEA-4D32-A025-79D6408469B2}"/>
    <cellStyle name="Normal 2 4 5 2 3 2 2 3" xfId="19923" xr:uid="{06E2F4C0-B574-40FF-AFCE-D35CC96C8601}"/>
    <cellStyle name="Normal 2 4 5 2 3 2 2 4" xfId="28370" xr:uid="{17A10D6D-3E48-433D-88A2-E9351F1CACE8}"/>
    <cellStyle name="Normal 2 4 5 2 3 2 2 5" xfId="11482" xr:uid="{E74437D5-6D8A-46DB-971B-806438D5BA38}"/>
    <cellStyle name="Normal 2 4 5 2 3 2 3" xfId="5113" xr:uid="{00000000-0005-0000-0000-000063100000}"/>
    <cellStyle name="Normal 2 4 5 2 3 2 3 2" xfId="21996" xr:uid="{A0989FCD-A047-48BA-8CC2-493BCBA068DE}"/>
    <cellStyle name="Normal 2 4 5 2 3 2 3 3" xfId="30442" xr:uid="{7AE6814B-CDC8-479F-B3A4-9073CD1B3E98}"/>
    <cellStyle name="Normal 2 4 5 2 3 2 3 4" xfId="13555" xr:uid="{4E2346CB-C8F4-47CF-ACE0-425DADF72F62}"/>
    <cellStyle name="Normal 2 4 5 2 3 2 4" xfId="17778" xr:uid="{DEB2CE11-9B6F-41DA-AF14-E5105958AAC9}"/>
    <cellStyle name="Normal 2 4 5 2 3 2 5" xfId="26223" xr:uid="{FF79C63E-1AD6-4E4F-A269-9E349B12D1D4}"/>
    <cellStyle name="Normal 2 4 5 2 3 2 6" xfId="9337" xr:uid="{95F83E63-0B20-4951-B05A-C3177B6B32EB}"/>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24554" xr:uid="{444DDF37-9383-447B-B05F-A10C145AE585}"/>
    <cellStyle name="Normal 2 4 5 2 3 3 2 2 3" xfId="33000" xr:uid="{F8A11237-1AD5-48B5-9A84-F827D6C9D297}"/>
    <cellStyle name="Normal 2 4 5 2 3 3 2 2 4" xfId="16113" xr:uid="{C81F5DEE-A4A5-4A8F-B44A-51EABCC0E4C8}"/>
    <cellStyle name="Normal 2 4 5 2 3 3 2 3" xfId="20336" xr:uid="{9126FAED-B63C-4D02-BE45-DAD4041B75B2}"/>
    <cellStyle name="Normal 2 4 5 2 3 3 2 4" xfId="28783" xr:uid="{108EDB22-833F-4691-A6D3-37705F841C6A}"/>
    <cellStyle name="Normal 2 4 5 2 3 3 2 5" xfId="11895" xr:uid="{CCE8F76A-1257-4FF1-A788-1BCED6FBE519}"/>
    <cellStyle name="Normal 2 4 5 2 3 3 3" xfId="5526" xr:uid="{00000000-0005-0000-0000-000067100000}"/>
    <cellStyle name="Normal 2 4 5 2 3 3 3 2" xfId="22409" xr:uid="{F2909918-2494-4FFA-8DD2-9C6629DE5A10}"/>
    <cellStyle name="Normal 2 4 5 2 3 3 3 3" xfId="30855" xr:uid="{CE416458-B069-4763-A6E5-C89BA6E18860}"/>
    <cellStyle name="Normal 2 4 5 2 3 3 3 4" xfId="13968" xr:uid="{E94A9B0B-A53F-43BA-B209-B22D7DDCB022}"/>
    <cellStyle name="Normal 2 4 5 2 3 3 4" xfId="18191" xr:uid="{2D60143C-8BD0-4B6A-8419-BF512D93E1F5}"/>
    <cellStyle name="Normal 2 4 5 2 3 3 5" xfId="26636" xr:uid="{26B8A995-3450-4545-98F4-2856B88B5A91}"/>
    <cellStyle name="Normal 2 4 5 2 3 3 6" xfId="9750" xr:uid="{57567864-9DDD-47F7-8583-1C9F34DE4A49}"/>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24967" xr:uid="{8DF2A06F-2EA6-414D-9AF4-0DEA339B456D}"/>
    <cellStyle name="Normal 2 4 5 2 3 4 2 2 3" xfId="33413" xr:uid="{1D267176-403B-45DA-977C-7C367B59233E}"/>
    <cellStyle name="Normal 2 4 5 2 3 4 2 2 4" xfId="16526" xr:uid="{8141FFC7-C8A2-41CB-AAD3-BA71348788CB}"/>
    <cellStyle name="Normal 2 4 5 2 3 4 2 3" xfId="20749" xr:uid="{55A555E1-8CA6-42C0-8EB4-606EBD7F10EA}"/>
    <cellStyle name="Normal 2 4 5 2 3 4 2 4" xfId="29196" xr:uid="{1DEA9EC7-18EC-4822-9D5E-0065F03EB971}"/>
    <cellStyle name="Normal 2 4 5 2 3 4 2 5" xfId="12308" xr:uid="{631E1058-B2AD-47EE-8F07-255A7FFE03B0}"/>
    <cellStyle name="Normal 2 4 5 2 3 4 3" xfId="5939" xr:uid="{00000000-0005-0000-0000-00006B100000}"/>
    <cellStyle name="Normal 2 4 5 2 3 4 3 2" xfId="22822" xr:uid="{79F24F1E-20A7-4B8A-960A-8FDDC2BBDAC6}"/>
    <cellStyle name="Normal 2 4 5 2 3 4 3 3" xfId="31268" xr:uid="{46B19616-DF43-4F4F-8F79-1DF1E48DD9CC}"/>
    <cellStyle name="Normal 2 4 5 2 3 4 3 4" xfId="14381" xr:uid="{2196570E-27AF-4EA0-B7FE-0C2D8F0A0A4C}"/>
    <cellStyle name="Normal 2 4 5 2 3 4 4" xfId="18604" xr:uid="{843139EF-A776-4BB1-AD71-7737478AE831}"/>
    <cellStyle name="Normal 2 4 5 2 3 4 5" xfId="27049" xr:uid="{7B5B1CD8-3F48-406A-84D9-B6B7DD9D1A1A}"/>
    <cellStyle name="Normal 2 4 5 2 3 4 6" xfId="10163" xr:uid="{E214A50E-25A7-4878-99FF-F8AA8CB98461}"/>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25380" xr:uid="{B31CE3F3-68C7-440E-B767-6C81DE192159}"/>
    <cellStyle name="Normal 2 4 5 2 3 5 2 2 3" xfId="33826" xr:uid="{552B1D4C-8951-47BB-9554-97D362FB1E21}"/>
    <cellStyle name="Normal 2 4 5 2 3 5 2 2 4" xfId="16939" xr:uid="{8C5BD740-F95F-4654-A509-2E79B06CC681}"/>
    <cellStyle name="Normal 2 4 5 2 3 5 2 3" xfId="21162" xr:uid="{5A2E3BB9-EA59-407B-8CBE-4B1AE0CD37A6}"/>
    <cellStyle name="Normal 2 4 5 2 3 5 2 4" xfId="29609" xr:uid="{5AF370C1-E814-4DFB-BB0A-1AA6F8AA88B5}"/>
    <cellStyle name="Normal 2 4 5 2 3 5 2 5" xfId="12721" xr:uid="{3DEF4753-E0AC-4F44-BC43-0C8D831A776C}"/>
    <cellStyle name="Normal 2 4 5 2 3 5 3" xfId="6352" xr:uid="{00000000-0005-0000-0000-00006F100000}"/>
    <cellStyle name="Normal 2 4 5 2 3 5 3 2" xfId="23235" xr:uid="{F63F2F88-DEC9-4384-ADA3-87C4A19E1898}"/>
    <cellStyle name="Normal 2 4 5 2 3 5 3 3" xfId="31681" xr:uid="{709265D0-1CC2-4B43-9CD3-FDFFDE17703B}"/>
    <cellStyle name="Normal 2 4 5 2 3 5 3 4" xfId="14794" xr:uid="{21E9006D-5A61-4F0C-96E3-5997119D5B24}"/>
    <cellStyle name="Normal 2 4 5 2 3 5 4" xfId="19017" xr:uid="{CF983FCC-2626-464A-A998-1F5D19861B1A}"/>
    <cellStyle name="Normal 2 4 5 2 3 5 5" xfId="27462" xr:uid="{9F8DAB90-2D3B-49AD-B170-D82A6B19A018}"/>
    <cellStyle name="Normal 2 4 5 2 3 5 6" xfId="10576" xr:uid="{C9D9E924-1D93-412C-8B71-775605324607}"/>
    <cellStyle name="Normal 2 4 5 2 3 6" xfId="2481" xr:uid="{00000000-0005-0000-0000-000070100000}"/>
    <cellStyle name="Normal 2 4 5 2 3 6 2" xfId="6765" xr:uid="{00000000-0005-0000-0000-000071100000}"/>
    <cellStyle name="Normal 2 4 5 2 3 6 2 2" xfId="23648" xr:uid="{5024E83E-7BA0-4831-A904-A2BC5B026C4F}"/>
    <cellStyle name="Normal 2 4 5 2 3 6 2 3" xfId="32094" xr:uid="{82FE5A26-EAC0-4A44-9A67-04E7D23DAC69}"/>
    <cellStyle name="Normal 2 4 5 2 3 6 2 4" xfId="15207" xr:uid="{3CAE7E83-A3D2-415F-A0D2-926EF5EBD4B7}"/>
    <cellStyle name="Normal 2 4 5 2 3 6 3" xfId="19430" xr:uid="{47CEBD6C-A2F8-411B-BD0B-29164E5BFAB9}"/>
    <cellStyle name="Normal 2 4 5 2 3 6 4" xfId="27875" xr:uid="{12EE411A-0A60-468B-8A3E-B0C051A726FF}"/>
    <cellStyle name="Normal 2 4 5 2 3 6 5" xfId="10989" xr:uid="{90AD9E95-DE4E-41AE-B540-B0D654E6F0ED}"/>
    <cellStyle name="Normal 2 4 5 2 3 7" xfId="4699" xr:uid="{00000000-0005-0000-0000-000072100000}"/>
    <cellStyle name="Normal 2 4 5 2 3 7 2" xfId="21582" xr:uid="{61C20CC1-3598-4E48-9824-3EFE2F49CC08}"/>
    <cellStyle name="Normal 2 4 5 2 3 7 3" xfId="30028" xr:uid="{932CA2B2-D612-4011-BAFD-A9DD0BF3C707}"/>
    <cellStyle name="Normal 2 4 5 2 3 7 4" xfId="13141" xr:uid="{D5387E6C-44A3-45EC-A52A-CC8A8F0D8B49}"/>
    <cellStyle name="Normal 2 4 5 2 3 8" xfId="17364" xr:uid="{CF936F2E-7E07-4D41-841F-F43611DDC821}"/>
    <cellStyle name="Normal 2 4 5 2 3 9" xfId="25808" xr:uid="{A8846C9B-F82D-40DE-80E9-638F92AC6E67}"/>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24138" xr:uid="{8B130BB7-9705-416B-B9BB-652555A97178}"/>
    <cellStyle name="Normal 2 4 5 2 4 2 2 3" xfId="32584" xr:uid="{CDD15F7E-86B9-448E-80A7-4578F5B238DE}"/>
    <cellStyle name="Normal 2 4 5 2 4 2 2 4" xfId="15697" xr:uid="{3E5C2431-FB3B-4AD9-88F0-C2FEE770F731}"/>
    <cellStyle name="Normal 2 4 5 2 4 2 3" xfId="19920" xr:uid="{56E272F3-5546-4950-A0F9-62CAC6270A2F}"/>
    <cellStyle name="Normal 2 4 5 2 4 2 4" xfId="28367" xr:uid="{78CA5946-16E0-44B1-8D7D-F9B4507409FB}"/>
    <cellStyle name="Normal 2 4 5 2 4 2 5" xfId="11479" xr:uid="{A5BFADB1-5A9E-4F7D-86F3-A64B7755F88B}"/>
    <cellStyle name="Normal 2 4 5 2 4 3" xfId="5110" xr:uid="{00000000-0005-0000-0000-000076100000}"/>
    <cellStyle name="Normal 2 4 5 2 4 3 2" xfId="21993" xr:uid="{7A651776-65B7-4C59-94D1-7AD1DF9371E7}"/>
    <cellStyle name="Normal 2 4 5 2 4 3 3" xfId="30439" xr:uid="{7C180687-D0C8-410B-B79D-BF46BE93D48D}"/>
    <cellStyle name="Normal 2 4 5 2 4 3 4" xfId="13552" xr:uid="{F3119C15-9657-4D31-B795-4889DE285203}"/>
    <cellStyle name="Normal 2 4 5 2 4 4" xfId="17775" xr:uid="{ED66F1BB-D47B-4479-8401-4DE64B4C0266}"/>
    <cellStyle name="Normal 2 4 5 2 4 5" xfId="26220" xr:uid="{1BA0079A-FEB0-4007-911A-186E70140803}"/>
    <cellStyle name="Normal 2 4 5 2 4 6" xfId="9334" xr:uid="{0AA050CA-D761-4758-82E5-21887346C119}"/>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24551" xr:uid="{91269962-E3AA-48EA-9A9C-93A448C855FD}"/>
    <cellStyle name="Normal 2 4 5 2 5 2 2 3" xfId="32997" xr:uid="{3B814843-042E-4146-8366-45751D1815CA}"/>
    <cellStyle name="Normal 2 4 5 2 5 2 2 4" xfId="16110" xr:uid="{37CA1745-D69F-4B66-9A51-800CE3054646}"/>
    <cellStyle name="Normal 2 4 5 2 5 2 3" xfId="20333" xr:uid="{22ECAC89-752A-4D55-AD68-657C6F28FC86}"/>
    <cellStyle name="Normal 2 4 5 2 5 2 4" xfId="28780" xr:uid="{861761F8-581C-4208-8C1B-88A5EE5716AA}"/>
    <cellStyle name="Normal 2 4 5 2 5 2 5" xfId="11892" xr:uid="{10BBF2A9-D0A5-4F1A-AE72-3070E741ED56}"/>
    <cellStyle name="Normal 2 4 5 2 5 3" xfId="5523" xr:uid="{00000000-0005-0000-0000-00007A100000}"/>
    <cellStyle name="Normal 2 4 5 2 5 3 2" xfId="22406" xr:uid="{4A0567AB-9B23-433F-871B-37D8C1691885}"/>
    <cellStyle name="Normal 2 4 5 2 5 3 3" xfId="30852" xr:uid="{67568E90-AB47-4B00-AD75-29682739A24D}"/>
    <cellStyle name="Normal 2 4 5 2 5 3 4" xfId="13965" xr:uid="{3378C06B-8536-461E-8E21-661ADD62CED9}"/>
    <cellStyle name="Normal 2 4 5 2 5 4" xfId="18188" xr:uid="{B68B17E1-1F88-4997-8D03-3FC962BED629}"/>
    <cellStyle name="Normal 2 4 5 2 5 5" xfId="26633" xr:uid="{5533A0FD-BFEC-4482-96B8-BE365F891C93}"/>
    <cellStyle name="Normal 2 4 5 2 5 6" xfId="9747" xr:uid="{851C362F-789C-457D-8A41-DA007AACA4CE}"/>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24964" xr:uid="{4508DD0A-743B-47B7-8B27-403EA1B012EE}"/>
    <cellStyle name="Normal 2 4 5 2 6 2 2 3" xfId="33410" xr:uid="{CFC43626-6D68-4B09-BC32-D180C31AAA7A}"/>
    <cellStyle name="Normal 2 4 5 2 6 2 2 4" xfId="16523" xr:uid="{45CB4B5F-BF22-4E93-A280-0A28167F2CBD}"/>
    <cellStyle name="Normal 2 4 5 2 6 2 3" xfId="20746" xr:uid="{FF257AA4-74E8-4B34-84D1-B61DA5B6188C}"/>
    <cellStyle name="Normal 2 4 5 2 6 2 4" xfId="29193" xr:uid="{22D674C6-8C8E-4392-A6BC-B0DBDFF99589}"/>
    <cellStyle name="Normal 2 4 5 2 6 2 5" xfId="12305" xr:uid="{99D0B48F-A233-4118-BFB0-66D6B8E71426}"/>
    <cellStyle name="Normal 2 4 5 2 6 3" xfId="5936" xr:uid="{00000000-0005-0000-0000-00007E100000}"/>
    <cellStyle name="Normal 2 4 5 2 6 3 2" xfId="22819" xr:uid="{772543E3-ED56-4133-95B4-F98FE9F5849C}"/>
    <cellStyle name="Normal 2 4 5 2 6 3 3" xfId="31265" xr:uid="{B930A5BE-4DCD-4602-95A8-43E21692D830}"/>
    <cellStyle name="Normal 2 4 5 2 6 3 4" xfId="14378" xr:uid="{F199FD8F-A589-4B5B-AF1A-531D084ADF7B}"/>
    <cellStyle name="Normal 2 4 5 2 6 4" xfId="18601" xr:uid="{61959529-5D7A-4D72-9126-5F41307FE956}"/>
    <cellStyle name="Normal 2 4 5 2 6 5" xfId="27046" xr:uid="{A2F54825-45A1-44E7-AFE4-90992839456C}"/>
    <cellStyle name="Normal 2 4 5 2 6 6" xfId="10160" xr:uid="{8459AC7F-A4FF-4FAB-B1D9-F886FCB0F2F6}"/>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25377" xr:uid="{F08E52ED-8BDF-40CE-8F71-B3B09173F561}"/>
    <cellStyle name="Normal 2 4 5 2 7 2 2 3" xfId="33823" xr:uid="{53E51FD7-0755-4B40-87C7-97B5F9B6252D}"/>
    <cellStyle name="Normal 2 4 5 2 7 2 2 4" xfId="16936" xr:uid="{386097D0-7A83-4F74-9518-40514D12460E}"/>
    <cellStyle name="Normal 2 4 5 2 7 2 3" xfId="21159" xr:uid="{531E3F6E-948D-44CF-B939-2D2C3CD6D072}"/>
    <cellStyle name="Normal 2 4 5 2 7 2 4" xfId="29606" xr:uid="{88E172FB-98A4-4508-AA76-66B3BD83CFB9}"/>
    <cellStyle name="Normal 2 4 5 2 7 2 5" xfId="12718" xr:uid="{7E08AF2C-A161-4FED-8DEE-8389EC2A2182}"/>
    <cellStyle name="Normal 2 4 5 2 7 3" xfId="6349" xr:uid="{00000000-0005-0000-0000-000082100000}"/>
    <cellStyle name="Normal 2 4 5 2 7 3 2" xfId="23232" xr:uid="{BF8138AD-9744-4FD3-8C52-08DAD2BABFA6}"/>
    <cellStyle name="Normal 2 4 5 2 7 3 3" xfId="31678" xr:uid="{097D6DAF-0A7D-4E03-A2F2-2AC369339136}"/>
    <cellStyle name="Normal 2 4 5 2 7 3 4" xfId="14791" xr:uid="{E8BAE0B4-F79A-4B00-B951-13E046F7F7A7}"/>
    <cellStyle name="Normal 2 4 5 2 7 4" xfId="19014" xr:uid="{AE169344-B040-4978-8F07-FDE86EFF8893}"/>
    <cellStyle name="Normal 2 4 5 2 7 5" xfId="27459" xr:uid="{5D91D52F-C138-4B05-A7D6-F6067F171C6B}"/>
    <cellStyle name="Normal 2 4 5 2 7 6" xfId="10573" xr:uid="{5A501395-5E46-4875-A848-BAEBF0A959DC}"/>
    <cellStyle name="Normal 2 4 5 2 8" xfId="2478" xr:uid="{00000000-0005-0000-0000-000083100000}"/>
    <cellStyle name="Normal 2 4 5 2 8 2" xfId="6762" xr:uid="{00000000-0005-0000-0000-000084100000}"/>
    <cellStyle name="Normal 2 4 5 2 8 2 2" xfId="23645" xr:uid="{CC1A34FC-101E-4F12-96A8-6198E489E37D}"/>
    <cellStyle name="Normal 2 4 5 2 8 2 3" xfId="32091" xr:uid="{8E0CE136-2961-4E52-ABC3-65A2EF45C116}"/>
    <cellStyle name="Normal 2 4 5 2 8 2 4" xfId="15204" xr:uid="{9C850E0F-1391-4F49-AD90-482A1DA735FC}"/>
    <cellStyle name="Normal 2 4 5 2 8 3" xfId="19427" xr:uid="{45A3FC02-C2FB-453B-9B3E-5B31F6F3FDE0}"/>
    <cellStyle name="Normal 2 4 5 2 8 4" xfId="27872" xr:uid="{2E362E0F-0DED-46BE-BD6D-E52D047CADE4}"/>
    <cellStyle name="Normal 2 4 5 2 8 5" xfId="10986" xr:uid="{D6D3D899-E6E4-4D84-87BA-A2789A8B69D1}"/>
    <cellStyle name="Normal 2 4 5 2 9" xfId="4696" xr:uid="{00000000-0005-0000-0000-000085100000}"/>
    <cellStyle name="Normal 2 4 5 2 9 2" xfId="21579" xr:uid="{17A2877A-FFA2-4C08-86C5-DB2A1DA4CB81}"/>
    <cellStyle name="Normal 2 4 5 2 9 3" xfId="30025" xr:uid="{8C0430F9-6F57-4AAE-A6B8-39814AEA68C1}"/>
    <cellStyle name="Normal 2 4 5 2 9 4" xfId="13138" xr:uid="{B4BC738A-145E-4BDE-AA98-8FD8388F41E6}"/>
    <cellStyle name="Normal 2 4 5 3" xfId="308" xr:uid="{00000000-0005-0000-0000-000086100000}"/>
    <cellStyle name="Normal 2 4 5 3 10" xfId="25809" xr:uid="{387E3576-B92C-471F-BDF6-BB233D01CC92}"/>
    <cellStyle name="Normal 2 4 5 3 11" xfId="8924" xr:uid="{4510FBDB-22CF-4B20-AA67-99E669A5D6EB}"/>
    <cellStyle name="Normal 2 4 5 3 2" xfId="309" xr:uid="{00000000-0005-0000-0000-000087100000}"/>
    <cellStyle name="Normal 2 4 5 3 2 10" xfId="8925" xr:uid="{CE5A3400-5E7A-4368-92F5-22EDEE18BB48}"/>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24143" xr:uid="{89F86312-8E99-4A8F-A50A-282C24BEBCC7}"/>
    <cellStyle name="Normal 2 4 5 3 2 2 2 2 3" xfId="32589" xr:uid="{90E12EDF-62F6-4190-B4DE-2558A63D8E86}"/>
    <cellStyle name="Normal 2 4 5 3 2 2 2 2 4" xfId="15702" xr:uid="{C6B49BE9-1D02-4723-92B7-E9C67DC1F8FE}"/>
    <cellStyle name="Normal 2 4 5 3 2 2 2 3" xfId="19925" xr:uid="{BF582288-3379-43BA-B2EA-B089A2CBE26B}"/>
    <cellStyle name="Normal 2 4 5 3 2 2 2 4" xfId="28372" xr:uid="{AE60C37C-673D-4414-B760-42FBE1AA9B51}"/>
    <cellStyle name="Normal 2 4 5 3 2 2 2 5" xfId="11484" xr:uid="{35580EFB-ABBB-4375-84EB-39B5BE1BB418}"/>
    <cellStyle name="Normal 2 4 5 3 2 2 3" xfId="5115" xr:uid="{00000000-0005-0000-0000-00008B100000}"/>
    <cellStyle name="Normal 2 4 5 3 2 2 3 2" xfId="21998" xr:uid="{9228E3D6-771E-4BFD-994D-C5A87AD3EA0F}"/>
    <cellStyle name="Normal 2 4 5 3 2 2 3 3" xfId="30444" xr:uid="{77084D6B-2E9A-4665-B00B-07D474487B37}"/>
    <cellStyle name="Normal 2 4 5 3 2 2 3 4" xfId="13557" xr:uid="{B94E38C7-7FD5-4A67-A056-718DF2B9EBC2}"/>
    <cellStyle name="Normal 2 4 5 3 2 2 4" xfId="17780" xr:uid="{2178FDD1-5624-44A0-927D-E319B32A473E}"/>
    <cellStyle name="Normal 2 4 5 3 2 2 5" xfId="26225" xr:uid="{4B571BB6-0698-4F4C-9239-7BDABB790624}"/>
    <cellStyle name="Normal 2 4 5 3 2 2 6" xfId="9339" xr:uid="{286044A7-7CD7-4792-A052-78ED4F8C2DD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24556" xr:uid="{0B8AEC0A-4E87-4F4A-920D-0D23DE692F7D}"/>
    <cellStyle name="Normal 2 4 5 3 2 3 2 2 3" xfId="33002" xr:uid="{6AFDACE8-8C68-4A32-A270-B12CD58B95C1}"/>
    <cellStyle name="Normal 2 4 5 3 2 3 2 2 4" xfId="16115" xr:uid="{FD879DDC-557A-47AA-B215-FFD09DC95AD8}"/>
    <cellStyle name="Normal 2 4 5 3 2 3 2 3" xfId="20338" xr:uid="{F55FA5F6-D1C3-4232-B6A4-575B75337F56}"/>
    <cellStyle name="Normal 2 4 5 3 2 3 2 4" xfId="28785" xr:uid="{736DAE75-4BB8-4DBF-A524-524E5946189A}"/>
    <cellStyle name="Normal 2 4 5 3 2 3 2 5" xfId="11897" xr:uid="{FF7D7EBB-11AE-4B87-9170-0E78D9A5A66E}"/>
    <cellStyle name="Normal 2 4 5 3 2 3 3" xfId="5528" xr:uid="{00000000-0005-0000-0000-00008F100000}"/>
    <cellStyle name="Normal 2 4 5 3 2 3 3 2" xfId="22411" xr:uid="{E9A7D68C-7DE6-413D-9D5D-3D5E6FC03226}"/>
    <cellStyle name="Normal 2 4 5 3 2 3 3 3" xfId="30857" xr:uid="{65B23AC4-1D56-414E-B92D-65CC7F11E93B}"/>
    <cellStyle name="Normal 2 4 5 3 2 3 3 4" xfId="13970" xr:uid="{ED23373C-1704-4F13-964E-BDBE5F784349}"/>
    <cellStyle name="Normal 2 4 5 3 2 3 4" xfId="18193" xr:uid="{A04A9B76-F93C-4362-BC1C-0C0023CA4A58}"/>
    <cellStyle name="Normal 2 4 5 3 2 3 5" xfId="26638" xr:uid="{0787D25C-1A76-4BE5-B56B-A84F07EC550A}"/>
    <cellStyle name="Normal 2 4 5 3 2 3 6" xfId="9752" xr:uid="{BC8B6BF8-774C-4895-A6C5-D2BA6D68F467}"/>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24969" xr:uid="{9080E068-6E6F-4361-B25F-A315378E8854}"/>
    <cellStyle name="Normal 2 4 5 3 2 4 2 2 3" xfId="33415" xr:uid="{CBA3D89B-A7CC-46B8-90DD-F2E039E6F65F}"/>
    <cellStyle name="Normal 2 4 5 3 2 4 2 2 4" xfId="16528" xr:uid="{5889E168-CB47-4DF0-808D-D361F55B8923}"/>
    <cellStyle name="Normal 2 4 5 3 2 4 2 3" xfId="20751" xr:uid="{05A9B991-FD80-4ECB-8B6A-7A530397EB60}"/>
    <cellStyle name="Normal 2 4 5 3 2 4 2 4" xfId="29198" xr:uid="{502C30D4-B7A5-41DB-B704-9762173AD205}"/>
    <cellStyle name="Normal 2 4 5 3 2 4 2 5" xfId="12310" xr:uid="{A5E9C1F3-FDEA-4430-94EE-B7AC805B422A}"/>
    <cellStyle name="Normal 2 4 5 3 2 4 3" xfId="5941" xr:uid="{00000000-0005-0000-0000-000093100000}"/>
    <cellStyle name="Normal 2 4 5 3 2 4 3 2" xfId="22824" xr:uid="{7951C2E3-E4B4-45AE-AB11-79ED562B8415}"/>
    <cellStyle name="Normal 2 4 5 3 2 4 3 3" xfId="31270" xr:uid="{E891E8D4-3DD1-43DE-AF7C-DAEBED5C6387}"/>
    <cellStyle name="Normal 2 4 5 3 2 4 3 4" xfId="14383" xr:uid="{C3ACD3E6-B7BE-406E-B541-EC228268F652}"/>
    <cellStyle name="Normal 2 4 5 3 2 4 4" xfId="18606" xr:uid="{7689D20E-F9C7-49BB-B266-A9151D3D9FFC}"/>
    <cellStyle name="Normal 2 4 5 3 2 4 5" xfId="27051" xr:uid="{81895C28-B399-4CD9-8C8D-9A8F70009BA8}"/>
    <cellStyle name="Normal 2 4 5 3 2 4 6" xfId="10165" xr:uid="{81ADD0C6-EDC8-454D-9D7E-B1CDA046FCA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25382" xr:uid="{54ADE8E8-DF0D-4B4B-9976-A2B823EC3386}"/>
    <cellStyle name="Normal 2 4 5 3 2 5 2 2 3" xfId="33828" xr:uid="{E0BBFD04-82F7-4F93-9528-34443614822D}"/>
    <cellStyle name="Normal 2 4 5 3 2 5 2 2 4" xfId="16941" xr:uid="{F3BE615D-0551-4AD1-B13A-03DB7D9BC363}"/>
    <cellStyle name="Normal 2 4 5 3 2 5 2 3" xfId="21164" xr:uid="{9CC2C356-41AA-46C3-BBDF-30AA414D4812}"/>
    <cellStyle name="Normal 2 4 5 3 2 5 2 4" xfId="29611" xr:uid="{96F9D1AF-A13A-4BAB-ADE3-B98CB26571F3}"/>
    <cellStyle name="Normal 2 4 5 3 2 5 2 5" xfId="12723" xr:uid="{905583CB-3AD9-40A8-A13E-5EE67F35748E}"/>
    <cellStyle name="Normal 2 4 5 3 2 5 3" xfId="6354" xr:uid="{00000000-0005-0000-0000-000097100000}"/>
    <cellStyle name="Normal 2 4 5 3 2 5 3 2" xfId="23237" xr:uid="{7DE1266A-14BC-43E5-9221-4DF55492D088}"/>
    <cellStyle name="Normal 2 4 5 3 2 5 3 3" xfId="31683" xr:uid="{0E0CAC78-D359-4A55-A90B-AB0D1867EBE6}"/>
    <cellStyle name="Normal 2 4 5 3 2 5 3 4" xfId="14796" xr:uid="{AA4206BC-618B-4647-9EFA-46253B9A3A02}"/>
    <cellStyle name="Normal 2 4 5 3 2 5 4" xfId="19019" xr:uid="{39B3004B-B9FE-40BE-B886-A9AE2978DFAA}"/>
    <cellStyle name="Normal 2 4 5 3 2 5 5" xfId="27464" xr:uid="{2096A65F-7B79-47CF-99F3-53D45A42932C}"/>
    <cellStyle name="Normal 2 4 5 3 2 5 6" xfId="10578" xr:uid="{57BABDD6-347F-4E6A-AE58-520E09888844}"/>
    <cellStyle name="Normal 2 4 5 3 2 6" xfId="2483" xr:uid="{00000000-0005-0000-0000-000098100000}"/>
    <cellStyle name="Normal 2 4 5 3 2 6 2" xfId="6767" xr:uid="{00000000-0005-0000-0000-000099100000}"/>
    <cellStyle name="Normal 2 4 5 3 2 6 2 2" xfId="23650" xr:uid="{D33547B7-BE27-4EB6-9F4F-3267AFE53531}"/>
    <cellStyle name="Normal 2 4 5 3 2 6 2 3" xfId="32096" xr:uid="{EB948A08-679F-48AC-894F-0257CC6E0CAA}"/>
    <cellStyle name="Normal 2 4 5 3 2 6 2 4" xfId="15209" xr:uid="{6D7A8033-CAE7-46FA-AD93-9671E9E2EF69}"/>
    <cellStyle name="Normal 2 4 5 3 2 6 3" xfId="19432" xr:uid="{1E70FA0C-C0ED-43FA-81D0-455B3D763FBE}"/>
    <cellStyle name="Normal 2 4 5 3 2 6 4" xfId="27877" xr:uid="{3EA119E8-E6EA-41BC-92C7-95EAAFED3CF4}"/>
    <cellStyle name="Normal 2 4 5 3 2 6 5" xfId="10991" xr:uid="{C515BCFE-8DF5-4A27-8B55-5CBAA43FED79}"/>
    <cellStyle name="Normal 2 4 5 3 2 7" xfId="4701" xr:uid="{00000000-0005-0000-0000-00009A100000}"/>
    <cellStyle name="Normal 2 4 5 3 2 7 2" xfId="21584" xr:uid="{D8598152-1163-4048-8189-E82B76B5ED7C}"/>
    <cellStyle name="Normal 2 4 5 3 2 7 3" xfId="30030" xr:uid="{0976C2EC-BDA8-4EFB-A053-2557E4FE1ED1}"/>
    <cellStyle name="Normal 2 4 5 3 2 7 4" xfId="13143" xr:uid="{1B571E59-9A79-4557-A04D-5E2192169BE2}"/>
    <cellStyle name="Normal 2 4 5 3 2 8" xfId="17366" xr:uid="{5E9BD36D-D817-4041-833B-9DDAB0EDBFEC}"/>
    <cellStyle name="Normal 2 4 5 3 2 9" xfId="25810" xr:uid="{739033B2-0E2D-4842-B6DD-D44C7C1876A0}"/>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24142" xr:uid="{49BF55EB-4CB5-4091-A473-0FABCDE08BDC}"/>
    <cellStyle name="Normal 2 4 5 3 3 2 2 3" xfId="32588" xr:uid="{6608461E-AE83-41EF-9AFC-539E1F8027F7}"/>
    <cellStyle name="Normal 2 4 5 3 3 2 2 4" xfId="15701" xr:uid="{FC5A641D-A521-4A5C-9944-03D17670D42A}"/>
    <cellStyle name="Normal 2 4 5 3 3 2 3" xfId="19924" xr:uid="{6AD62110-CCEE-4BDB-B299-DF7E2DCA71ED}"/>
    <cellStyle name="Normal 2 4 5 3 3 2 4" xfId="28371" xr:uid="{34AEAEF0-238C-4EE1-86EE-99FA701E3C4B}"/>
    <cellStyle name="Normal 2 4 5 3 3 2 5" xfId="11483" xr:uid="{1EFA58AD-FD46-4AAC-A80D-07CB66E5E553}"/>
    <cellStyle name="Normal 2 4 5 3 3 3" xfId="5114" xr:uid="{00000000-0005-0000-0000-00009E100000}"/>
    <cellStyle name="Normal 2 4 5 3 3 3 2" xfId="21997" xr:uid="{3AC1E987-AE80-4836-8085-72A6CD6B3DDC}"/>
    <cellStyle name="Normal 2 4 5 3 3 3 3" xfId="30443" xr:uid="{8F0CBCD1-A1A5-43AF-8F7F-785370F34A90}"/>
    <cellStyle name="Normal 2 4 5 3 3 3 4" xfId="13556" xr:uid="{798092CE-B9B6-4DB8-82D8-B8FACD479898}"/>
    <cellStyle name="Normal 2 4 5 3 3 4" xfId="17779" xr:uid="{F762A7D7-BE0C-4A18-AD29-CAE2FFE2B39A}"/>
    <cellStyle name="Normal 2 4 5 3 3 5" xfId="26224" xr:uid="{8DE7F4C6-7D9D-4A19-8C77-463C005ADA96}"/>
    <cellStyle name="Normal 2 4 5 3 3 6" xfId="9338" xr:uid="{96B05629-89C9-4966-BD0C-A8B80555744F}"/>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24555" xr:uid="{AD33B952-4D9D-4EDC-AF39-303C0A86AF54}"/>
    <cellStyle name="Normal 2 4 5 3 4 2 2 3" xfId="33001" xr:uid="{C2A89B54-A4B0-4D4D-8E5A-9DFEFE44F2C1}"/>
    <cellStyle name="Normal 2 4 5 3 4 2 2 4" xfId="16114" xr:uid="{4DB9945D-736E-43FE-A3DD-5F8E0EAB9F4C}"/>
    <cellStyle name="Normal 2 4 5 3 4 2 3" xfId="20337" xr:uid="{505E72BF-044D-4D14-9965-E3B5E3ABB8C1}"/>
    <cellStyle name="Normal 2 4 5 3 4 2 4" xfId="28784" xr:uid="{2DD0B0DD-4CC4-4FB7-8E99-9DC8057F97B4}"/>
    <cellStyle name="Normal 2 4 5 3 4 2 5" xfId="11896" xr:uid="{49076A7C-60B3-4C98-9B38-BF18C35790E3}"/>
    <cellStyle name="Normal 2 4 5 3 4 3" xfId="5527" xr:uid="{00000000-0005-0000-0000-0000A2100000}"/>
    <cellStyle name="Normal 2 4 5 3 4 3 2" xfId="22410" xr:uid="{7476AEA9-BD01-49E7-8B0F-E619F8E16E3B}"/>
    <cellStyle name="Normal 2 4 5 3 4 3 3" xfId="30856" xr:uid="{50172F3D-72EB-474D-A08E-7FD2D081CE64}"/>
    <cellStyle name="Normal 2 4 5 3 4 3 4" xfId="13969" xr:uid="{1D9809F1-755D-4908-A39E-2A5C1ACBDA26}"/>
    <cellStyle name="Normal 2 4 5 3 4 4" xfId="18192" xr:uid="{BDB376AE-EF90-4E23-9587-581EA7ABBB0A}"/>
    <cellStyle name="Normal 2 4 5 3 4 5" xfId="26637" xr:uid="{46868FCA-88E2-4E9E-BFCE-D9710756D328}"/>
    <cellStyle name="Normal 2 4 5 3 4 6" xfId="9751" xr:uid="{2F7ED35C-050E-47E9-95CB-22FDD18FCC3C}"/>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24968" xr:uid="{C80CAD19-8028-43FF-9AB9-D21B5FB3056A}"/>
    <cellStyle name="Normal 2 4 5 3 5 2 2 3" xfId="33414" xr:uid="{290DD2E8-6A21-47FD-AB5B-DD6D435C0802}"/>
    <cellStyle name="Normal 2 4 5 3 5 2 2 4" xfId="16527" xr:uid="{D99DB80D-69A8-48E8-A634-C0121E6B5231}"/>
    <cellStyle name="Normal 2 4 5 3 5 2 3" xfId="20750" xr:uid="{003002DA-CDFD-49F1-BF86-C33C11B071FB}"/>
    <cellStyle name="Normal 2 4 5 3 5 2 4" xfId="29197" xr:uid="{7776BB19-8015-4015-AC67-1B54270EA32B}"/>
    <cellStyle name="Normal 2 4 5 3 5 2 5" xfId="12309" xr:uid="{A9F8E621-3902-4499-B645-9CCC79CD9203}"/>
    <cellStyle name="Normal 2 4 5 3 5 3" xfId="5940" xr:uid="{00000000-0005-0000-0000-0000A6100000}"/>
    <cellStyle name="Normal 2 4 5 3 5 3 2" xfId="22823" xr:uid="{E59C160A-4692-4D0F-9B75-37D3A3A27240}"/>
    <cellStyle name="Normal 2 4 5 3 5 3 3" xfId="31269" xr:uid="{2B2BBCE4-B93D-47D6-9687-BDC52D08707C}"/>
    <cellStyle name="Normal 2 4 5 3 5 3 4" xfId="14382" xr:uid="{CEEF445A-3776-4941-AD5D-1DC615CA91E7}"/>
    <cellStyle name="Normal 2 4 5 3 5 4" xfId="18605" xr:uid="{89D3A7E0-6824-449E-9E01-063CB525C6A9}"/>
    <cellStyle name="Normal 2 4 5 3 5 5" xfId="27050" xr:uid="{2B42FF10-9571-4A56-A3F6-9BA9CDB01FAD}"/>
    <cellStyle name="Normal 2 4 5 3 5 6" xfId="10164" xr:uid="{B4807496-7E74-4E5C-BB4A-51078FF93E7D}"/>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25381" xr:uid="{6975D7BF-D15F-4A06-8167-A345C7F1752F}"/>
    <cellStyle name="Normal 2 4 5 3 6 2 2 3" xfId="33827" xr:uid="{7A026B38-6ECE-40B1-BC26-EBAFF0571172}"/>
    <cellStyle name="Normal 2 4 5 3 6 2 2 4" xfId="16940" xr:uid="{2BE28584-A89E-4710-B952-152CFD395D50}"/>
    <cellStyle name="Normal 2 4 5 3 6 2 3" xfId="21163" xr:uid="{EE16B4CA-BA4A-4AD3-BC7F-912D7E20471D}"/>
    <cellStyle name="Normal 2 4 5 3 6 2 4" xfId="29610" xr:uid="{69A073BD-6E89-4E50-8B0D-4CB8911BA987}"/>
    <cellStyle name="Normal 2 4 5 3 6 2 5" xfId="12722" xr:uid="{C46B1D61-ED7D-4C1C-A2A5-15999BAE19D6}"/>
    <cellStyle name="Normal 2 4 5 3 6 3" xfId="6353" xr:uid="{00000000-0005-0000-0000-0000AA100000}"/>
    <cellStyle name="Normal 2 4 5 3 6 3 2" xfId="23236" xr:uid="{F4CCADA6-657B-4E7E-9837-29EF57C6C538}"/>
    <cellStyle name="Normal 2 4 5 3 6 3 3" xfId="31682" xr:uid="{C0ECA23E-828C-41A1-B97C-A0634A3E7674}"/>
    <cellStyle name="Normal 2 4 5 3 6 3 4" xfId="14795" xr:uid="{FB658E3B-A7BF-4915-9A85-CCEDF893B1A2}"/>
    <cellStyle name="Normal 2 4 5 3 6 4" xfId="19018" xr:uid="{2EF6404D-EB7A-4CFB-8A98-B7496E5BED6A}"/>
    <cellStyle name="Normal 2 4 5 3 6 5" xfId="27463" xr:uid="{FF1566A3-EB21-41D0-88D8-3428A60920F7}"/>
    <cellStyle name="Normal 2 4 5 3 6 6" xfId="10577" xr:uid="{CA874B63-A0D8-4497-92C7-58183034904C}"/>
    <cellStyle name="Normal 2 4 5 3 7" xfId="2482" xr:uid="{00000000-0005-0000-0000-0000AB100000}"/>
    <cellStyle name="Normal 2 4 5 3 7 2" xfId="6766" xr:uid="{00000000-0005-0000-0000-0000AC100000}"/>
    <cellStyle name="Normal 2 4 5 3 7 2 2" xfId="23649" xr:uid="{522F98F0-613B-4093-94E2-77825022FA3E}"/>
    <cellStyle name="Normal 2 4 5 3 7 2 3" xfId="32095" xr:uid="{9655CB0A-280C-4DE9-B47D-08B3C09FA890}"/>
    <cellStyle name="Normal 2 4 5 3 7 2 4" xfId="15208" xr:uid="{7272322C-73A5-4396-8D6A-2492DED6261B}"/>
    <cellStyle name="Normal 2 4 5 3 7 3" xfId="19431" xr:uid="{4070BFFC-FE03-4A55-9A06-3583FDAEE759}"/>
    <cellStyle name="Normal 2 4 5 3 7 4" xfId="27876" xr:uid="{DA5D2A96-1381-4AAB-87F9-A8537C7362A2}"/>
    <cellStyle name="Normal 2 4 5 3 7 5" xfId="10990" xr:uid="{5F57A72D-B3FB-4709-937E-1AFD9280C294}"/>
    <cellStyle name="Normal 2 4 5 3 8" xfId="4700" xr:uid="{00000000-0005-0000-0000-0000AD100000}"/>
    <cellStyle name="Normal 2 4 5 3 8 2" xfId="21583" xr:uid="{E379C0FB-4D6B-4353-A3F3-EA8C60A4707F}"/>
    <cellStyle name="Normal 2 4 5 3 8 3" xfId="30029" xr:uid="{4CFECD49-37BE-439A-BCD4-CFA75FC86D52}"/>
    <cellStyle name="Normal 2 4 5 3 8 4" xfId="13142" xr:uid="{1EAD41BD-09B7-4866-AF52-57C7DD219194}"/>
    <cellStyle name="Normal 2 4 5 3 9" xfId="17365" xr:uid="{3B18A2CA-DD2E-4A75-81C6-890CDBD23752}"/>
    <cellStyle name="Normal 2 4 5 4" xfId="310" xr:uid="{00000000-0005-0000-0000-0000AE100000}"/>
    <cellStyle name="Normal 2 4 5 4 10" xfId="8926" xr:uid="{64370352-2BC8-46C1-A7CB-9ADC18796A1D}"/>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24144" xr:uid="{35586868-1979-413E-9C55-0D4554283F19}"/>
    <cellStyle name="Normal 2 4 5 4 2 2 2 3" xfId="32590" xr:uid="{7BC555F6-29DA-4641-949A-43D22A784140}"/>
    <cellStyle name="Normal 2 4 5 4 2 2 2 4" xfId="15703" xr:uid="{9BFC65B4-F707-496A-BD73-DA200F5FB4C3}"/>
    <cellStyle name="Normal 2 4 5 4 2 2 3" xfId="19926" xr:uid="{95CCDB63-1FE1-4A41-A4A8-4D6A5EA64D83}"/>
    <cellStyle name="Normal 2 4 5 4 2 2 4" xfId="28373" xr:uid="{01E021B2-8D60-4F26-A77B-FC3206732344}"/>
    <cellStyle name="Normal 2 4 5 4 2 2 5" xfId="11485" xr:uid="{34685670-C25B-441A-B17D-D2FBDC212E61}"/>
    <cellStyle name="Normal 2 4 5 4 2 3" xfId="5116" xr:uid="{00000000-0005-0000-0000-0000B2100000}"/>
    <cellStyle name="Normal 2 4 5 4 2 3 2" xfId="21999" xr:uid="{09984A56-4FFD-4360-8074-E66B03F0D6C2}"/>
    <cellStyle name="Normal 2 4 5 4 2 3 3" xfId="30445" xr:uid="{FD1874E5-05EA-4BDC-8644-64149910573F}"/>
    <cellStyle name="Normal 2 4 5 4 2 3 4" xfId="13558" xr:uid="{8C0BC68A-C7E1-4574-BE28-84CC17C0D312}"/>
    <cellStyle name="Normal 2 4 5 4 2 4" xfId="17781" xr:uid="{C4BFD5A2-6313-4C0D-855D-ACE3335BE39F}"/>
    <cellStyle name="Normal 2 4 5 4 2 5" xfId="26226" xr:uid="{6F0315CA-7A55-49C1-B51F-124D82221CA3}"/>
    <cellStyle name="Normal 2 4 5 4 2 6" xfId="9340" xr:uid="{8ABBD03F-B946-4593-A2A5-07840CF18C3F}"/>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24557" xr:uid="{2F274A07-BFBD-430E-A121-EEBAAEF2A5B9}"/>
    <cellStyle name="Normal 2 4 5 4 3 2 2 3" xfId="33003" xr:uid="{F9E7CE7C-BE0A-415E-ABCB-F3D4B3C9313A}"/>
    <cellStyle name="Normal 2 4 5 4 3 2 2 4" xfId="16116" xr:uid="{D680816C-8595-47DA-99EE-CDB402E352BC}"/>
    <cellStyle name="Normal 2 4 5 4 3 2 3" xfId="20339" xr:uid="{C6CCE701-4726-4212-AAC5-19B4B5AE8B95}"/>
    <cellStyle name="Normal 2 4 5 4 3 2 4" xfId="28786" xr:uid="{F33480DC-3652-453E-A527-4EAE56B55EE8}"/>
    <cellStyle name="Normal 2 4 5 4 3 2 5" xfId="11898" xr:uid="{D70EB807-247F-474B-B5F3-F8478A46ECAE}"/>
    <cellStyle name="Normal 2 4 5 4 3 3" xfId="5529" xr:uid="{00000000-0005-0000-0000-0000B6100000}"/>
    <cellStyle name="Normal 2 4 5 4 3 3 2" xfId="22412" xr:uid="{96B2108E-DC90-452C-9F53-5197C6212495}"/>
    <cellStyle name="Normal 2 4 5 4 3 3 3" xfId="30858" xr:uid="{68BC4A3B-D6D5-4DF8-A211-F42C34C13AD4}"/>
    <cellStyle name="Normal 2 4 5 4 3 3 4" xfId="13971" xr:uid="{FD991438-0721-4D82-A167-1896D162ACF8}"/>
    <cellStyle name="Normal 2 4 5 4 3 4" xfId="18194" xr:uid="{BE752864-192B-4D25-B70F-F10D9BD8C13E}"/>
    <cellStyle name="Normal 2 4 5 4 3 5" xfId="26639" xr:uid="{9F963DBE-A6DC-43A4-A235-0AD500ABDBA3}"/>
    <cellStyle name="Normal 2 4 5 4 3 6" xfId="9753" xr:uid="{C2C3FD55-E67D-4E7B-AC4C-9725010A21B3}"/>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24970" xr:uid="{6D925EC9-86FC-4F67-9E18-3359BE00403E}"/>
    <cellStyle name="Normal 2 4 5 4 4 2 2 3" xfId="33416" xr:uid="{AC74C5CD-6611-41FF-9436-7699503A4CF3}"/>
    <cellStyle name="Normal 2 4 5 4 4 2 2 4" xfId="16529" xr:uid="{3FB62D43-FD03-4738-A5EE-8BEA1F75A0F8}"/>
    <cellStyle name="Normal 2 4 5 4 4 2 3" xfId="20752" xr:uid="{77E9F785-A7CF-4B51-A5BE-E4BE8319309A}"/>
    <cellStyle name="Normal 2 4 5 4 4 2 4" xfId="29199" xr:uid="{8F8116D5-A4A3-4A28-B693-9371F8ADB0AF}"/>
    <cellStyle name="Normal 2 4 5 4 4 2 5" xfId="12311" xr:uid="{F5A35768-71A6-49C4-97F1-80F884EC10A5}"/>
    <cellStyle name="Normal 2 4 5 4 4 3" xfId="5942" xr:uid="{00000000-0005-0000-0000-0000BA100000}"/>
    <cellStyle name="Normal 2 4 5 4 4 3 2" xfId="22825" xr:uid="{082DBF9F-93A6-4C01-9CE9-7CB8C17EE716}"/>
    <cellStyle name="Normal 2 4 5 4 4 3 3" xfId="31271" xr:uid="{1306DED9-2030-4F67-99BD-3D7DEAE1CADE}"/>
    <cellStyle name="Normal 2 4 5 4 4 3 4" xfId="14384" xr:uid="{8E09E7D6-AE5F-4EFE-BEF9-9408BA7E63C2}"/>
    <cellStyle name="Normal 2 4 5 4 4 4" xfId="18607" xr:uid="{C27D92EF-1C9B-44F1-8A92-B14C6C9BAAC8}"/>
    <cellStyle name="Normal 2 4 5 4 4 5" xfId="27052" xr:uid="{EDB5E0EA-AE28-4561-867E-8B5104C151F5}"/>
    <cellStyle name="Normal 2 4 5 4 4 6" xfId="10166" xr:uid="{94EE1B57-FA2D-4DC0-85E9-29701401BDD9}"/>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25383" xr:uid="{54A3F3D0-0DED-4F62-AF1B-7477597C6F23}"/>
    <cellStyle name="Normal 2 4 5 4 5 2 2 3" xfId="33829" xr:uid="{1B74B12C-0169-4ECE-8317-5EAE77B1659C}"/>
    <cellStyle name="Normal 2 4 5 4 5 2 2 4" xfId="16942" xr:uid="{35B2C9CF-2B63-4DDA-9E4A-5C610C43CB69}"/>
    <cellStyle name="Normal 2 4 5 4 5 2 3" xfId="21165" xr:uid="{751A7256-413E-429D-B763-3424F79C912F}"/>
    <cellStyle name="Normal 2 4 5 4 5 2 4" xfId="29612" xr:uid="{9020DE69-696F-48B1-9021-686171F5852B}"/>
    <cellStyle name="Normal 2 4 5 4 5 2 5" xfId="12724" xr:uid="{29A3C659-7DC3-4D15-A76B-DC65866608E5}"/>
    <cellStyle name="Normal 2 4 5 4 5 3" xfId="6355" xr:uid="{00000000-0005-0000-0000-0000BE100000}"/>
    <cellStyle name="Normal 2 4 5 4 5 3 2" xfId="23238" xr:uid="{BD6FF9F8-F898-45C3-8A94-EF5899EDE5B0}"/>
    <cellStyle name="Normal 2 4 5 4 5 3 3" xfId="31684" xr:uid="{BE3F5CE2-3B7C-4856-895E-E8777BE8E28C}"/>
    <cellStyle name="Normal 2 4 5 4 5 3 4" xfId="14797" xr:uid="{20FC4BE9-FC27-4AB9-A0CC-4154B189E468}"/>
    <cellStyle name="Normal 2 4 5 4 5 4" xfId="19020" xr:uid="{A61153D2-5FC0-4E9B-ACD4-B2642EA477C9}"/>
    <cellStyle name="Normal 2 4 5 4 5 5" xfId="27465" xr:uid="{50D523DF-6DF2-4D54-89E1-CCCBAD3F73E7}"/>
    <cellStyle name="Normal 2 4 5 4 5 6" xfId="10579" xr:uid="{D52ED565-2960-4933-9594-4022F691F1FE}"/>
    <cellStyle name="Normal 2 4 5 4 6" xfId="2484" xr:uid="{00000000-0005-0000-0000-0000BF100000}"/>
    <cellStyle name="Normal 2 4 5 4 6 2" xfId="6768" xr:uid="{00000000-0005-0000-0000-0000C0100000}"/>
    <cellStyle name="Normal 2 4 5 4 6 2 2" xfId="23651" xr:uid="{6B21488C-BD9C-4EC6-9819-8F54D041E688}"/>
    <cellStyle name="Normal 2 4 5 4 6 2 3" xfId="32097" xr:uid="{B41B81A6-3C86-487D-8BBB-A68A77B1C80B}"/>
    <cellStyle name="Normal 2 4 5 4 6 2 4" xfId="15210" xr:uid="{C04F9A79-070E-470F-85C1-3EB123B6EE06}"/>
    <cellStyle name="Normal 2 4 5 4 6 3" xfId="19433" xr:uid="{5300B9D0-4AA4-4545-AD54-DD0004FB20FE}"/>
    <cellStyle name="Normal 2 4 5 4 6 4" xfId="27878" xr:uid="{947C2A4E-C91B-4BBC-9C3E-658798E0FE10}"/>
    <cellStyle name="Normal 2 4 5 4 6 5" xfId="10992" xr:uid="{1DFE0E4A-65B8-4486-A629-F059E25915EA}"/>
    <cellStyle name="Normal 2 4 5 4 7" xfId="4702" xr:uid="{00000000-0005-0000-0000-0000C1100000}"/>
    <cellStyle name="Normal 2 4 5 4 7 2" xfId="21585" xr:uid="{D2C53661-79E6-4BFA-B822-7A73E9F0B503}"/>
    <cellStyle name="Normal 2 4 5 4 7 3" xfId="30031" xr:uid="{5FB18E8B-55E1-44AF-98F8-22819CF5ED2B}"/>
    <cellStyle name="Normal 2 4 5 4 7 4" xfId="13144" xr:uid="{875F7752-7B49-41F0-9248-5EFB5CE21C82}"/>
    <cellStyle name="Normal 2 4 5 4 8" xfId="17367" xr:uid="{052D3437-2EF6-41FC-AE7E-BA50A7117480}"/>
    <cellStyle name="Normal 2 4 5 4 9" xfId="25811" xr:uid="{EDAAEDE1-88B9-4BF3-A67E-999A6EB3777D}"/>
    <cellStyle name="Normal 2 4 5 5" xfId="792" xr:uid="{00000000-0005-0000-0000-0000C2100000}"/>
    <cellStyle name="Normal 2 4 5 5 2" xfId="3031" xr:uid="{00000000-0005-0000-0000-0000C3100000}"/>
    <cellStyle name="Normal 2 4 5 5 2 2" xfId="7254" xr:uid="{00000000-0005-0000-0000-0000C4100000}"/>
    <cellStyle name="Normal 2 4 5 5 2 2 2" xfId="24137" xr:uid="{D596B338-0F5A-46A8-96E0-0B225A592579}"/>
    <cellStyle name="Normal 2 4 5 5 2 2 3" xfId="32583" xr:uid="{C86F431B-A247-46DC-9A9A-3A105C33B666}"/>
    <cellStyle name="Normal 2 4 5 5 2 2 4" xfId="15696" xr:uid="{9D271840-9006-4A45-8CF0-27BB4C3AE4AE}"/>
    <cellStyle name="Normal 2 4 5 5 2 3" xfId="19919" xr:uid="{05BA86E9-1FC1-4F4F-A6A0-006E0505C046}"/>
    <cellStyle name="Normal 2 4 5 5 2 4" xfId="28366" xr:uid="{28976126-A665-41DD-BA3D-CEDD5F7C5AEC}"/>
    <cellStyle name="Normal 2 4 5 5 2 5" xfId="11478" xr:uid="{814CE313-E962-44EB-A1E6-1CC6317F30E6}"/>
    <cellStyle name="Normal 2 4 5 5 3" xfId="5109" xr:uid="{00000000-0005-0000-0000-0000C5100000}"/>
    <cellStyle name="Normal 2 4 5 5 3 2" xfId="21992" xr:uid="{4756829A-8AA1-4981-88DD-04C168FD853A}"/>
    <cellStyle name="Normal 2 4 5 5 3 3" xfId="30438" xr:uid="{566875C3-96D8-408A-9DB7-44BEAA0001C3}"/>
    <cellStyle name="Normal 2 4 5 5 3 4" xfId="13551" xr:uid="{51770A0A-77A5-496D-A996-E5B99300D0D2}"/>
    <cellStyle name="Normal 2 4 5 5 4" xfId="17774" xr:uid="{0AE6BF35-967E-4328-BE52-EE7D5E53E082}"/>
    <cellStyle name="Normal 2 4 5 5 5" xfId="26219" xr:uid="{275D8D6B-BE1B-4BC5-9B69-B1334218ABB5}"/>
    <cellStyle name="Normal 2 4 5 5 6" xfId="9333" xr:uid="{1BECFB6C-9862-4031-9D6B-622A1AEE5762}"/>
    <cellStyle name="Normal 2 4 5 6" xfId="1214" xr:uid="{00000000-0005-0000-0000-0000C6100000}"/>
    <cellStyle name="Normal 2 4 5 6 2" xfId="3444" xr:uid="{00000000-0005-0000-0000-0000C7100000}"/>
    <cellStyle name="Normal 2 4 5 6 2 2" xfId="7667" xr:uid="{00000000-0005-0000-0000-0000C8100000}"/>
    <cellStyle name="Normal 2 4 5 6 2 2 2" xfId="24550" xr:uid="{1F6CE254-2793-4808-8104-6C5C586861FA}"/>
    <cellStyle name="Normal 2 4 5 6 2 2 3" xfId="32996" xr:uid="{3FEF849A-BF07-42ED-8794-AD62999328FC}"/>
    <cellStyle name="Normal 2 4 5 6 2 2 4" xfId="16109" xr:uid="{789657EE-2A0E-4D7D-B531-50F07E985519}"/>
    <cellStyle name="Normal 2 4 5 6 2 3" xfId="20332" xr:uid="{5339BAEC-A763-4A32-BBD0-095ACDB4EDA5}"/>
    <cellStyle name="Normal 2 4 5 6 2 4" xfId="28779" xr:uid="{205F6175-6E15-4A0A-A368-34E0A06C9199}"/>
    <cellStyle name="Normal 2 4 5 6 2 5" xfId="11891" xr:uid="{C8866ADE-41E1-4A3A-910A-16DB16AE32FD}"/>
    <cellStyle name="Normal 2 4 5 6 3" xfId="5522" xr:uid="{00000000-0005-0000-0000-0000C9100000}"/>
    <cellStyle name="Normal 2 4 5 6 3 2" xfId="22405" xr:uid="{D8E5C522-467C-48F9-8AA6-0A66304362B9}"/>
    <cellStyle name="Normal 2 4 5 6 3 3" xfId="30851" xr:uid="{E53A02DB-DFA9-47A5-A6E0-F8D62D8B25D9}"/>
    <cellStyle name="Normal 2 4 5 6 3 4" xfId="13964" xr:uid="{C2C5230D-F3BC-4BAC-AC59-E73D32983C5F}"/>
    <cellStyle name="Normal 2 4 5 6 4" xfId="18187" xr:uid="{2320B844-4BC0-455C-BD4C-DA54D7844197}"/>
    <cellStyle name="Normal 2 4 5 6 5" xfId="26632" xr:uid="{B656835B-826D-4298-A281-A192C1D88789}"/>
    <cellStyle name="Normal 2 4 5 6 6" xfId="9746" xr:uid="{9F3A533F-E06C-4D2A-A9DF-F8ADF0F8C4C0}"/>
    <cellStyle name="Normal 2 4 5 7" xfId="1627" xr:uid="{00000000-0005-0000-0000-0000CA100000}"/>
    <cellStyle name="Normal 2 4 5 7 2" xfId="3857" xr:uid="{00000000-0005-0000-0000-0000CB100000}"/>
    <cellStyle name="Normal 2 4 5 7 2 2" xfId="8080" xr:uid="{00000000-0005-0000-0000-0000CC100000}"/>
    <cellStyle name="Normal 2 4 5 7 2 2 2" xfId="24963" xr:uid="{5F2B4111-3207-4F7D-AA91-4C118EB2B97C}"/>
    <cellStyle name="Normal 2 4 5 7 2 2 3" xfId="33409" xr:uid="{B1783E97-0387-4281-8E8C-DBDDD5BED1CC}"/>
    <cellStyle name="Normal 2 4 5 7 2 2 4" xfId="16522" xr:uid="{A6B5FB20-DD5E-400C-B0F6-97867129C128}"/>
    <cellStyle name="Normal 2 4 5 7 2 3" xfId="20745" xr:uid="{35199D7A-CA36-483A-ABB0-BEECBEF9011C}"/>
    <cellStyle name="Normal 2 4 5 7 2 4" xfId="29192" xr:uid="{25F551D2-1B5B-43B2-A587-D149F3491FD9}"/>
    <cellStyle name="Normal 2 4 5 7 2 5" xfId="12304" xr:uid="{773669C9-BB02-4789-B2BC-A688F705C3E1}"/>
    <cellStyle name="Normal 2 4 5 7 3" xfId="5935" xr:uid="{00000000-0005-0000-0000-0000CD100000}"/>
    <cellStyle name="Normal 2 4 5 7 3 2" xfId="22818" xr:uid="{2115438D-E2B9-47E0-9ABC-204B79E7AE3F}"/>
    <cellStyle name="Normal 2 4 5 7 3 3" xfId="31264" xr:uid="{74A68F24-98D9-4141-B1DB-61BB71D71792}"/>
    <cellStyle name="Normal 2 4 5 7 3 4" xfId="14377" xr:uid="{A0124A7D-FF07-4F99-B865-BA6C39F63ECF}"/>
    <cellStyle name="Normal 2 4 5 7 4" xfId="18600" xr:uid="{8768F2E3-29C6-4B22-ACA1-E08AA1F75B4E}"/>
    <cellStyle name="Normal 2 4 5 7 5" xfId="27045" xr:uid="{D9E0C286-A941-466D-AECB-3ED350E8681A}"/>
    <cellStyle name="Normal 2 4 5 7 6" xfId="10159" xr:uid="{1129EC0B-A65B-4D60-B497-2567D775FDF3}"/>
    <cellStyle name="Normal 2 4 5 8" xfId="2041" xr:uid="{00000000-0005-0000-0000-0000CE100000}"/>
    <cellStyle name="Normal 2 4 5 8 2" xfId="4270" xr:uid="{00000000-0005-0000-0000-0000CF100000}"/>
    <cellStyle name="Normal 2 4 5 8 2 2" xfId="8493" xr:uid="{00000000-0005-0000-0000-0000D0100000}"/>
    <cellStyle name="Normal 2 4 5 8 2 2 2" xfId="25376" xr:uid="{D2CF97F3-411C-4241-9DCF-AF5CC71968C8}"/>
    <cellStyle name="Normal 2 4 5 8 2 2 3" xfId="33822" xr:uid="{B299EF9D-76D8-4F98-A4C6-2889745C499E}"/>
    <cellStyle name="Normal 2 4 5 8 2 2 4" xfId="16935" xr:uid="{32B3529E-30FB-45C8-B4CE-08999ADFEDAA}"/>
    <cellStyle name="Normal 2 4 5 8 2 3" xfId="21158" xr:uid="{65D9CDF4-3FC2-4D7C-810A-804ACDA8FC8B}"/>
    <cellStyle name="Normal 2 4 5 8 2 4" xfId="29605" xr:uid="{0B4C6A73-6E0C-4277-AD75-7F38F157DFB5}"/>
    <cellStyle name="Normal 2 4 5 8 2 5" xfId="12717" xr:uid="{E6C75760-F1F1-4E91-B71E-9CA5EA2F583E}"/>
    <cellStyle name="Normal 2 4 5 8 3" xfId="6348" xr:uid="{00000000-0005-0000-0000-0000D1100000}"/>
    <cellStyle name="Normal 2 4 5 8 3 2" xfId="23231" xr:uid="{B3335DAD-E34B-46BB-9A80-729A324AE583}"/>
    <cellStyle name="Normal 2 4 5 8 3 3" xfId="31677" xr:uid="{9881211E-3B06-4781-9295-5FF2506B0C93}"/>
    <cellStyle name="Normal 2 4 5 8 3 4" xfId="14790" xr:uid="{DEDC8F67-AED8-49A1-834B-60B7E5F19527}"/>
    <cellStyle name="Normal 2 4 5 8 4" xfId="19013" xr:uid="{027074FB-A3D9-4285-A6B6-2CEED0E6CE6F}"/>
    <cellStyle name="Normal 2 4 5 8 5" xfId="27458" xr:uid="{C168ABF2-7E9D-4757-8566-723C2211DA99}"/>
    <cellStyle name="Normal 2 4 5 8 6" xfId="10572" xr:uid="{E81FD3EF-B36A-4E02-BF92-B9C386BA9371}"/>
    <cellStyle name="Normal 2 4 5 9" xfId="2477" xr:uid="{00000000-0005-0000-0000-0000D2100000}"/>
    <cellStyle name="Normal 2 4 5 9 2" xfId="6761" xr:uid="{00000000-0005-0000-0000-0000D3100000}"/>
    <cellStyle name="Normal 2 4 5 9 2 2" xfId="23644" xr:uid="{102B494D-3D3D-4506-8364-F432F7C34A14}"/>
    <cellStyle name="Normal 2 4 5 9 2 3" xfId="32090" xr:uid="{8BB02553-3EC0-42D8-B71F-E292FC501527}"/>
    <cellStyle name="Normal 2 4 5 9 2 4" xfId="15203" xr:uid="{028802FF-544A-4DFE-BCF0-18CD8F405FF7}"/>
    <cellStyle name="Normal 2 4 5 9 3" xfId="19426" xr:uid="{7F7BA6FB-0996-4655-A92B-CE28367FA272}"/>
    <cellStyle name="Normal 2 4 5 9 4" xfId="27871" xr:uid="{3F0937F6-95EF-4EF8-9B01-41C1B5323F0E}"/>
    <cellStyle name="Normal 2 4 5 9 5" xfId="10985" xr:uid="{7D2C5917-4C71-4173-9069-378A67329155}"/>
    <cellStyle name="Normal 2 4 6" xfId="311" xr:uid="{00000000-0005-0000-0000-0000D4100000}"/>
    <cellStyle name="Normal 2 4 7" xfId="312" xr:uid="{00000000-0005-0000-0000-0000D5100000}"/>
    <cellStyle name="Normal 2 4 7 10" xfId="25812" xr:uid="{925AF6B8-9AB4-4CBB-B2FC-D29A2B30F301}"/>
    <cellStyle name="Normal 2 4 7 11" xfId="8927" xr:uid="{9A368397-9EFE-41C2-91FE-D0D0E4076F4A}"/>
    <cellStyle name="Normal 2 4 7 2" xfId="313" xr:uid="{00000000-0005-0000-0000-0000D6100000}"/>
    <cellStyle name="Normal 2 4 7 2 10" xfId="8928" xr:uid="{E1A6ABEF-7755-4600-995C-A6A87BF1245C}"/>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24146" xr:uid="{68DCFEBF-3680-45BE-B926-1729E17B9017}"/>
    <cellStyle name="Normal 2 4 7 2 2 2 2 3" xfId="32592" xr:uid="{8240D05F-294D-4F3C-9D3C-3480C2525334}"/>
    <cellStyle name="Normal 2 4 7 2 2 2 2 4" xfId="15705" xr:uid="{1DD81A2C-7045-4E78-96FF-BB146FA4028E}"/>
    <cellStyle name="Normal 2 4 7 2 2 2 3" xfId="19928" xr:uid="{D0A2334E-E686-4EAD-A461-22D3BE77CBD3}"/>
    <cellStyle name="Normal 2 4 7 2 2 2 4" xfId="28375" xr:uid="{4F27C1A0-901C-4F30-BF48-7D1544AB0BC1}"/>
    <cellStyle name="Normal 2 4 7 2 2 2 5" xfId="11487" xr:uid="{A7A34CAE-BC1B-4A67-B7E4-6A78B9CBC00A}"/>
    <cellStyle name="Normal 2 4 7 2 2 3" xfId="5118" xr:uid="{00000000-0005-0000-0000-0000DA100000}"/>
    <cellStyle name="Normal 2 4 7 2 2 3 2" xfId="22001" xr:uid="{AE1B3627-EA79-478A-A451-2B39DE7D091E}"/>
    <cellStyle name="Normal 2 4 7 2 2 3 3" xfId="30447" xr:uid="{4050835E-1B28-474C-97B1-306641022DAC}"/>
    <cellStyle name="Normal 2 4 7 2 2 3 4" xfId="13560" xr:uid="{6319EF52-C847-460A-A3E4-E76017C6D996}"/>
    <cellStyle name="Normal 2 4 7 2 2 4" xfId="17783" xr:uid="{B3164619-0820-449F-AD69-A625BDCB7306}"/>
    <cellStyle name="Normal 2 4 7 2 2 5" xfId="26228" xr:uid="{3ED85EAA-DB08-4ABD-9F14-85F1406A6BD1}"/>
    <cellStyle name="Normal 2 4 7 2 2 6" xfId="9342" xr:uid="{A8021063-21A6-4F59-B710-450F5924B54E}"/>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24559" xr:uid="{93BB81E8-BE77-47AA-BC6A-489156FC5F73}"/>
    <cellStyle name="Normal 2 4 7 2 3 2 2 3" xfId="33005" xr:uid="{D2B2C7F6-C59B-4068-B400-0D6DA714188F}"/>
    <cellStyle name="Normal 2 4 7 2 3 2 2 4" xfId="16118" xr:uid="{5DC16B23-ADC7-40AA-ACC4-38A798121582}"/>
    <cellStyle name="Normal 2 4 7 2 3 2 3" xfId="20341" xr:uid="{4545B3E5-D2BD-49DB-A394-9BDA983D76CB}"/>
    <cellStyle name="Normal 2 4 7 2 3 2 4" xfId="28788" xr:uid="{72C23C3E-6411-4EC1-ABD4-9E2E8AA2E251}"/>
    <cellStyle name="Normal 2 4 7 2 3 2 5" xfId="11900" xr:uid="{A0A98592-25EA-4361-BEB2-A4610B580342}"/>
    <cellStyle name="Normal 2 4 7 2 3 3" xfId="5531" xr:uid="{00000000-0005-0000-0000-0000DE100000}"/>
    <cellStyle name="Normal 2 4 7 2 3 3 2" xfId="22414" xr:uid="{79CDE326-D359-4A5D-A7B8-0CA9FF998B0D}"/>
    <cellStyle name="Normal 2 4 7 2 3 3 3" xfId="30860" xr:uid="{8A4F56C2-87EE-4AF0-82B4-7CF906C963A3}"/>
    <cellStyle name="Normal 2 4 7 2 3 3 4" xfId="13973" xr:uid="{DED70799-6D63-43DE-BAF4-01CAFE2FCA38}"/>
    <cellStyle name="Normal 2 4 7 2 3 4" xfId="18196" xr:uid="{526180CE-99AA-4174-8EF5-65887261990A}"/>
    <cellStyle name="Normal 2 4 7 2 3 5" xfId="26641" xr:uid="{DAE7867E-E6EB-429B-A908-D716F58B6E45}"/>
    <cellStyle name="Normal 2 4 7 2 3 6" xfId="9755" xr:uid="{486FC1AD-4C81-4CC3-AFF2-1256C94F6F6A}"/>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24972" xr:uid="{A6435D8E-467B-44C7-BCEE-3FD8C194508F}"/>
    <cellStyle name="Normal 2 4 7 2 4 2 2 3" xfId="33418" xr:uid="{2C30DEB4-0A40-42A3-97C1-660E133E6E4E}"/>
    <cellStyle name="Normal 2 4 7 2 4 2 2 4" xfId="16531" xr:uid="{929D6BB6-B9C8-4177-922E-B482260034D1}"/>
    <cellStyle name="Normal 2 4 7 2 4 2 3" xfId="20754" xr:uid="{8C7AC222-5886-4827-A92B-F1637BDE68B2}"/>
    <cellStyle name="Normal 2 4 7 2 4 2 4" xfId="29201" xr:uid="{670A806D-FE13-4FD3-B214-08F6F571D182}"/>
    <cellStyle name="Normal 2 4 7 2 4 2 5" xfId="12313" xr:uid="{2C72568C-E120-4754-813C-E388B3D6BC7E}"/>
    <cellStyle name="Normal 2 4 7 2 4 3" xfId="5944" xr:uid="{00000000-0005-0000-0000-0000E2100000}"/>
    <cellStyle name="Normal 2 4 7 2 4 3 2" xfId="22827" xr:uid="{DC153C05-9AFF-440E-BF81-78041B58F76F}"/>
    <cellStyle name="Normal 2 4 7 2 4 3 3" xfId="31273" xr:uid="{48E34F38-C79A-44AD-A8BE-DDEFD49D7B2B}"/>
    <cellStyle name="Normal 2 4 7 2 4 3 4" xfId="14386" xr:uid="{C8F0B198-2F41-4B30-AAAC-C3AA85ED28D2}"/>
    <cellStyle name="Normal 2 4 7 2 4 4" xfId="18609" xr:uid="{7187717C-88B2-481C-A115-4AADE8D20B00}"/>
    <cellStyle name="Normal 2 4 7 2 4 5" xfId="27054" xr:uid="{37B6E876-A5C6-47D6-A6AF-FEAF8A17E846}"/>
    <cellStyle name="Normal 2 4 7 2 4 6" xfId="10168" xr:uid="{1E8325DD-0193-45A3-80E0-BBCDEB11C86B}"/>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25385" xr:uid="{56DB7BD6-42B5-4DE4-B044-A42EBD41B31C}"/>
    <cellStyle name="Normal 2 4 7 2 5 2 2 3" xfId="33831" xr:uid="{72F889B1-129B-4454-9209-9CD26E7C6EAF}"/>
    <cellStyle name="Normal 2 4 7 2 5 2 2 4" xfId="16944" xr:uid="{49840C83-22D7-4017-8F36-250642DB1E73}"/>
    <cellStyle name="Normal 2 4 7 2 5 2 3" xfId="21167" xr:uid="{4BDBC658-2DF2-48C0-8641-67550FDD1983}"/>
    <cellStyle name="Normal 2 4 7 2 5 2 4" xfId="29614" xr:uid="{C1100D97-96C3-4A25-90D2-AE10B6A60BD3}"/>
    <cellStyle name="Normal 2 4 7 2 5 2 5" xfId="12726" xr:uid="{78A70980-CDEB-4F8C-A528-64C2D6A8C56D}"/>
    <cellStyle name="Normal 2 4 7 2 5 3" xfId="6357" xr:uid="{00000000-0005-0000-0000-0000E6100000}"/>
    <cellStyle name="Normal 2 4 7 2 5 3 2" xfId="23240" xr:uid="{55C488CB-891C-4700-A5B9-A1D62E1E208F}"/>
    <cellStyle name="Normal 2 4 7 2 5 3 3" xfId="31686" xr:uid="{0F283F04-BB18-4130-95BD-0FE215DE01D5}"/>
    <cellStyle name="Normal 2 4 7 2 5 3 4" xfId="14799" xr:uid="{5F1F1B2E-741B-42DE-AF21-CEC75E071804}"/>
    <cellStyle name="Normal 2 4 7 2 5 4" xfId="19022" xr:uid="{33BBA33E-F8B7-4289-815E-8A17F602D470}"/>
    <cellStyle name="Normal 2 4 7 2 5 5" xfId="27467" xr:uid="{7BAA0A92-19CF-4212-91B5-48EEA9DBE604}"/>
    <cellStyle name="Normal 2 4 7 2 5 6" xfId="10581" xr:uid="{503E34B5-9778-46D6-8868-5EBDDD1BB5CF}"/>
    <cellStyle name="Normal 2 4 7 2 6" xfId="2486" xr:uid="{00000000-0005-0000-0000-0000E7100000}"/>
    <cellStyle name="Normal 2 4 7 2 6 2" xfId="6770" xr:uid="{00000000-0005-0000-0000-0000E8100000}"/>
    <cellStyle name="Normal 2 4 7 2 6 2 2" xfId="23653" xr:uid="{7E5AA7F5-B14F-4C8B-B38A-EC801A944B22}"/>
    <cellStyle name="Normal 2 4 7 2 6 2 3" xfId="32099" xr:uid="{1A4D51DB-C866-4F29-8D63-6DB0170429A2}"/>
    <cellStyle name="Normal 2 4 7 2 6 2 4" xfId="15212" xr:uid="{229273E3-8B43-4FFA-8E19-C86B9EF979A6}"/>
    <cellStyle name="Normal 2 4 7 2 6 3" xfId="19435" xr:uid="{AB91ED92-9BC7-47A9-A0E4-8F98D2C68687}"/>
    <cellStyle name="Normal 2 4 7 2 6 4" xfId="27880" xr:uid="{C2154690-BAE2-4EDF-A848-88AC6F934B1F}"/>
    <cellStyle name="Normal 2 4 7 2 6 5" xfId="10994" xr:uid="{A7AFB51A-34A2-4233-82BD-3FDC0445025F}"/>
    <cellStyle name="Normal 2 4 7 2 7" xfId="4704" xr:uid="{00000000-0005-0000-0000-0000E9100000}"/>
    <cellStyle name="Normal 2 4 7 2 7 2" xfId="21587" xr:uid="{2270B25B-39E2-49AF-8250-C00247E170EB}"/>
    <cellStyle name="Normal 2 4 7 2 7 3" xfId="30033" xr:uid="{9F61750B-82E9-4789-9EB2-2A2DE125FF32}"/>
    <cellStyle name="Normal 2 4 7 2 7 4" xfId="13146" xr:uid="{6F967CF1-CAD7-49F5-90E6-3E5BEA4CC427}"/>
    <cellStyle name="Normal 2 4 7 2 8" xfId="17369" xr:uid="{CF9B0F0C-E08C-4E03-A3DB-893F4A12C51B}"/>
    <cellStyle name="Normal 2 4 7 2 9" xfId="25813" xr:uid="{6E1B5B66-0A1D-48DF-B29C-866EF61F41D7}"/>
    <cellStyle name="Normal 2 4 7 3" xfId="800" xr:uid="{00000000-0005-0000-0000-0000EA100000}"/>
    <cellStyle name="Normal 2 4 7 3 2" xfId="3039" xr:uid="{00000000-0005-0000-0000-0000EB100000}"/>
    <cellStyle name="Normal 2 4 7 3 2 2" xfId="7262" xr:uid="{00000000-0005-0000-0000-0000EC100000}"/>
    <cellStyle name="Normal 2 4 7 3 2 2 2" xfId="24145" xr:uid="{3306D49D-0901-4731-849C-C6C8A9DABBB6}"/>
    <cellStyle name="Normal 2 4 7 3 2 2 3" xfId="32591" xr:uid="{411227C3-1EA5-4ADC-A7A5-CC3C44B95DEB}"/>
    <cellStyle name="Normal 2 4 7 3 2 2 4" xfId="15704" xr:uid="{B4A05CA7-5F49-4299-AA04-517E80F26B09}"/>
    <cellStyle name="Normal 2 4 7 3 2 3" xfId="19927" xr:uid="{CEC5E136-EF59-425F-B3BB-335C94EDACC3}"/>
    <cellStyle name="Normal 2 4 7 3 2 4" xfId="28374" xr:uid="{EB278C5F-6F7B-412D-B9D7-47FA42E99DDD}"/>
    <cellStyle name="Normal 2 4 7 3 2 5" xfId="11486" xr:uid="{F5E807C3-65D5-4076-8B29-C58B3DCA719C}"/>
    <cellStyle name="Normal 2 4 7 3 3" xfId="5117" xr:uid="{00000000-0005-0000-0000-0000ED100000}"/>
    <cellStyle name="Normal 2 4 7 3 3 2" xfId="22000" xr:uid="{98D7E80D-21D5-461D-9220-E08F2D41CA2E}"/>
    <cellStyle name="Normal 2 4 7 3 3 3" xfId="30446" xr:uid="{5065C542-0BE0-4DA8-A5C1-2B696FF38EA6}"/>
    <cellStyle name="Normal 2 4 7 3 3 4" xfId="13559" xr:uid="{50CD3F2C-FBCF-433F-B685-BE4D08E8863D}"/>
    <cellStyle name="Normal 2 4 7 3 4" xfId="17782" xr:uid="{661D259E-2BEE-4F86-899C-9E682756342B}"/>
    <cellStyle name="Normal 2 4 7 3 5" xfId="26227" xr:uid="{7B0330B3-A70C-4F51-B54E-7DEE333C1617}"/>
    <cellStyle name="Normal 2 4 7 3 6" xfId="9341" xr:uid="{9BEA9883-0E76-4FF0-8531-F42F119BED4F}"/>
    <cellStyle name="Normal 2 4 7 4" xfId="1222" xr:uid="{00000000-0005-0000-0000-0000EE100000}"/>
    <cellStyle name="Normal 2 4 7 4 2" xfId="3452" xr:uid="{00000000-0005-0000-0000-0000EF100000}"/>
    <cellStyle name="Normal 2 4 7 4 2 2" xfId="7675" xr:uid="{00000000-0005-0000-0000-0000F0100000}"/>
    <cellStyle name="Normal 2 4 7 4 2 2 2" xfId="24558" xr:uid="{3270DE96-AD84-4723-BEBF-2034024B37B1}"/>
    <cellStyle name="Normal 2 4 7 4 2 2 3" xfId="33004" xr:uid="{FA8DE6A7-C422-4417-99FF-83B098E0FB37}"/>
    <cellStyle name="Normal 2 4 7 4 2 2 4" xfId="16117" xr:uid="{C4C563F6-5FD9-4E36-950E-D8DC1FEEB189}"/>
    <cellStyle name="Normal 2 4 7 4 2 3" xfId="20340" xr:uid="{77194360-DB36-4FE5-A068-BE07A9EAF9B1}"/>
    <cellStyle name="Normal 2 4 7 4 2 4" xfId="28787" xr:uid="{72C37C34-88F8-498F-AA38-E34A33BCB58E}"/>
    <cellStyle name="Normal 2 4 7 4 2 5" xfId="11899" xr:uid="{8E1EB22E-C99A-4443-8AEE-9C2EFF88FE03}"/>
    <cellStyle name="Normal 2 4 7 4 3" xfId="5530" xr:uid="{00000000-0005-0000-0000-0000F1100000}"/>
    <cellStyle name="Normal 2 4 7 4 3 2" xfId="22413" xr:uid="{4CF7F350-3FCC-4223-B91A-84BA250E39D3}"/>
    <cellStyle name="Normal 2 4 7 4 3 3" xfId="30859" xr:uid="{8B005D58-3037-430E-890D-32A61EDE7231}"/>
    <cellStyle name="Normal 2 4 7 4 3 4" xfId="13972" xr:uid="{A339C0B3-5666-41C1-9897-E3EE96DBF37F}"/>
    <cellStyle name="Normal 2 4 7 4 4" xfId="18195" xr:uid="{C824C855-1993-4590-A93A-FA169061B775}"/>
    <cellStyle name="Normal 2 4 7 4 5" xfId="26640" xr:uid="{764DDC90-506F-4394-B952-757C82E047C3}"/>
    <cellStyle name="Normal 2 4 7 4 6" xfId="9754" xr:uid="{FB6AC9E0-F7C2-4AD2-A716-5EE5A63C0805}"/>
    <cellStyle name="Normal 2 4 7 5" xfId="1635" xr:uid="{00000000-0005-0000-0000-0000F2100000}"/>
    <cellStyle name="Normal 2 4 7 5 2" xfId="3865" xr:uid="{00000000-0005-0000-0000-0000F3100000}"/>
    <cellStyle name="Normal 2 4 7 5 2 2" xfId="8088" xr:uid="{00000000-0005-0000-0000-0000F4100000}"/>
    <cellStyle name="Normal 2 4 7 5 2 2 2" xfId="24971" xr:uid="{D69CAB71-6A34-421B-AC20-EEE0CD398B4D}"/>
    <cellStyle name="Normal 2 4 7 5 2 2 3" xfId="33417" xr:uid="{A77F8F67-BA88-4E57-8280-AD796AAE756E}"/>
    <cellStyle name="Normal 2 4 7 5 2 2 4" xfId="16530" xr:uid="{22B8E6CC-EB59-49FA-9DBD-34F2C00E11AC}"/>
    <cellStyle name="Normal 2 4 7 5 2 3" xfId="20753" xr:uid="{EFDAF55C-317D-4B78-84CE-2AFE013A44F6}"/>
    <cellStyle name="Normal 2 4 7 5 2 4" xfId="29200" xr:uid="{48A181F7-38D9-4B4A-A4F3-65EAD347C8CB}"/>
    <cellStyle name="Normal 2 4 7 5 2 5" xfId="12312" xr:uid="{24C15AAF-04F5-4ABD-BDF0-1BA9E991EDCE}"/>
    <cellStyle name="Normal 2 4 7 5 3" xfId="5943" xr:uid="{00000000-0005-0000-0000-0000F5100000}"/>
    <cellStyle name="Normal 2 4 7 5 3 2" xfId="22826" xr:uid="{4BC88ADE-4202-48C1-91CF-7EBE4953C8C0}"/>
    <cellStyle name="Normal 2 4 7 5 3 3" xfId="31272" xr:uid="{0BCCFB16-D8AB-4CB7-9197-B8DDCC22D86C}"/>
    <cellStyle name="Normal 2 4 7 5 3 4" xfId="14385" xr:uid="{F2EA287A-9276-40A2-8A8C-CA6175CC9D4B}"/>
    <cellStyle name="Normal 2 4 7 5 4" xfId="18608" xr:uid="{E1A87291-034E-4B0A-94AF-997C99B22F07}"/>
    <cellStyle name="Normal 2 4 7 5 5" xfId="27053" xr:uid="{33DD52C2-D0F5-4703-967E-24026925DA4E}"/>
    <cellStyle name="Normal 2 4 7 5 6" xfId="10167" xr:uid="{57CBF1DE-7B15-4A6A-9290-AC63E7CFE86C}"/>
    <cellStyle name="Normal 2 4 7 6" xfId="2049" xr:uid="{00000000-0005-0000-0000-0000F6100000}"/>
    <cellStyle name="Normal 2 4 7 6 2" xfId="4278" xr:uid="{00000000-0005-0000-0000-0000F7100000}"/>
    <cellStyle name="Normal 2 4 7 6 2 2" xfId="8501" xr:uid="{00000000-0005-0000-0000-0000F8100000}"/>
    <cellStyle name="Normal 2 4 7 6 2 2 2" xfId="25384" xr:uid="{98F50F08-3079-4793-B68F-8DD71EDC233F}"/>
    <cellStyle name="Normal 2 4 7 6 2 2 3" xfId="33830" xr:uid="{CD39BC83-49A8-4A5F-A97C-3D30E9C2E66F}"/>
    <cellStyle name="Normal 2 4 7 6 2 2 4" xfId="16943" xr:uid="{128AA93B-C8B1-4B7F-8FD4-E4C5CE9D2071}"/>
    <cellStyle name="Normal 2 4 7 6 2 3" xfId="21166" xr:uid="{65645B09-79B8-45DE-B5A6-C44F5AB5E414}"/>
    <cellStyle name="Normal 2 4 7 6 2 4" xfId="29613" xr:uid="{EE459760-3FCC-484C-B5A1-E6144932FA65}"/>
    <cellStyle name="Normal 2 4 7 6 2 5" xfId="12725" xr:uid="{259977D1-0F14-41EC-B604-0E94635DCB27}"/>
    <cellStyle name="Normal 2 4 7 6 3" xfId="6356" xr:uid="{00000000-0005-0000-0000-0000F9100000}"/>
    <cellStyle name="Normal 2 4 7 6 3 2" xfId="23239" xr:uid="{66E51F37-1D9D-46B6-9762-B8427C0405AC}"/>
    <cellStyle name="Normal 2 4 7 6 3 3" xfId="31685" xr:uid="{C28B14E5-8E05-4E2E-8EF8-16FB38349887}"/>
    <cellStyle name="Normal 2 4 7 6 3 4" xfId="14798" xr:uid="{27D8A204-3E66-452A-8105-93506453CD71}"/>
    <cellStyle name="Normal 2 4 7 6 4" xfId="19021" xr:uid="{7CCF617D-96B5-4AFB-B275-3BCB1860715E}"/>
    <cellStyle name="Normal 2 4 7 6 5" xfId="27466" xr:uid="{0EEC47D5-6803-4669-A981-5ED99E3D4CD8}"/>
    <cellStyle name="Normal 2 4 7 6 6" xfId="10580" xr:uid="{03B3E46E-3630-4B47-9416-279602918071}"/>
    <cellStyle name="Normal 2 4 7 7" xfId="2485" xr:uid="{00000000-0005-0000-0000-0000FA100000}"/>
    <cellStyle name="Normal 2 4 7 7 2" xfId="6769" xr:uid="{00000000-0005-0000-0000-0000FB100000}"/>
    <cellStyle name="Normal 2 4 7 7 2 2" xfId="23652" xr:uid="{3144F840-5866-4FCB-8C2B-CBFCFC933718}"/>
    <cellStyle name="Normal 2 4 7 7 2 3" xfId="32098" xr:uid="{305BFDE4-34A8-47A2-9695-9D9154843322}"/>
    <cellStyle name="Normal 2 4 7 7 2 4" xfId="15211" xr:uid="{3E9C2D78-433D-4F41-BDA3-6C9CB276E7FC}"/>
    <cellStyle name="Normal 2 4 7 7 3" xfId="19434" xr:uid="{E3E49F3F-6824-4688-A5B7-4CE814F97887}"/>
    <cellStyle name="Normal 2 4 7 7 4" xfId="27879" xr:uid="{1156ED28-6CF0-4AE6-B33A-4ACCC78EA497}"/>
    <cellStyle name="Normal 2 4 7 7 5" xfId="10993" xr:uid="{03981961-C180-4A14-8961-56B3A95A2631}"/>
    <cellStyle name="Normal 2 4 7 8" xfId="4703" xr:uid="{00000000-0005-0000-0000-0000FC100000}"/>
    <cellStyle name="Normal 2 4 7 8 2" xfId="21586" xr:uid="{81DA4EF7-C77B-4F76-A3D4-D945ECB09105}"/>
    <cellStyle name="Normal 2 4 7 8 3" xfId="30032" xr:uid="{6F807BFC-A873-4DB4-867D-DBC4B7E619A8}"/>
    <cellStyle name="Normal 2 4 7 8 4" xfId="13145" xr:uid="{21954971-73FA-4834-827E-5036E2F5D21F}"/>
    <cellStyle name="Normal 2 4 7 9" xfId="17368" xr:uid="{25C33185-618A-4CEA-AB5F-297BAC6F8285}"/>
    <cellStyle name="Normal 2 4 8" xfId="314" xr:uid="{00000000-0005-0000-0000-0000FD100000}"/>
    <cellStyle name="Normal 2 4 8 10" xfId="8929" xr:uid="{989F24A4-6C25-469E-AA54-BB5A6D8687F9}"/>
    <cellStyle name="Normal 2 4 8 2" xfId="802" xr:uid="{00000000-0005-0000-0000-0000FE100000}"/>
    <cellStyle name="Normal 2 4 8 2 2" xfId="3041" xr:uid="{00000000-0005-0000-0000-0000FF100000}"/>
    <cellStyle name="Normal 2 4 8 2 2 2" xfId="7264" xr:uid="{00000000-0005-0000-0000-000000110000}"/>
    <cellStyle name="Normal 2 4 8 2 2 2 2" xfId="24147" xr:uid="{6CBB1D2C-F0EB-4E4C-A741-A29BA30078DE}"/>
    <cellStyle name="Normal 2 4 8 2 2 2 3" xfId="32593" xr:uid="{D244FF88-AE8C-401A-8B0F-F2D941E07AF1}"/>
    <cellStyle name="Normal 2 4 8 2 2 2 4" xfId="15706" xr:uid="{A7603DD5-BF44-487D-BAB3-20385556AF2B}"/>
    <cellStyle name="Normal 2 4 8 2 2 3" xfId="19929" xr:uid="{31BE74DA-24A8-402D-9F3B-566333444A48}"/>
    <cellStyle name="Normal 2 4 8 2 2 4" xfId="28376" xr:uid="{706CBD55-D583-4A3D-8A7B-1A08EB9B251F}"/>
    <cellStyle name="Normal 2 4 8 2 2 5" xfId="11488" xr:uid="{8A36D63B-34D6-40E4-B296-FB1D79A6DBF9}"/>
    <cellStyle name="Normal 2 4 8 2 3" xfId="5119" xr:uid="{00000000-0005-0000-0000-000001110000}"/>
    <cellStyle name="Normal 2 4 8 2 3 2" xfId="22002" xr:uid="{1D1D3C06-8521-4A41-B156-8A16FEBF3755}"/>
    <cellStyle name="Normal 2 4 8 2 3 3" xfId="30448" xr:uid="{0B88CB6B-3288-4892-8E68-CF95B411BD08}"/>
    <cellStyle name="Normal 2 4 8 2 3 4" xfId="13561" xr:uid="{35373BD1-DFCD-476A-AC69-C420741A0213}"/>
    <cellStyle name="Normal 2 4 8 2 4" xfId="17784" xr:uid="{52689840-37C1-427C-AA91-8F3E60FC59CA}"/>
    <cellStyle name="Normal 2 4 8 2 5" xfId="26229" xr:uid="{C100AB6A-D06C-4AE9-8C66-74DCD6ED7212}"/>
    <cellStyle name="Normal 2 4 8 2 6" xfId="9343" xr:uid="{94705B36-E25D-4670-896F-43DA4A075E21}"/>
    <cellStyle name="Normal 2 4 8 3" xfId="1224" xr:uid="{00000000-0005-0000-0000-000002110000}"/>
    <cellStyle name="Normal 2 4 8 3 2" xfId="3454" xr:uid="{00000000-0005-0000-0000-000003110000}"/>
    <cellStyle name="Normal 2 4 8 3 2 2" xfId="7677" xr:uid="{00000000-0005-0000-0000-000004110000}"/>
    <cellStyle name="Normal 2 4 8 3 2 2 2" xfId="24560" xr:uid="{FA95EE11-D9C8-44CC-BABC-FE1B38849158}"/>
    <cellStyle name="Normal 2 4 8 3 2 2 3" xfId="33006" xr:uid="{8E5958FA-921A-4B32-AE97-44A6C047841F}"/>
    <cellStyle name="Normal 2 4 8 3 2 2 4" xfId="16119" xr:uid="{26B8C515-9590-4F12-9933-4D9D29FC633D}"/>
    <cellStyle name="Normal 2 4 8 3 2 3" xfId="20342" xr:uid="{5082BEFD-909F-4B17-8921-C4A293986127}"/>
    <cellStyle name="Normal 2 4 8 3 2 4" xfId="28789" xr:uid="{8819F88E-455C-4225-A266-73FC46FE9086}"/>
    <cellStyle name="Normal 2 4 8 3 2 5" xfId="11901" xr:uid="{7A23575A-D0C9-48FB-8D17-E6774989AD33}"/>
    <cellStyle name="Normal 2 4 8 3 3" xfId="5532" xr:uid="{00000000-0005-0000-0000-000005110000}"/>
    <cellStyle name="Normal 2 4 8 3 3 2" xfId="22415" xr:uid="{62E2BFAA-9B31-4536-8E3E-275F5833A08A}"/>
    <cellStyle name="Normal 2 4 8 3 3 3" xfId="30861" xr:uid="{8075915D-9D6A-4AE2-99BE-91173F5AA817}"/>
    <cellStyle name="Normal 2 4 8 3 3 4" xfId="13974" xr:uid="{EEBCBEC2-F32A-4F50-9660-C7466D5A5612}"/>
    <cellStyle name="Normal 2 4 8 3 4" xfId="18197" xr:uid="{F17C04B2-0D25-4207-A04D-B8A5423655E2}"/>
    <cellStyle name="Normal 2 4 8 3 5" xfId="26642" xr:uid="{4894BF17-4FF2-489B-80F1-69DB7387CB6A}"/>
    <cellStyle name="Normal 2 4 8 3 6" xfId="9756" xr:uid="{CC8A56AC-F031-4131-A399-898916F1F5CA}"/>
    <cellStyle name="Normal 2 4 8 4" xfId="1637" xr:uid="{00000000-0005-0000-0000-000006110000}"/>
    <cellStyle name="Normal 2 4 8 4 2" xfId="3867" xr:uid="{00000000-0005-0000-0000-000007110000}"/>
    <cellStyle name="Normal 2 4 8 4 2 2" xfId="8090" xr:uid="{00000000-0005-0000-0000-000008110000}"/>
    <cellStyle name="Normal 2 4 8 4 2 2 2" xfId="24973" xr:uid="{D9ADE9B4-3EC4-42A7-8351-1F0A7E345D07}"/>
    <cellStyle name="Normal 2 4 8 4 2 2 3" xfId="33419" xr:uid="{9E284FED-3E8C-43AD-B296-5A09A3476143}"/>
    <cellStyle name="Normal 2 4 8 4 2 2 4" xfId="16532" xr:uid="{1CD885E6-FED6-4748-9880-B753ED9DA653}"/>
    <cellStyle name="Normal 2 4 8 4 2 3" xfId="20755" xr:uid="{9D65BCEE-480D-4BE6-8747-8C210B5A3393}"/>
    <cellStyle name="Normal 2 4 8 4 2 4" xfId="29202" xr:uid="{E8EFD2B9-BC2C-4A6B-B2AF-376A0540C436}"/>
    <cellStyle name="Normal 2 4 8 4 2 5" xfId="12314" xr:uid="{3AF47FED-945D-4330-A785-6A21A8925D3E}"/>
    <cellStyle name="Normal 2 4 8 4 3" xfId="5945" xr:uid="{00000000-0005-0000-0000-000009110000}"/>
    <cellStyle name="Normal 2 4 8 4 3 2" xfId="22828" xr:uid="{B9B22591-81AF-49A1-8C11-C46ABF363454}"/>
    <cellStyle name="Normal 2 4 8 4 3 3" xfId="31274" xr:uid="{1C208BF6-A326-4C9D-9D94-B69D67CD4E27}"/>
    <cellStyle name="Normal 2 4 8 4 3 4" xfId="14387" xr:uid="{4BA7FFA2-BA43-47DA-9C7E-5D17FF992BB7}"/>
    <cellStyle name="Normal 2 4 8 4 4" xfId="18610" xr:uid="{C0187D11-088C-4B16-8E8E-B2F070A099E3}"/>
    <cellStyle name="Normal 2 4 8 4 5" xfId="27055" xr:uid="{5A5C8BC8-3CE6-4754-8A4E-010134CCAF9C}"/>
    <cellStyle name="Normal 2 4 8 4 6" xfId="10169" xr:uid="{3E9F3F2D-F64F-4D68-8FE1-630223E02001}"/>
    <cellStyle name="Normal 2 4 8 5" xfId="2051" xr:uid="{00000000-0005-0000-0000-00000A110000}"/>
    <cellStyle name="Normal 2 4 8 5 2" xfId="4280" xr:uid="{00000000-0005-0000-0000-00000B110000}"/>
    <cellStyle name="Normal 2 4 8 5 2 2" xfId="8503" xr:uid="{00000000-0005-0000-0000-00000C110000}"/>
    <cellStyle name="Normal 2 4 8 5 2 2 2" xfId="25386" xr:uid="{9288435A-C3E9-420F-827A-BD365FEDDD0D}"/>
    <cellStyle name="Normal 2 4 8 5 2 2 3" xfId="33832" xr:uid="{C46CDD40-A6BC-435F-BD8E-E1B6EAA749CA}"/>
    <cellStyle name="Normal 2 4 8 5 2 2 4" xfId="16945" xr:uid="{A70DE5FB-8551-4A2C-BA06-8A4BB050D353}"/>
    <cellStyle name="Normal 2 4 8 5 2 3" xfId="21168" xr:uid="{D4F568F6-D946-488F-A109-4C15679E6281}"/>
    <cellStyle name="Normal 2 4 8 5 2 4" xfId="29615" xr:uid="{2D7877F6-3B07-4D1D-BFA5-EE06B442CA7E}"/>
    <cellStyle name="Normal 2 4 8 5 2 5" xfId="12727" xr:uid="{CBA5AC37-98A2-49C7-9F9E-95E245D936A5}"/>
    <cellStyle name="Normal 2 4 8 5 3" xfId="6358" xr:uid="{00000000-0005-0000-0000-00000D110000}"/>
    <cellStyle name="Normal 2 4 8 5 3 2" xfId="23241" xr:uid="{C414049E-EE0E-4A88-B965-30515976275C}"/>
    <cellStyle name="Normal 2 4 8 5 3 3" xfId="31687" xr:uid="{7FA3FAA3-8F2F-4DD9-B21A-3839DC028DDB}"/>
    <cellStyle name="Normal 2 4 8 5 3 4" xfId="14800" xr:uid="{0B8745F3-5BB4-43B2-9198-8E391CAF6833}"/>
    <cellStyle name="Normal 2 4 8 5 4" xfId="19023" xr:uid="{4E4FD7EB-F27E-4D71-A3CA-ACB59E2EBFC4}"/>
    <cellStyle name="Normal 2 4 8 5 5" xfId="27468" xr:uid="{86CF8043-8EA0-4B4C-A900-621FE2A8449D}"/>
    <cellStyle name="Normal 2 4 8 5 6" xfId="10582" xr:uid="{8E124537-B56F-47E4-A097-BD75D932C001}"/>
    <cellStyle name="Normal 2 4 8 6" xfId="2487" xr:uid="{00000000-0005-0000-0000-00000E110000}"/>
    <cellStyle name="Normal 2 4 8 6 2" xfId="6771" xr:uid="{00000000-0005-0000-0000-00000F110000}"/>
    <cellStyle name="Normal 2 4 8 6 2 2" xfId="23654" xr:uid="{34AB5631-3DAF-40C2-B9D8-278625EC5C5E}"/>
    <cellStyle name="Normal 2 4 8 6 2 3" xfId="32100" xr:uid="{F2109C81-3326-4245-8C3C-444D7A3C9D6C}"/>
    <cellStyle name="Normal 2 4 8 6 2 4" xfId="15213" xr:uid="{8C3AA7FC-B775-4D80-A525-E36419BA5EC1}"/>
    <cellStyle name="Normal 2 4 8 6 3" xfId="19436" xr:uid="{06C9F62C-501D-4EC6-8A93-CEAC357A4DC8}"/>
    <cellStyle name="Normal 2 4 8 6 4" xfId="27881" xr:uid="{772A407A-10E3-445A-BB83-E02C65A320B0}"/>
    <cellStyle name="Normal 2 4 8 6 5" xfId="10995" xr:uid="{AD8687B9-288D-4049-B4AA-1A4CF4898759}"/>
    <cellStyle name="Normal 2 4 8 7" xfId="4705" xr:uid="{00000000-0005-0000-0000-000010110000}"/>
    <cellStyle name="Normal 2 4 8 7 2" xfId="21588" xr:uid="{AF9FC936-4D4A-40E0-919B-AC02D754AD0D}"/>
    <cellStyle name="Normal 2 4 8 7 3" xfId="30034" xr:uid="{6AD9783C-48A0-4C04-A871-FE203FAC0629}"/>
    <cellStyle name="Normal 2 4 8 7 4" xfId="13147" xr:uid="{092DC20B-C4BD-4751-8862-44E83E0ACC0E}"/>
    <cellStyle name="Normal 2 4 8 8" xfId="17370" xr:uid="{0C85F627-BEF0-4701-BA17-C3FB434C19F9}"/>
    <cellStyle name="Normal 2 4 8 9" xfId="25814" xr:uid="{9E8ADE61-60ED-45B7-BADC-4F59FAF1EF15}"/>
    <cellStyle name="Normal 2 5" xfId="315" xr:uid="{00000000-0005-0000-0000-000011110000}"/>
    <cellStyle name="Normal 2 5 10" xfId="4706" xr:uid="{00000000-0005-0000-0000-000012110000}"/>
    <cellStyle name="Normal 2 5 10 2" xfId="21589" xr:uid="{FF2CC648-98BC-42C9-A1F0-95092B12C12C}"/>
    <cellStyle name="Normal 2 5 10 3" xfId="30035" xr:uid="{AE631E8A-61AF-495B-A3CB-EDF408671E67}"/>
    <cellStyle name="Normal 2 5 10 4" xfId="13148" xr:uid="{6624F598-5EA2-44C6-83DB-06F9EC350735}"/>
    <cellStyle name="Normal 2 5 11" xfId="17371" xr:uid="{BDB8A5D3-5B79-4FFE-8D6D-0BDA13E2E0DD}"/>
    <cellStyle name="Normal 2 5 12" xfId="25815" xr:uid="{BD5BBEB5-8320-4A8D-BCCD-E719AAA8A879}"/>
    <cellStyle name="Normal 2 5 13" xfId="34131" xr:uid="{355BDC92-53A9-41AF-875B-7B6C38F54DAE}"/>
    <cellStyle name="Normal 2 5 14" xfId="8930" xr:uid="{C2D94C78-0B79-46FB-A663-FC73765508C6}"/>
    <cellStyle name="Normal 2 5 2" xfId="316" xr:uid="{00000000-0005-0000-0000-000013110000}"/>
    <cellStyle name="Normal 2 5 2 2" xfId="34067" xr:uid="{76B7D26B-2832-499A-8B14-6849F5D5DEF6}"/>
    <cellStyle name="Normal 2 5 3" xfId="317" xr:uid="{00000000-0005-0000-0000-000014110000}"/>
    <cellStyle name="Normal 2 5 4" xfId="318" xr:uid="{00000000-0005-0000-0000-000015110000}"/>
    <cellStyle name="Normal 2 5 4 10" xfId="17372" xr:uid="{218D2184-FCC4-45E3-AE46-D399C310DEB1}"/>
    <cellStyle name="Normal 2 5 4 11" xfId="25816" xr:uid="{0FF5E2BE-C2A9-4578-ADE0-F43661A5C69D}"/>
    <cellStyle name="Normal 2 5 4 12" xfId="8931" xr:uid="{270D321F-8B34-4BEA-B62B-D568661AD25A}"/>
    <cellStyle name="Normal 2 5 4 2" xfId="319" xr:uid="{00000000-0005-0000-0000-000016110000}"/>
    <cellStyle name="Normal 2 5 4 2 10" xfId="25817" xr:uid="{BBF45C55-D371-4127-8A61-0907ED68E8DC}"/>
    <cellStyle name="Normal 2 5 4 2 11" xfId="8932" xr:uid="{93810C1C-CCCA-40E7-8053-095A322D20FC}"/>
    <cellStyle name="Normal 2 5 4 2 2" xfId="320" xr:uid="{00000000-0005-0000-0000-000017110000}"/>
    <cellStyle name="Normal 2 5 4 2 2 10" xfId="8933" xr:uid="{B949FA4C-21CE-485C-A30F-3710A47513F6}"/>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24151" xr:uid="{83F5AC52-1892-4E55-B92B-4BA27468D053}"/>
    <cellStyle name="Normal 2 5 4 2 2 2 2 2 3" xfId="32597" xr:uid="{55708DAB-EDBC-40C2-8982-EE04DC889F32}"/>
    <cellStyle name="Normal 2 5 4 2 2 2 2 2 4" xfId="15710" xr:uid="{869B25E2-3EE0-45D0-8535-846B6D2412E1}"/>
    <cellStyle name="Normal 2 5 4 2 2 2 2 3" xfId="19933" xr:uid="{27078549-3570-4A4B-A8D0-DC6965180F80}"/>
    <cellStyle name="Normal 2 5 4 2 2 2 2 4" xfId="28380" xr:uid="{8DBFBC22-9A91-441E-BFD3-262441010534}"/>
    <cellStyle name="Normal 2 5 4 2 2 2 2 5" xfId="11492" xr:uid="{E0493337-F31B-444E-887A-C4FF225BB9D0}"/>
    <cellStyle name="Normal 2 5 4 2 2 2 3" xfId="5123" xr:uid="{00000000-0005-0000-0000-00001B110000}"/>
    <cellStyle name="Normal 2 5 4 2 2 2 3 2" xfId="22006" xr:uid="{1130120D-FBB8-46F2-BAB0-F05BFF94F1A4}"/>
    <cellStyle name="Normal 2 5 4 2 2 2 3 3" xfId="30452" xr:uid="{F895F992-5943-4F0A-88D7-BDEBDE539910}"/>
    <cellStyle name="Normal 2 5 4 2 2 2 3 4" xfId="13565" xr:uid="{1CD06CCF-F6AC-4C9B-8A03-3C8CC1C18BE8}"/>
    <cellStyle name="Normal 2 5 4 2 2 2 4" xfId="17788" xr:uid="{DB856DEF-D8EE-41CB-B26B-CA18FF6BF00D}"/>
    <cellStyle name="Normal 2 5 4 2 2 2 5" xfId="26233" xr:uid="{62DBBD7B-283E-4EB6-8399-1B14FFF74A52}"/>
    <cellStyle name="Normal 2 5 4 2 2 2 6" xfId="9347" xr:uid="{0A198D9D-0EF5-4304-AE8C-834849292202}"/>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24564" xr:uid="{DFEA6C8E-19A6-4950-AB54-E96F588036ED}"/>
    <cellStyle name="Normal 2 5 4 2 2 3 2 2 3" xfId="33010" xr:uid="{9449F694-0B70-4F24-8A36-0BF2AEA9424C}"/>
    <cellStyle name="Normal 2 5 4 2 2 3 2 2 4" xfId="16123" xr:uid="{7E7EF459-550C-46F7-908F-A5E3EC068473}"/>
    <cellStyle name="Normal 2 5 4 2 2 3 2 3" xfId="20346" xr:uid="{279BA88A-0C97-4C3F-8156-28FC2CA9EA9D}"/>
    <cellStyle name="Normal 2 5 4 2 2 3 2 4" xfId="28793" xr:uid="{5B302FDC-B718-4754-AA1B-7F1BF25845FE}"/>
    <cellStyle name="Normal 2 5 4 2 2 3 2 5" xfId="11905" xr:uid="{ED6F24A4-EFD6-4E07-AB00-340762EC34CC}"/>
    <cellStyle name="Normal 2 5 4 2 2 3 3" xfId="5536" xr:uid="{00000000-0005-0000-0000-00001F110000}"/>
    <cellStyle name="Normal 2 5 4 2 2 3 3 2" xfId="22419" xr:uid="{FE7B50BF-3C3C-45FD-BDE9-B66BDD38E979}"/>
    <cellStyle name="Normal 2 5 4 2 2 3 3 3" xfId="30865" xr:uid="{05D7F524-FDE6-46CA-AC9D-CD306C7810BC}"/>
    <cellStyle name="Normal 2 5 4 2 2 3 3 4" xfId="13978" xr:uid="{C79EE06B-5443-4C0D-A2F3-8CDD39612FE1}"/>
    <cellStyle name="Normal 2 5 4 2 2 3 4" xfId="18201" xr:uid="{61E6156C-F6DD-4D8A-868A-357AC1B1C475}"/>
    <cellStyle name="Normal 2 5 4 2 2 3 5" xfId="26646" xr:uid="{63FECE03-1544-4309-AF11-417AF592B153}"/>
    <cellStyle name="Normal 2 5 4 2 2 3 6" xfId="9760" xr:uid="{D3624AD1-770B-44D3-8B53-39A3AC516CBB}"/>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24977" xr:uid="{FF04E4D8-ED06-42E4-BF05-CA33D8AB03E3}"/>
    <cellStyle name="Normal 2 5 4 2 2 4 2 2 3" xfId="33423" xr:uid="{D2177339-A644-4FCB-B022-90CD26D98CA7}"/>
    <cellStyle name="Normal 2 5 4 2 2 4 2 2 4" xfId="16536" xr:uid="{ACFAC433-97EA-4C36-A9DA-974BA92D2E33}"/>
    <cellStyle name="Normal 2 5 4 2 2 4 2 3" xfId="20759" xr:uid="{64F6CD8E-0D58-47BA-A554-2A8BEFF6EA46}"/>
    <cellStyle name="Normal 2 5 4 2 2 4 2 4" xfId="29206" xr:uid="{44808A02-569F-467C-A290-0A7C81596DCD}"/>
    <cellStyle name="Normal 2 5 4 2 2 4 2 5" xfId="12318" xr:uid="{0E724B3E-E375-4ACD-9048-6E0237EE8BFC}"/>
    <cellStyle name="Normal 2 5 4 2 2 4 3" xfId="5949" xr:uid="{00000000-0005-0000-0000-000023110000}"/>
    <cellStyle name="Normal 2 5 4 2 2 4 3 2" xfId="22832" xr:uid="{BEB0CC12-A2C0-4129-836A-F5FF942B7227}"/>
    <cellStyle name="Normal 2 5 4 2 2 4 3 3" xfId="31278" xr:uid="{48B29FA7-B7C2-40B1-B6EB-62247EC9017E}"/>
    <cellStyle name="Normal 2 5 4 2 2 4 3 4" xfId="14391" xr:uid="{24119093-B428-4E6D-A3E4-A64787E84D40}"/>
    <cellStyle name="Normal 2 5 4 2 2 4 4" xfId="18614" xr:uid="{3648A995-8618-4CFA-B9AB-ABEBDCFA6654}"/>
    <cellStyle name="Normal 2 5 4 2 2 4 5" xfId="27059" xr:uid="{2C7D9A46-DCF2-4C73-B371-F0A725551ABF}"/>
    <cellStyle name="Normal 2 5 4 2 2 4 6" xfId="10173" xr:uid="{965BCEE3-5898-44A1-8904-D3A841E5C29E}"/>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25390" xr:uid="{BAC3C249-9548-4A39-A2AD-5E0DEB6DE849}"/>
    <cellStyle name="Normal 2 5 4 2 2 5 2 2 3" xfId="33836" xr:uid="{91232E6F-0A0F-437E-95DC-A85A2161E6E6}"/>
    <cellStyle name="Normal 2 5 4 2 2 5 2 2 4" xfId="16949" xr:uid="{F989251C-C8FD-40B8-BB30-EAE0A2101F39}"/>
    <cellStyle name="Normal 2 5 4 2 2 5 2 3" xfId="21172" xr:uid="{6A4BC8B9-5087-42CF-BCC6-F1EAE7C6E9CF}"/>
    <cellStyle name="Normal 2 5 4 2 2 5 2 4" xfId="29619" xr:uid="{8458C00F-5EBA-401F-B66D-9E2DF0898D77}"/>
    <cellStyle name="Normal 2 5 4 2 2 5 2 5" xfId="12731" xr:uid="{B743E70B-C5D2-4D7E-9CEE-DFF126EA4191}"/>
    <cellStyle name="Normal 2 5 4 2 2 5 3" xfId="6362" xr:uid="{00000000-0005-0000-0000-000027110000}"/>
    <cellStyle name="Normal 2 5 4 2 2 5 3 2" xfId="23245" xr:uid="{3F8E7278-09D0-4D75-B694-85B2BFAAAA27}"/>
    <cellStyle name="Normal 2 5 4 2 2 5 3 3" xfId="31691" xr:uid="{6C7F5A83-B5D2-4660-8011-BB02E23B1E2C}"/>
    <cellStyle name="Normal 2 5 4 2 2 5 3 4" xfId="14804" xr:uid="{6A353E21-6DE5-4A5E-8E9C-CA65F5C66461}"/>
    <cellStyle name="Normal 2 5 4 2 2 5 4" xfId="19027" xr:uid="{477191CD-4D82-46FB-89A6-99ACE7515B37}"/>
    <cellStyle name="Normal 2 5 4 2 2 5 5" xfId="27472" xr:uid="{C3E062E2-21E7-4401-9007-943370205D46}"/>
    <cellStyle name="Normal 2 5 4 2 2 5 6" xfId="10586" xr:uid="{71032910-042E-4CF4-8D55-68EC4CA45C00}"/>
    <cellStyle name="Normal 2 5 4 2 2 6" xfId="2491" xr:uid="{00000000-0005-0000-0000-000028110000}"/>
    <cellStyle name="Normal 2 5 4 2 2 6 2" xfId="6775" xr:uid="{00000000-0005-0000-0000-000029110000}"/>
    <cellStyle name="Normal 2 5 4 2 2 6 2 2" xfId="23658" xr:uid="{71E573A2-1FCC-43E4-9932-8A50BBC820FA}"/>
    <cellStyle name="Normal 2 5 4 2 2 6 2 3" xfId="32104" xr:uid="{237E6876-30C0-4F98-AC16-DD0014C552D0}"/>
    <cellStyle name="Normal 2 5 4 2 2 6 2 4" xfId="15217" xr:uid="{0B8E6DAF-C5A6-4C43-9BF3-C814F7D1205E}"/>
    <cellStyle name="Normal 2 5 4 2 2 6 3" xfId="19440" xr:uid="{6E659185-C187-4D47-80B8-44A97FAEBF52}"/>
    <cellStyle name="Normal 2 5 4 2 2 6 4" xfId="27885" xr:uid="{38F095E0-3452-4290-BA6C-2192D881B593}"/>
    <cellStyle name="Normal 2 5 4 2 2 6 5" xfId="10999" xr:uid="{6E6ECC54-A766-4C0F-9F20-CB8593190B3C}"/>
    <cellStyle name="Normal 2 5 4 2 2 7" xfId="4709" xr:uid="{00000000-0005-0000-0000-00002A110000}"/>
    <cellStyle name="Normal 2 5 4 2 2 7 2" xfId="21592" xr:uid="{CDCF5A66-96E4-4420-9EC0-00706866F7AA}"/>
    <cellStyle name="Normal 2 5 4 2 2 7 3" xfId="30038" xr:uid="{CB98D0C0-503C-49FD-9578-697C46BBDF0D}"/>
    <cellStyle name="Normal 2 5 4 2 2 7 4" xfId="13151" xr:uid="{EC4F43C5-71DA-434D-9698-5DEEB7FDB487}"/>
    <cellStyle name="Normal 2 5 4 2 2 8" xfId="17374" xr:uid="{D71796BF-8E8F-4C8B-BC4B-DB23A1300D44}"/>
    <cellStyle name="Normal 2 5 4 2 2 9" xfId="25818" xr:uid="{6547263A-CC62-4F6F-966F-9E5982DE519F}"/>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24150" xr:uid="{91226E79-22FB-4F45-B65A-AFD27243DFC5}"/>
    <cellStyle name="Normal 2 5 4 2 3 2 2 3" xfId="32596" xr:uid="{3D4668C8-81FE-46FD-8CF2-C66CD129912C}"/>
    <cellStyle name="Normal 2 5 4 2 3 2 2 4" xfId="15709" xr:uid="{7DC3C943-11EA-44F6-8F2F-383F945DF387}"/>
    <cellStyle name="Normal 2 5 4 2 3 2 3" xfId="19932" xr:uid="{1F49B840-FA0A-49DE-B7B7-E3FD7FC64C1E}"/>
    <cellStyle name="Normal 2 5 4 2 3 2 4" xfId="28379" xr:uid="{2EF34471-D662-4153-B1C2-8B3577A29AE0}"/>
    <cellStyle name="Normal 2 5 4 2 3 2 5" xfId="11491" xr:uid="{8845FB11-C073-43CB-901D-AAE3EBFA22B3}"/>
    <cellStyle name="Normal 2 5 4 2 3 3" xfId="5122" xr:uid="{00000000-0005-0000-0000-00002E110000}"/>
    <cellStyle name="Normal 2 5 4 2 3 3 2" xfId="22005" xr:uid="{02260C04-1EB6-47B3-B87B-5BFB5C0D5BC0}"/>
    <cellStyle name="Normal 2 5 4 2 3 3 3" xfId="30451" xr:uid="{91A39D9E-6ADD-40E8-8493-9DF2ACC4D5EA}"/>
    <cellStyle name="Normal 2 5 4 2 3 3 4" xfId="13564" xr:uid="{4706BE64-956A-4A8F-A961-2370C392E812}"/>
    <cellStyle name="Normal 2 5 4 2 3 4" xfId="17787" xr:uid="{82FD4658-F98B-425F-A047-C9116590B255}"/>
    <cellStyle name="Normal 2 5 4 2 3 5" xfId="26232" xr:uid="{CACC0299-258B-4FD6-8D89-13135A5C1423}"/>
    <cellStyle name="Normal 2 5 4 2 3 6" xfId="9346" xr:uid="{F360B1C0-CB45-48C0-AE70-44276DA4331F}"/>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24563" xr:uid="{5F15E39B-0DE3-4A10-82BB-270D14C7F477}"/>
    <cellStyle name="Normal 2 5 4 2 4 2 2 3" xfId="33009" xr:uid="{7AEED90E-230C-45C5-ACCD-2F51CA4FC158}"/>
    <cellStyle name="Normal 2 5 4 2 4 2 2 4" xfId="16122" xr:uid="{BD010AA5-81F8-40E2-B178-986036B8B563}"/>
    <cellStyle name="Normal 2 5 4 2 4 2 3" xfId="20345" xr:uid="{EB381198-3B74-40C5-A441-70542675D736}"/>
    <cellStyle name="Normal 2 5 4 2 4 2 4" xfId="28792" xr:uid="{02127675-C65C-410B-9892-63E3798C2F53}"/>
    <cellStyle name="Normal 2 5 4 2 4 2 5" xfId="11904" xr:uid="{B3C6F48F-B0AC-4650-8A56-0A8F1CC54630}"/>
    <cellStyle name="Normal 2 5 4 2 4 3" xfId="5535" xr:uid="{00000000-0005-0000-0000-000032110000}"/>
    <cellStyle name="Normal 2 5 4 2 4 3 2" xfId="22418" xr:uid="{F2DCBD7F-E9FC-4A0F-B47A-DE2A08CE43C7}"/>
    <cellStyle name="Normal 2 5 4 2 4 3 3" xfId="30864" xr:uid="{ED0F0129-FD92-44D3-82BE-A7A874A3B746}"/>
    <cellStyle name="Normal 2 5 4 2 4 3 4" xfId="13977" xr:uid="{0DFE8309-8F4F-4E1E-8A75-0D9B0DC22DF9}"/>
    <cellStyle name="Normal 2 5 4 2 4 4" xfId="18200" xr:uid="{F965517A-DEBB-491B-90E6-B74573C31868}"/>
    <cellStyle name="Normal 2 5 4 2 4 5" xfId="26645" xr:uid="{E07B130C-DBCC-4F22-AD2E-0FEC75FA9D82}"/>
    <cellStyle name="Normal 2 5 4 2 4 6" xfId="9759" xr:uid="{D08907FE-BA2E-4389-AEE6-B519CA952322}"/>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24976" xr:uid="{E379C1C0-ECDD-4421-BD4E-C9B72352A689}"/>
    <cellStyle name="Normal 2 5 4 2 5 2 2 3" xfId="33422" xr:uid="{2837077A-FFC2-44C3-B974-666528DE9210}"/>
    <cellStyle name="Normal 2 5 4 2 5 2 2 4" xfId="16535" xr:uid="{0B91447D-8410-4294-A096-92FBB5C72A37}"/>
    <cellStyle name="Normal 2 5 4 2 5 2 3" xfId="20758" xr:uid="{FCF96247-2694-42CD-B3F8-93D08AF8A3B8}"/>
    <cellStyle name="Normal 2 5 4 2 5 2 4" xfId="29205" xr:uid="{EFA8353B-7C5A-46FA-ADBF-921337475E06}"/>
    <cellStyle name="Normal 2 5 4 2 5 2 5" xfId="12317" xr:uid="{4FBF58B9-0AD1-4534-A444-D045A6DD2DF7}"/>
    <cellStyle name="Normal 2 5 4 2 5 3" xfId="5948" xr:uid="{00000000-0005-0000-0000-000036110000}"/>
    <cellStyle name="Normal 2 5 4 2 5 3 2" xfId="22831" xr:uid="{A78B04C8-28EB-4CB5-B968-BC0A89743714}"/>
    <cellStyle name="Normal 2 5 4 2 5 3 3" xfId="31277" xr:uid="{D0BD79E3-7A20-475F-8F0A-06F97662DA29}"/>
    <cellStyle name="Normal 2 5 4 2 5 3 4" xfId="14390" xr:uid="{FE72B898-D7B6-4E0C-B3EE-738267E37FDE}"/>
    <cellStyle name="Normal 2 5 4 2 5 4" xfId="18613" xr:uid="{0B08CA69-E5AB-4CB3-A8A9-DEFCE2111EAD}"/>
    <cellStyle name="Normal 2 5 4 2 5 5" xfId="27058" xr:uid="{6C24C4FF-8EFF-409B-A930-9FC7F3703220}"/>
    <cellStyle name="Normal 2 5 4 2 5 6" xfId="10172" xr:uid="{CF5F93B8-7EF7-4D34-9BE1-C6D03269C070}"/>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25389" xr:uid="{821CFF05-90CF-4365-97A1-24EE96A9D99B}"/>
    <cellStyle name="Normal 2 5 4 2 6 2 2 3" xfId="33835" xr:uid="{F1385EAF-2DCB-4813-A47F-FA30F1D03821}"/>
    <cellStyle name="Normal 2 5 4 2 6 2 2 4" xfId="16948" xr:uid="{C6992CA6-786F-4D41-ADE5-CEA42DDA0CBF}"/>
    <cellStyle name="Normal 2 5 4 2 6 2 3" xfId="21171" xr:uid="{54405AB7-6831-4E1D-B669-5558EEB76C8E}"/>
    <cellStyle name="Normal 2 5 4 2 6 2 4" xfId="29618" xr:uid="{120B822D-BFBE-4BBA-8779-EFA402924512}"/>
    <cellStyle name="Normal 2 5 4 2 6 2 5" xfId="12730" xr:uid="{E2993B11-01BD-4B7D-B05E-E9C6BAB1A5AB}"/>
    <cellStyle name="Normal 2 5 4 2 6 3" xfId="6361" xr:uid="{00000000-0005-0000-0000-00003A110000}"/>
    <cellStyle name="Normal 2 5 4 2 6 3 2" xfId="23244" xr:uid="{E37FE1E0-56FC-47E0-AAFA-2304F9714F21}"/>
    <cellStyle name="Normal 2 5 4 2 6 3 3" xfId="31690" xr:uid="{9C027BFD-FF65-4A5E-A19C-DF7F8C0EEFE7}"/>
    <cellStyle name="Normal 2 5 4 2 6 3 4" xfId="14803" xr:uid="{BE61B89A-4E38-475C-819B-8294B7AFFF87}"/>
    <cellStyle name="Normal 2 5 4 2 6 4" xfId="19026" xr:uid="{16EB4A0D-A619-436B-A2CD-F41CBC36F32F}"/>
    <cellStyle name="Normal 2 5 4 2 6 5" xfId="27471" xr:uid="{4DD2C09D-3F6D-4271-BB9A-E5757AE387AF}"/>
    <cellStyle name="Normal 2 5 4 2 6 6" xfId="10585" xr:uid="{2328790B-8CB5-4170-A265-5F1523975299}"/>
    <cellStyle name="Normal 2 5 4 2 7" xfId="2490" xr:uid="{00000000-0005-0000-0000-00003B110000}"/>
    <cellStyle name="Normal 2 5 4 2 7 2" xfId="6774" xr:uid="{00000000-0005-0000-0000-00003C110000}"/>
    <cellStyle name="Normal 2 5 4 2 7 2 2" xfId="23657" xr:uid="{EC30ECD2-82F3-4113-B8A3-5974717D1E29}"/>
    <cellStyle name="Normal 2 5 4 2 7 2 3" xfId="32103" xr:uid="{B0FBEAA2-742E-4CE5-BACE-8263127B7F7A}"/>
    <cellStyle name="Normal 2 5 4 2 7 2 4" xfId="15216" xr:uid="{647566DF-59FF-4AFE-A3EE-BA9CCC0EF26E}"/>
    <cellStyle name="Normal 2 5 4 2 7 3" xfId="19439" xr:uid="{CEAC2C46-2898-4C01-8FB0-AE7D44671930}"/>
    <cellStyle name="Normal 2 5 4 2 7 4" xfId="27884" xr:uid="{6E81826B-B33A-4243-AA5A-3A95B5C2B912}"/>
    <cellStyle name="Normal 2 5 4 2 7 5" xfId="10998" xr:uid="{A4792F58-C8AD-4611-8458-33C7DC7100DF}"/>
    <cellStyle name="Normal 2 5 4 2 8" xfId="4708" xr:uid="{00000000-0005-0000-0000-00003D110000}"/>
    <cellStyle name="Normal 2 5 4 2 8 2" xfId="21591" xr:uid="{37386D15-539A-4D86-8CF9-84C323AD4E86}"/>
    <cellStyle name="Normal 2 5 4 2 8 3" xfId="30037" xr:uid="{3BB2CB9F-C5D8-4800-83FC-66B2F7612874}"/>
    <cellStyle name="Normal 2 5 4 2 8 4" xfId="13150" xr:uid="{0E8D7D25-3D86-4CB2-87AC-06FF5961AA2D}"/>
    <cellStyle name="Normal 2 5 4 2 9" xfId="17373" xr:uid="{882EE1D5-6B97-473C-9802-8F153224FBF4}"/>
    <cellStyle name="Normal 2 5 4 3" xfId="321" xr:uid="{00000000-0005-0000-0000-00003E110000}"/>
    <cellStyle name="Normal 2 5 4 3 10" xfId="8934" xr:uid="{3E2AFA11-ACBD-4D94-BF60-4F4FA364BAFD}"/>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24152" xr:uid="{C21EFAAD-0E25-4706-AFC0-59DCA8B2BFF6}"/>
    <cellStyle name="Normal 2 5 4 3 2 2 2 3" xfId="32598" xr:uid="{E8D11C04-0330-45F9-BCC3-AC9FB374671D}"/>
    <cellStyle name="Normal 2 5 4 3 2 2 2 4" xfId="15711" xr:uid="{0602272A-1ADA-4C22-8E66-D579791DD630}"/>
    <cellStyle name="Normal 2 5 4 3 2 2 3" xfId="19934" xr:uid="{D29B26D0-4371-4774-BEC5-6A23B8F53451}"/>
    <cellStyle name="Normal 2 5 4 3 2 2 4" xfId="28381" xr:uid="{38EBEEDC-5E7B-4B0C-9C82-2B85D6C0AAF1}"/>
    <cellStyle name="Normal 2 5 4 3 2 2 5" xfId="11493" xr:uid="{E398B905-E68C-43EC-AF57-11C34337D73B}"/>
    <cellStyle name="Normal 2 5 4 3 2 3" xfId="5124" xr:uid="{00000000-0005-0000-0000-000042110000}"/>
    <cellStyle name="Normal 2 5 4 3 2 3 2" xfId="22007" xr:uid="{9D8EDDC7-0FBB-4931-B6EA-15882BA2BE01}"/>
    <cellStyle name="Normal 2 5 4 3 2 3 3" xfId="30453" xr:uid="{EDE7AFFB-D731-40B9-B1A7-51713B637125}"/>
    <cellStyle name="Normal 2 5 4 3 2 3 4" xfId="13566" xr:uid="{68876CC8-71BA-4A6E-93CC-A3A4CD306DB1}"/>
    <cellStyle name="Normal 2 5 4 3 2 4" xfId="17789" xr:uid="{407110DB-1598-4C38-B64B-54434CE27F39}"/>
    <cellStyle name="Normal 2 5 4 3 2 5" xfId="26234" xr:uid="{65F76817-6492-4482-90E2-1ADEEA7B3994}"/>
    <cellStyle name="Normal 2 5 4 3 2 6" xfId="9348" xr:uid="{E236F14D-14A6-4298-BD49-3C00BDF4CA3C}"/>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24565" xr:uid="{BCB06279-F92B-48A1-8E2C-09DA609A2121}"/>
    <cellStyle name="Normal 2 5 4 3 3 2 2 3" xfId="33011" xr:uid="{BBA1BC70-9C41-4CA5-BEAA-A212E02DE120}"/>
    <cellStyle name="Normal 2 5 4 3 3 2 2 4" xfId="16124" xr:uid="{AE900EC2-2C9A-4C6E-AE63-8D591461B202}"/>
    <cellStyle name="Normal 2 5 4 3 3 2 3" xfId="20347" xr:uid="{69A1F1A7-2720-4097-BED4-F412600A99C2}"/>
    <cellStyle name="Normal 2 5 4 3 3 2 4" xfId="28794" xr:uid="{8E176105-BCC1-485D-81D0-69C7FEC16338}"/>
    <cellStyle name="Normal 2 5 4 3 3 2 5" xfId="11906" xr:uid="{B2542566-F3D8-4CF7-A95D-4D9B00323E96}"/>
    <cellStyle name="Normal 2 5 4 3 3 3" xfId="5537" xr:uid="{00000000-0005-0000-0000-000046110000}"/>
    <cellStyle name="Normal 2 5 4 3 3 3 2" xfId="22420" xr:uid="{576A75F0-2A25-4241-AC46-C0DB794A553A}"/>
    <cellStyle name="Normal 2 5 4 3 3 3 3" xfId="30866" xr:uid="{A511B439-B9F1-4116-AFBA-25D2D52E4B84}"/>
    <cellStyle name="Normal 2 5 4 3 3 3 4" xfId="13979" xr:uid="{69CC8734-0A0F-4CFA-95AA-DC910C00BB26}"/>
    <cellStyle name="Normal 2 5 4 3 3 4" xfId="18202" xr:uid="{BC756A6F-476E-473F-BF04-A9DF50E6ABEF}"/>
    <cellStyle name="Normal 2 5 4 3 3 5" xfId="26647" xr:uid="{1F5F0006-5688-41BA-B4A5-155B096FFEB4}"/>
    <cellStyle name="Normal 2 5 4 3 3 6" xfId="9761" xr:uid="{EE32B06A-6C7C-43F6-B9E7-0CDA35B86815}"/>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24978" xr:uid="{49395EEB-3ED4-4E0F-85F3-4ADA0A9499E8}"/>
    <cellStyle name="Normal 2 5 4 3 4 2 2 3" xfId="33424" xr:uid="{C9766862-A30A-4A6A-97C7-787AE34602CA}"/>
    <cellStyle name="Normal 2 5 4 3 4 2 2 4" xfId="16537" xr:uid="{7523488D-C3B7-4723-9A16-AABDACDA977D}"/>
    <cellStyle name="Normal 2 5 4 3 4 2 3" xfId="20760" xr:uid="{6782E34A-89D3-49E0-8EE1-41006BEB9C66}"/>
    <cellStyle name="Normal 2 5 4 3 4 2 4" xfId="29207" xr:uid="{B750CF24-7B31-4C67-A59A-714C07B16DA8}"/>
    <cellStyle name="Normal 2 5 4 3 4 2 5" xfId="12319" xr:uid="{AD3682A0-022C-4FD0-99F2-DD226D92A243}"/>
    <cellStyle name="Normal 2 5 4 3 4 3" xfId="5950" xr:uid="{00000000-0005-0000-0000-00004A110000}"/>
    <cellStyle name="Normal 2 5 4 3 4 3 2" xfId="22833" xr:uid="{F7A273A1-A82B-4F7E-86D4-B3637234BB56}"/>
    <cellStyle name="Normal 2 5 4 3 4 3 3" xfId="31279" xr:uid="{C1CA58EF-3AC8-4158-928C-22EFA9D34381}"/>
    <cellStyle name="Normal 2 5 4 3 4 3 4" xfId="14392" xr:uid="{64AEF36C-122C-4A15-89DC-EFEC0F637E51}"/>
    <cellStyle name="Normal 2 5 4 3 4 4" xfId="18615" xr:uid="{3ECD9AC6-5AFA-4C2F-8770-DA8572789588}"/>
    <cellStyle name="Normal 2 5 4 3 4 5" xfId="27060" xr:uid="{4B573264-FC7E-4443-9D21-B0AB500D1F9C}"/>
    <cellStyle name="Normal 2 5 4 3 4 6" xfId="10174" xr:uid="{CD72793F-2952-4454-AC3F-340365854077}"/>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25391" xr:uid="{2EE70490-A487-4E67-A206-B6A4DB78656C}"/>
    <cellStyle name="Normal 2 5 4 3 5 2 2 3" xfId="33837" xr:uid="{D339053D-8BD5-4B22-9A11-0168B4C461DD}"/>
    <cellStyle name="Normal 2 5 4 3 5 2 2 4" xfId="16950" xr:uid="{19AD85C1-D7C4-4CA7-A0F9-9A4EAA88F3B7}"/>
    <cellStyle name="Normal 2 5 4 3 5 2 3" xfId="21173" xr:uid="{6372A288-9312-4B58-844B-D7F989E10B62}"/>
    <cellStyle name="Normal 2 5 4 3 5 2 4" xfId="29620" xr:uid="{E43AC2FC-E48B-4438-BB9B-3E8B615B81B9}"/>
    <cellStyle name="Normal 2 5 4 3 5 2 5" xfId="12732" xr:uid="{AFDF939A-C03B-4E1A-AE85-BC6F55D3D5E5}"/>
    <cellStyle name="Normal 2 5 4 3 5 3" xfId="6363" xr:uid="{00000000-0005-0000-0000-00004E110000}"/>
    <cellStyle name="Normal 2 5 4 3 5 3 2" xfId="23246" xr:uid="{7B2BDF27-B6A1-4420-A8FE-A6B0CC9AEF35}"/>
    <cellStyle name="Normal 2 5 4 3 5 3 3" xfId="31692" xr:uid="{D1B7192B-DC38-40C1-9EF0-7B450153FC3F}"/>
    <cellStyle name="Normal 2 5 4 3 5 3 4" xfId="14805" xr:uid="{0024B5F7-C512-46EE-A427-D01E4C0EC54C}"/>
    <cellStyle name="Normal 2 5 4 3 5 4" xfId="19028" xr:uid="{FA780D00-4356-4810-9BE5-49F2FE321D88}"/>
    <cellStyle name="Normal 2 5 4 3 5 5" xfId="27473" xr:uid="{E9B430E6-7124-400D-BCF2-5C8D8545AE74}"/>
    <cellStyle name="Normal 2 5 4 3 5 6" xfId="10587" xr:uid="{35E8B25F-DE6F-4235-8C85-4105717179B8}"/>
    <cellStyle name="Normal 2 5 4 3 6" xfId="2492" xr:uid="{00000000-0005-0000-0000-00004F110000}"/>
    <cellStyle name="Normal 2 5 4 3 6 2" xfId="6776" xr:uid="{00000000-0005-0000-0000-000050110000}"/>
    <cellStyle name="Normal 2 5 4 3 6 2 2" xfId="23659" xr:uid="{8138C48C-B39F-4429-97F5-FE2359EE31F6}"/>
    <cellStyle name="Normal 2 5 4 3 6 2 3" xfId="32105" xr:uid="{D506754A-F116-4C52-8023-E44F81781190}"/>
    <cellStyle name="Normal 2 5 4 3 6 2 4" xfId="15218" xr:uid="{1C08A368-C1D8-433F-A3E3-C5F5C29D204A}"/>
    <cellStyle name="Normal 2 5 4 3 6 3" xfId="19441" xr:uid="{EF114CF0-CBB2-4B0A-B60A-28CA4A44548E}"/>
    <cellStyle name="Normal 2 5 4 3 6 4" xfId="27886" xr:uid="{6F830BDD-3ABE-4782-9EF9-80C8739674AC}"/>
    <cellStyle name="Normal 2 5 4 3 6 5" xfId="11000" xr:uid="{ED1ACADF-0378-46B2-BAC4-C961C22E3C64}"/>
    <cellStyle name="Normal 2 5 4 3 7" xfId="4710" xr:uid="{00000000-0005-0000-0000-000051110000}"/>
    <cellStyle name="Normal 2 5 4 3 7 2" xfId="21593" xr:uid="{9FFD0BE9-A2EC-44DC-BAA8-06F47FB4CFBE}"/>
    <cellStyle name="Normal 2 5 4 3 7 3" xfId="30039" xr:uid="{4A351297-4366-4614-A95D-BE06A06DB1D5}"/>
    <cellStyle name="Normal 2 5 4 3 7 4" xfId="13152" xr:uid="{FB95D0B2-3359-45DA-97C2-A3A025F3B9ED}"/>
    <cellStyle name="Normal 2 5 4 3 8" xfId="17375" xr:uid="{9C879DD7-C8E5-45F1-A4C1-1243F6FD4F82}"/>
    <cellStyle name="Normal 2 5 4 3 9" xfId="25819" xr:uid="{6527696F-22A7-498C-87C8-E4E6AF4FE9FC}"/>
    <cellStyle name="Normal 2 5 4 4" xfId="804" xr:uid="{00000000-0005-0000-0000-000052110000}"/>
    <cellStyle name="Normal 2 5 4 4 2" xfId="3043" xr:uid="{00000000-0005-0000-0000-000053110000}"/>
    <cellStyle name="Normal 2 5 4 4 2 2" xfId="7266" xr:uid="{00000000-0005-0000-0000-000054110000}"/>
    <cellStyle name="Normal 2 5 4 4 2 2 2" xfId="24149" xr:uid="{109F9957-7237-4767-B798-65C78F000F5D}"/>
    <cellStyle name="Normal 2 5 4 4 2 2 3" xfId="32595" xr:uid="{81682D38-A88F-469F-9DEA-9C2855873F76}"/>
    <cellStyle name="Normal 2 5 4 4 2 2 4" xfId="15708" xr:uid="{BBFC8155-E952-4B5B-A074-4E06F9800BED}"/>
    <cellStyle name="Normal 2 5 4 4 2 3" xfId="19931" xr:uid="{FBDF9F2F-1D86-4F90-9016-6E32C5DEFD40}"/>
    <cellStyle name="Normal 2 5 4 4 2 4" xfId="28378" xr:uid="{208E9D98-0DB6-41CF-98A4-71F68546B87A}"/>
    <cellStyle name="Normal 2 5 4 4 2 5" xfId="11490" xr:uid="{9898F5F1-295B-43B9-8BA5-000755299DA1}"/>
    <cellStyle name="Normal 2 5 4 4 3" xfId="5121" xr:uid="{00000000-0005-0000-0000-000055110000}"/>
    <cellStyle name="Normal 2 5 4 4 3 2" xfId="22004" xr:uid="{BD8AB64B-BAF3-481F-A7D1-073B86C575B3}"/>
    <cellStyle name="Normal 2 5 4 4 3 3" xfId="30450" xr:uid="{4CAFA179-D168-4C2F-B1DB-C2F4B4E19B60}"/>
    <cellStyle name="Normal 2 5 4 4 3 4" xfId="13563" xr:uid="{16B364AB-A4EB-4D11-9009-B0E866C36FE4}"/>
    <cellStyle name="Normal 2 5 4 4 4" xfId="17786" xr:uid="{BBF569EF-CDFE-4167-B798-D10952CD0D6B}"/>
    <cellStyle name="Normal 2 5 4 4 5" xfId="26231" xr:uid="{4623A0ED-AACF-41FE-B0AC-F43CFD2A67A7}"/>
    <cellStyle name="Normal 2 5 4 4 6" xfId="9345" xr:uid="{B1E52D57-7E8E-44AC-BCA7-F0B5F6D0DE0A}"/>
    <cellStyle name="Normal 2 5 4 5" xfId="1226" xr:uid="{00000000-0005-0000-0000-000056110000}"/>
    <cellStyle name="Normal 2 5 4 5 2" xfId="3456" xr:uid="{00000000-0005-0000-0000-000057110000}"/>
    <cellStyle name="Normal 2 5 4 5 2 2" xfId="7679" xr:uid="{00000000-0005-0000-0000-000058110000}"/>
    <cellStyle name="Normal 2 5 4 5 2 2 2" xfId="24562" xr:uid="{DB0374D8-ED3A-42F1-9C91-49D9554CDBCF}"/>
    <cellStyle name="Normal 2 5 4 5 2 2 3" xfId="33008" xr:uid="{EBFC22CA-E4A1-429D-A4E4-88B709D073AB}"/>
    <cellStyle name="Normal 2 5 4 5 2 2 4" xfId="16121" xr:uid="{EB297D91-718D-4821-8D4E-5277ED9EDF39}"/>
    <cellStyle name="Normal 2 5 4 5 2 3" xfId="20344" xr:uid="{6AA04213-A9B0-4366-8720-1D00CF53950E}"/>
    <cellStyle name="Normal 2 5 4 5 2 4" xfId="28791" xr:uid="{8DD16153-C837-4AB0-A444-B3CAC5B35DDC}"/>
    <cellStyle name="Normal 2 5 4 5 2 5" xfId="11903" xr:uid="{5D0D7BE7-6257-47E0-AA5A-9231E3916934}"/>
    <cellStyle name="Normal 2 5 4 5 3" xfId="5534" xr:uid="{00000000-0005-0000-0000-000059110000}"/>
    <cellStyle name="Normal 2 5 4 5 3 2" xfId="22417" xr:uid="{5EF28DF7-8AE3-4786-84ED-377A74508700}"/>
    <cellStyle name="Normal 2 5 4 5 3 3" xfId="30863" xr:uid="{60C007F9-7DDB-4843-BD8B-E47475209EAE}"/>
    <cellStyle name="Normal 2 5 4 5 3 4" xfId="13976" xr:uid="{AC4E2ED1-EEB2-4B79-BBCB-12068012C51D}"/>
    <cellStyle name="Normal 2 5 4 5 4" xfId="18199" xr:uid="{29134761-B92C-4E40-9800-1F207405D438}"/>
    <cellStyle name="Normal 2 5 4 5 5" xfId="26644" xr:uid="{3532A9B3-024F-43A6-A8D6-62429603F354}"/>
    <cellStyle name="Normal 2 5 4 5 6" xfId="9758" xr:uid="{37255303-EC17-459E-AC60-6EEDEB2300EC}"/>
    <cellStyle name="Normal 2 5 4 6" xfId="1639" xr:uid="{00000000-0005-0000-0000-00005A110000}"/>
    <cellStyle name="Normal 2 5 4 6 2" xfId="3869" xr:uid="{00000000-0005-0000-0000-00005B110000}"/>
    <cellStyle name="Normal 2 5 4 6 2 2" xfId="8092" xr:uid="{00000000-0005-0000-0000-00005C110000}"/>
    <cellStyle name="Normal 2 5 4 6 2 2 2" xfId="24975" xr:uid="{15EE0C4C-0956-40F8-9110-91BB427AC51C}"/>
    <cellStyle name="Normal 2 5 4 6 2 2 3" xfId="33421" xr:uid="{60F75F10-0F3E-47EF-8897-438D24330113}"/>
    <cellStyle name="Normal 2 5 4 6 2 2 4" xfId="16534" xr:uid="{7125AACF-58F9-4B9E-896A-14C9A27A7985}"/>
    <cellStyle name="Normal 2 5 4 6 2 3" xfId="20757" xr:uid="{3B45DE1E-8B19-4E85-9758-4584BEAB9A9C}"/>
    <cellStyle name="Normal 2 5 4 6 2 4" xfId="29204" xr:uid="{004AA270-E671-4AE6-AC14-D4151C9C10AB}"/>
    <cellStyle name="Normal 2 5 4 6 2 5" xfId="12316" xr:uid="{01266845-8FEF-435F-BF78-BD2C87860B6A}"/>
    <cellStyle name="Normal 2 5 4 6 3" xfId="5947" xr:uid="{00000000-0005-0000-0000-00005D110000}"/>
    <cellStyle name="Normal 2 5 4 6 3 2" xfId="22830" xr:uid="{B7916E0E-1965-4B44-B44A-05F3FC8D9CF2}"/>
    <cellStyle name="Normal 2 5 4 6 3 3" xfId="31276" xr:uid="{EC115955-006C-4BC8-AE4B-08CC414E0861}"/>
    <cellStyle name="Normal 2 5 4 6 3 4" xfId="14389" xr:uid="{07DA146C-A659-43DB-B1C2-C4201E04687F}"/>
    <cellStyle name="Normal 2 5 4 6 4" xfId="18612" xr:uid="{6C4A5CF1-47B7-4720-8ACE-0FB6967FDC48}"/>
    <cellStyle name="Normal 2 5 4 6 5" xfId="27057" xr:uid="{357E3BB1-CCEA-403B-A5A5-BF452B2A684E}"/>
    <cellStyle name="Normal 2 5 4 6 6" xfId="10171" xr:uid="{EA8785D8-A11C-463F-966C-39F707858BD8}"/>
    <cellStyle name="Normal 2 5 4 7" xfId="2053" xr:uid="{00000000-0005-0000-0000-00005E110000}"/>
    <cellStyle name="Normal 2 5 4 7 2" xfId="4282" xr:uid="{00000000-0005-0000-0000-00005F110000}"/>
    <cellStyle name="Normal 2 5 4 7 2 2" xfId="8505" xr:uid="{00000000-0005-0000-0000-000060110000}"/>
    <cellStyle name="Normal 2 5 4 7 2 2 2" xfId="25388" xr:uid="{D85C6627-6A0D-498A-B5EC-55D0977B5DB4}"/>
    <cellStyle name="Normal 2 5 4 7 2 2 3" xfId="33834" xr:uid="{30576CA2-3934-4167-A173-A112E660DEB3}"/>
    <cellStyle name="Normal 2 5 4 7 2 2 4" xfId="16947" xr:uid="{9F155EB5-B76E-46E4-85B7-8F03F12F840D}"/>
    <cellStyle name="Normal 2 5 4 7 2 3" xfId="21170" xr:uid="{8F6F0E41-1CB0-4FE8-AD7C-1281608FCDB3}"/>
    <cellStyle name="Normal 2 5 4 7 2 4" xfId="29617" xr:uid="{DB53B59A-1BD7-4ED6-8DE0-4AA9A69ACDFD}"/>
    <cellStyle name="Normal 2 5 4 7 2 5" xfId="12729" xr:uid="{B55BF69D-A247-4189-9CE1-609EFCBB5E7E}"/>
    <cellStyle name="Normal 2 5 4 7 3" xfId="6360" xr:uid="{00000000-0005-0000-0000-000061110000}"/>
    <cellStyle name="Normal 2 5 4 7 3 2" xfId="23243" xr:uid="{17D6E33D-C37C-44FD-B836-13175F9A9E15}"/>
    <cellStyle name="Normal 2 5 4 7 3 3" xfId="31689" xr:uid="{99884845-823E-4FBA-A1CF-767099B14FEA}"/>
    <cellStyle name="Normal 2 5 4 7 3 4" xfId="14802" xr:uid="{89BF8317-E470-4D0F-B4DA-858C1AA28929}"/>
    <cellStyle name="Normal 2 5 4 7 4" xfId="19025" xr:uid="{11F96843-FCD7-4F3D-9F50-3322F26F2691}"/>
    <cellStyle name="Normal 2 5 4 7 5" xfId="27470" xr:uid="{5B3C1729-0FF4-42C4-9932-3E5723F2D3D9}"/>
    <cellStyle name="Normal 2 5 4 7 6" xfId="10584" xr:uid="{5B1BBC05-2F6D-4A7C-9C13-FCCA62A63788}"/>
    <cellStyle name="Normal 2 5 4 8" xfId="2489" xr:uid="{00000000-0005-0000-0000-000062110000}"/>
    <cellStyle name="Normal 2 5 4 8 2" xfId="6773" xr:uid="{00000000-0005-0000-0000-000063110000}"/>
    <cellStyle name="Normal 2 5 4 8 2 2" xfId="23656" xr:uid="{69D2A391-9FFB-4E7B-93D3-44BA347BD9A0}"/>
    <cellStyle name="Normal 2 5 4 8 2 3" xfId="32102" xr:uid="{DFD7DDBB-CE9F-4D83-B30A-75DC0432BC27}"/>
    <cellStyle name="Normal 2 5 4 8 2 4" xfId="15215" xr:uid="{DF557AE1-B50D-4C10-83B6-16C7E20993D5}"/>
    <cellStyle name="Normal 2 5 4 8 3" xfId="19438" xr:uid="{B4E6F73D-C51B-4D2C-844A-DA8F098253EF}"/>
    <cellStyle name="Normal 2 5 4 8 4" xfId="27883" xr:uid="{E5EB03F7-1206-4278-BA93-39928B8D90CA}"/>
    <cellStyle name="Normal 2 5 4 8 5" xfId="10997" xr:uid="{BC18846B-0102-4CDB-B3F8-92BD65F363D4}"/>
    <cellStyle name="Normal 2 5 4 9" xfId="4707" xr:uid="{00000000-0005-0000-0000-000064110000}"/>
    <cellStyle name="Normal 2 5 4 9 2" xfId="21590" xr:uid="{0DF4CEB2-7C14-4A87-89E8-ECF4BC9D8739}"/>
    <cellStyle name="Normal 2 5 4 9 3" xfId="30036" xr:uid="{BD6589BC-7D45-4C5F-8219-835C37ABD9ED}"/>
    <cellStyle name="Normal 2 5 4 9 4" xfId="13149" xr:uid="{55008C91-EE9A-4BC3-A6BC-F3FAD9FE13E8}"/>
    <cellStyle name="Normal 2 5 5" xfId="803" xr:uid="{00000000-0005-0000-0000-000065110000}"/>
    <cellStyle name="Normal 2 5 5 2" xfId="3042" xr:uid="{00000000-0005-0000-0000-000066110000}"/>
    <cellStyle name="Normal 2 5 5 2 2" xfId="7265" xr:uid="{00000000-0005-0000-0000-000067110000}"/>
    <cellStyle name="Normal 2 5 5 2 2 2" xfId="24148" xr:uid="{CEF32402-8B9C-4369-BBEC-66381FBFE15F}"/>
    <cellStyle name="Normal 2 5 5 2 2 3" xfId="32594" xr:uid="{E3119B65-6060-44B1-B246-BB1C2A9A61DF}"/>
    <cellStyle name="Normal 2 5 5 2 2 4" xfId="15707" xr:uid="{CB82D5F1-1EB8-4069-80C8-8A8AF7559389}"/>
    <cellStyle name="Normal 2 5 5 2 3" xfId="19930" xr:uid="{300F1A5A-00D2-4410-8E90-F9B24CD9F238}"/>
    <cellStyle name="Normal 2 5 5 2 4" xfId="28377" xr:uid="{ABDD970F-902B-4B17-8DEE-80A7319DB78F}"/>
    <cellStyle name="Normal 2 5 5 2 5" xfId="11489" xr:uid="{47F61F11-DEB2-4B21-B2DE-94439D8C5472}"/>
    <cellStyle name="Normal 2 5 5 3" xfId="5120" xr:uid="{00000000-0005-0000-0000-000068110000}"/>
    <cellStyle name="Normal 2 5 5 3 2" xfId="22003" xr:uid="{74B3FE85-D27A-42B3-8404-F6AC2F64355A}"/>
    <cellStyle name="Normal 2 5 5 3 3" xfId="30449" xr:uid="{73F9597E-BF27-41E8-B37F-8BE067E1BF60}"/>
    <cellStyle name="Normal 2 5 5 3 4" xfId="13562" xr:uid="{8AE3F2D0-5CF2-41C4-AEF5-0809F6F7CA80}"/>
    <cellStyle name="Normal 2 5 5 4" xfId="17785" xr:uid="{633719A3-5379-4EC0-8ACF-64D331049B90}"/>
    <cellStyle name="Normal 2 5 5 5" xfId="26230" xr:uid="{B51A8834-0485-4D39-9818-6763AD135266}"/>
    <cellStyle name="Normal 2 5 5 6" xfId="9344" xr:uid="{96E3BAFE-3CC6-405E-9F46-00F3BDFF52CD}"/>
    <cellStyle name="Normal 2 5 6" xfId="1225" xr:uid="{00000000-0005-0000-0000-000069110000}"/>
    <cellStyle name="Normal 2 5 6 2" xfId="3455" xr:uid="{00000000-0005-0000-0000-00006A110000}"/>
    <cellStyle name="Normal 2 5 6 2 2" xfId="7678" xr:uid="{00000000-0005-0000-0000-00006B110000}"/>
    <cellStyle name="Normal 2 5 6 2 2 2" xfId="24561" xr:uid="{B5C6BB7D-9DE5-481D-B37B-13D344CC55FA}"/>
    <cellStyle name="Normal 2 5 6 2 2 3" xfId="33007" xr:uid="{9CBB67C9-FA1B-4579-8E41-7E2B9AF0BC09}"/>
    <cellStyle name="Normal 2 5 6 2 2 4" xfId="16120" xr:uid="{107E50A0-E0B8-4948-9C80-E59519DA0E36}"/>
    <cellStyle name="Normal 2 5 6 2 3" xfId="20343" xr:uid="{5BFABA54-276C-4CD0-8835-A348E966D8F7}"/>
    <cellStyle name="Normal 2 5 6 2 4" xfId="28790" xr:uid="{966EC4F0-A19E-417E-96DB-BCEA40005CCE}"/>
    <cellStyle name="Normal 2 5 6 2 5" xfId="11902" xr:uid="{6EB8107D-E422-4CA5-A8CC-4F42CB8BD5A7}"/>
    <cellStyle name="Normal 2 5 6 3" xfId="5533" xr:uid="{00000000-0005-0000-0000-00006C110000}"/>
    <cellStyle name="Normal 2 5 6 3 2" xfId="22416" xr:uid="{235163E0-79F4-4380-9903-1C6C505EC6B5}"/>
    <cellStyle name="Normal 2 5 6 3 3" xfId="30862" xr:uid="{15F3B0B4-BC04-40E7-A9DB-2D6A9AAF6271}"/>
    <cellStyle name="Normal 2 5 6 3 4" xfId="13975" xr:uid="{A8A7E0C2-AD40-4788-94A0-8BEEA9E8B9CC}"/>
    <cellStyle name="Normal 2 5 6 4" xfId="18198" xr:uid="{8B8ADF5B-EFC5-4091-A824-657BBB2B0549}"/>
    <cellStyle name="Normal 2 5 6 5" xfId="26643" xr:uid="{E4A78A9A-15C5-439E-9A14-88A3DB03EE23}"/>
    <cellStyle name="Normal 2 5 6 6" xfId="9757" xr:uid="{CFC7E5F7-CC20-4510-98A9-724D2F2DFEDC}"/>
    <cellStyle name="Normal 2 5 7" xfId="1638" xr:uid="{00000000-0005-0000-0000-00006D110000}"/>
    <cellStyle name="Normal 2 5 7 2" xfId="3868" xr:uid="{00000000-0005-0000-0000-00006E110000}"/>
    <cellStyle name="Normal 2 5 7 2 2" xfId="8091" xr:uid="{00000000-0005-0000-0000-00006F110000}"/>
    <cellStyle name="Normal 2 5 7 2 2 2" xfId="24974" xr:uid="{23D1A46C-3D7D-422E-B85E-E75BF17D8401}"/>
    <cellStyle name="Normal 2 5 7 2 2 3" xfId="33420" xr:uid="{CD41DB67-3531-42EC-928D-9544C61F3B88}"/>
    <cellStyle name="Normal 2 5 7 2 2 4" xfId="16533" xr:uid="{B42B1A80-0C23-4E0F-90BA-2976DD62A3A1}"/>
    <cellStyle name="Normal 2 5 7 2 3" xfId="20756" xr:uid="{18F7B7E5-BDE9-49F6-B749-9A5DD210F08B}"/>
    <cellStyle name="Normal 2 5 7 2 4" xfId="29203" xr:uid="{A2263A9F-EECF-41A2-973A-9855E2151BAD}"/>
    <cellStyle name="Normal 2 5 7 2 5" xfId="12315" xr:uid="{46C73993-DE7F-4624-BE3D-928AC4A2B9EB}"/>
    <cellStyle name="Normal 2 5 7 3" xfId="5946" xr:uid="{00000000-0005-0000-0000-000070110000}"/>
    <cellStyle name="Normal 2 5 7 3 2" xfId="22829" xr:uid="{B6DA5A9F-081B-4757-99B0-C4CF67E43148}"/>
    <cellStyle name="Normal 2 5 7 3 3" xfId="31275" xr:uid="{66422CF9-A89B-4B77-BCF8-868379F9D7A1}"/>
    <cellStyle name="Normal 2 5 7 3 4" xfId="14388" xr:uid="{E297E473-3B74-4B3E-A629-667C114B6AFB}"/>
    <cellStyle name="Normal 2 5 7 4" xfId="18611" xr:uid="{1208B575-86BE-488F-A241-514B9141FDE4}"/>
    <cellStyle name="Normal 2 5 7 5" xfId="27056" xr:uid="{E8BCE136-0F6A-4D61-98EB-130C3F1D0598}"/>
    <cellStyle name="Normal 2 5 7 6" xfId="10170" xr:uid="{70CA108A-7208-40BD-9192-7A0599A8E691}"/>
    <cellStyle name="Normal 2 5 8" xfId="2052" xr:uid="{00000000-0005-0000-0000-000071110000}"/>
    <cellStyle name="Normal 2 5 8 2" xfId="4281" xr:uid="{00000000-0005-0000-0000-000072110000}"/>
    <cellStyle name="Normal 2 5 8 2 2" xfId="8504" xr:uid="{00000000-0005-0000-0000-000073110000}"/>
    <cellStyle name="Normal 2 5 8 2 2 2" xfId="25387" xr:uid="{FEB41742-FD0F-48B4-A13D-9D70F5B14FEC}"/>
    <cellStyle name="Normal 2 5 8 2 2 3" xfId="33833" xr:uid="{A6C8D063-B00C-4A9B-BEF2-9941ABBB7C48}"/>
    <cellStyle name="Normal 2 5 8 2 2 4" xfId="16946" xr:uid="{EB1561C4-5D85-4456-942B-752C825AE28B}"/>
    <cellStyle name="Normal 2 5 8 2 3" xfId="21169" xr:uid="{57585495-9089-45ED-8065-89F9147A2732}"/>
    <cellStyle name="Normal 2 5 8 2 4" xfId="29616" xr:uid="{3E8BF685-BCE4-43D0-9757-B90D33704707}"/>
    <cellStyle name="Normal 2 5 8 2 5" xfId="12728" xr:uid="{740EF5AC-CB2D-4477-9FFC-A9B52928A230}"/>
    <cellStyle name="Normal 2 5 8 3" xfId="6359" xr:uid="{00000000-0005-0000-0000-000074110000}"/>
    <cellStyle name="Normal 2 5 8 3 2" xfId="23242" xr:uid="{4D613017-5EB1-4F7A-9F27-9847AE8CBB28}"/>
    <cellStyle name="Normal 2 5 8 3 3" xfId="31688" xr:uid="{FC6E50BE-E88C-4AB7-B82D-3BC321FEC41C}"/>
    <cellStyle name="Normal 2 5 8 3 4" xfId="14801" xr:uid="{0254CEC0-EE46-4955-8EE9-4304F8BFA5C4}"/>
    <cellStyle name="Normal 2 5 8 4" xfId="19024" xr:uid="{5BA11669-C263-4161-8A5C-87F5A4AD5152}"/>
    <cellStyle name="Normal 2 5 8 5" xfId="27469" xr:uid="{BA696456-8130-45A5-963B-68F8A165BE7D}"/>
    <cellStyle name="Normal 2 5 8 6" xfId="10583" xr:uid="{482B4711-773F-4904-B82F-1D321DB2F4FE}"/>
    <cellStyle name="Normal 2 5 9" xfId="2488" xr:uid="{00000000-0005-0000-0000-000075110000}"/>
    <cellStyle name="Normal 2 5 9 2" xfId="6772" xr:uid="{00000000-0005-0000-0000-000076110000}"/>
    <cellStyle name="Normal 2 5 9 2 2" xfId="23655" xr:uid="{D93D87D7-4006-48B9-9426-62B309AB6101}"/>
    <cellStyle name="Normal 2 5 9 2 3" xfId="32101" xr:uid="{61512C4B-60F7-48E0-902C-CC04368E0912}"/>
    <cellStyle name="Normal 2 5 9 2 4" xfId="15214" xr:uid="{51896F61-E172-43CF-81D2-188403EE93D5}"/>
    <cellStyle name="Normal 2 5 9 3" xfId="19437" xr:uid="{A23A261E-1766-437C-80DE-A0CDC3377048}"/>
    <cellStyle name="Normal 2 5 9 4" xfId="27882" xr:uid="{15E6502E-A8F1-43D3-85D9-73A50E0F5CEF}"/>
    <cellStyle name="Normal 2 5 9 5" xfId="10996" xr:uid="{7FE899C4-0CB5-4B65-B4B0-8E15C18D41B0}"/>
    <cellStyle name="Normal 2 5_Dropdowns" xfId="34157" xr:uid="{6B4CA972-193A-450E-9BFA-D07A5AD00360}"/>
    <cellStyle name="Normal 2 6" xfId="322" xr:uid="{00000000-0005-0000-0000-000077110000}"/>
    <cellStyle name="Normal 2 6 2" xfId="34202" xr:uid="{B9724CFF-AC98-4F07-835A-174A3804AF31}"/>
    <cellStyle name="Normal 2 7" xfId="769" xr:uid="{00000000-0005-0000-0000-000078110000}"/>
    <cellStyle name="Normal 2 8" xfId="4495" xr:uid="{00000000-0005-0000-0000-000079110000}"/>
    <cellStyle name="Normal 2 8 2" xfId="25611" xr:uid="{CEF0A9DE-1FF6-4A3C-8CEA-069DF8A8615E}"/>
    <cellStyle name="Normal 2 8 3" xfId="21381" xr:uid="{4FDDF804-0FD9-4C47-8838-0BD3D923CEC9}"/>
    <cellStyle name="Normal 2 8 4" xfId="12940" xr:uid="{1713855A-000A-40B6-9EE9-AB3B9E9A7184}"/>
    <cellStyle name="Normal 2 9" xfId="34188" xr:uid="{0E2C4489-AD4A-4C36-89BA-99A20C523823}"/>
    <cellStyle name="Normal 2_Dropdowns" xfId="34106" xr:uid="{878B6F0F-7C62-4D4D-A026-8B42B2358639}"/>
    <cellStyle name="Normal 20" xfId="34218" xr:uid="{45F62AFD-0AE7-491A-9655-C84A77D7EFD9}"/>
    <cellStyle name="Normal 21" xfId="34088" xr:uid="{62F9E7C3-0039-412E-9F51-421686ABC96B}"/>
    <cellStyle name="Normal 22" xfId="34138" xr:uid="{24493D6E-E0F7-4D7F-8836-D1A1EDB79B0A}"/>
    <cellStyle name="Normal 22 2" xfId="34065" xr:uid="{8BA94F2E-5A6E-44F6-A124-D0B97FB3A706}"/>
    <cellStyle name="Normal 22_Dropdowns" xfId="34198" xr:uid="{A923F27E-7196-4312-B78B-9456002D5494}"/>
    <cellStyle name="Normal 23" xfId="34191" xr:uid="{A1AF4D5A-FB70-4B85-82BC-772D7A1B6564}"/>
    <cellStyle name="Normal 24" xfId="34069" xr:uid="{39729937-7D7C-4CD8-9327-320F53802090}"/>
    <cellStyle name="Normal 25" xfId="34150" xr:uid="{35779BEB-1FA8-4CAF-B255-77AB3498F03D}"/>
    <cellStyle name="Normal 26" xfId="34180" xr:uid="{EDF84240-0C02-4CC9-9A6E-A1C5E75AC661}"/>
    <cellStyle name="Normal 27" xfId="34120" xr:uid="{ED96814A-7771-460F-8B0E-9CB9186C5DC4}"/>
    <cellStyle name="Normal 3" xfId="323" xr:uid="{00000000-0005-0000-0000-00007A110000}"/>
    <cellStyle name="Normal 3 2" xfId="324" xr:uid="{00000000-0005-0000-0000-00007B110000}"/>
    <cellStyle name="Normal 3 2 10" xfId="17376" xr:uid="{B92C3619-C733-497A-AB3C-F1E8C3BF4545}"/>
    <cellStyle name="Normal 3 2 11" xfId="25820" xr:uid="{B0DDFCEE-8D42-42EC-A422-83AF2C5F1C01}"/>
    <cellStyle name="Normal 3 2 12" xfId="34059" xr:uid="{128EF911-7B53-48B6-9F0A-8C8B828C6EF0}"/>
    <cellStyle name="Normal 3 2 13" xfId="8935" xr:uid="{2F3A96A1-46C7-43E7-B519-07843508F9B0}"/>
    <cellStyle name="Normal 3 2 2" xfId="325" xr:uid="{00000000-0005-0000-0000-00007C110000}"/>
    <cellStyle name="Normal 3 2 2 2" xfId="810" xr:uid="{00000000-0005-0000-0000-00007D110000}"/>
    <cellStyle name="Normal 3 2 2 2 2" xfId="34115" xr:uid="{7F9581E2-5ABC-4BE1-B0CC-4F43FF4FA75C}"/>
    <cellStyle name="Normal 3 2 2 3" xfId="34097" xr:uid="{156FB1BE-F047-4030-A41D-13BC58BC0524}"/>
    <cellStyle name="Normal 3 2 2_Dropdowns" xfId="34086" xr:uid="{77E06783-F012-4CE9-B923-ED7D1F229006}"/>
    <cellStyle name="Normal 3 2 3" xfId="326" xr:uid="{00000000-0005-0000-0000-00007E110000}"/>
    <cellStyle name="Normal 3 2 3 10" xfId="17377" xr:uid="{462C76E0-9146-444A-8C94-2995EBB15BB2}"/>
    <cellStyle name="Normal 3 2 3 11" xfId="25821" xr:uid="{6FB9441C-BDDB-4D34-B5AE-20EE33AC0DBA}"/>
    <cellStyle name="Normal 3 2 3 12" xfId="34070" xr:uid="{B7C8B769-5F98-4483-AC73-2A86A243A562}"/>
    <cellStyle name="Normal 3 2 3 13" xfId="8936" xr:uid="{8723C7F2-0428-4363-AA9A-2E9D1A145BC8}"/>
    <cellStyle name="Normal 3 2 3 2" xfId="327" xr:uid="{00000000-0005-0000-0000-00007F110000}"/>
    <cellStyle name="Normal 3 2 3 2 10" xfId="25822" xr:uid="{FEB12FAF-B619-4F24-9A54-18E2BCF0C2E9}"/>
    <cellStyle name="Normal 3 2 3 2 11" xfId="8937" xr:uid="{CC6003AF-7C5B-4D30-84D1-C84BD030407B}"/>
    <cellStyle name="Normal 3 2 3 2 2" xfId="328" xr:uid="{00000000-0005-0000-0000-000080110000}"/>
    <cellStyle name="Normal 3 2 3 2 2 10" xfId="8938" xr:uid="{ECCFA4A4-9986-4954-B922-9B226A340A39}"/>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24156" xr:uid="{464AC2A9-00DD-44D8-87FE-827D4BC04162}"/>
    <cellStyle name="Normal 3 2 3 2 2 2 2 2 3" xfId="32602" xr:uid="{1A45E02B-F799-4DB7-ADC6-171AB1378C4E}"/>
    <cellStyle name="Normal 3 2 3 2 2 2 2 2 4" xfId="15715" xr:uid="{7D6599C3-BB03-4F8E-AE55-058708C04B4C}"/>
    <cellStyle name="Normal 3 2 3 2 2 2 2 3" xfId="19938" xr:uid="{5C5EB7EF-9FB2-4B91-A4EA-586B1E125515}"/>
    <cellStyle name="Normal 3 2 3 2 2 2 2 4" xfId="28385" xr:uid="{0B8729D1-07EC-4334-B471-0627F6A1CD52}"/>
    <cellStyle name="Normal 3 2 3 2 2 2 2 5" xfId="11497" xr:uid="{34451A58-233B-4EF9-8B8C-C6AFCD278A82}"/>
    <cellStyle name="Normal 3 2 3 2 2 2 3" xfId="5128" xr:uid="{00000000-0005-0000-0000-000084110000}"/>
    <cellStyle name="Normal 3 2 3 2 2 2 3 2" xfId="22011" xr:uid="{8729AFF9-0B17-4819-B191-4A961E6A92CA}"/>
    <cellStyle name="Normal 3 2 3 2 2 2 3 3" xfId="30457" xr:uid="{0CFAE563-B1B3-4F9E-B342-B0B64200F494}"/>
    <cellStyle name="Normal 3 2 3 2 2 2 3 4" xfId="13570" xr:uid="{A9C3F825-930F-43AE-B1FC-8F87DDAF7FFD}"/>
    <cellStyle name="Normal 3 2 3 2 2 2 4" xfId="17793" xr:uid="{9F6837E0-4252-4003-88EC-1E239388D894}"/>
    <cellStyle name="Normal 3 2 3 2 2 2 5" xfId="26238" xr:uid="{DC594F5C-65A9-46A0-9F1D-89C4FCE94FA8}"/>
    <cellStyle name="Normal 3 2 3 2 2 2 6" xfId="9352" xr:uid="{D9691ECC-05E7-49BA-9D9B-AA089CD5C876}"/>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24569" xr:uid="{43146D6E-5D3D-4F39-B03F-DF4FCEE4EAEA}"/>
    <cellStyle name="Normal 3 2 3 2 2 3 2 2 3" xfId="33015" xr:uid="{2B2A243A-C353-4ECE-90B9-C9D9696C4957}"/>
    <cellStyle name="Normal 3 2 3 2 2 3 2 2 4" xfId="16128" xr:uid="{87BB19C3-3A95-4CAC-A4C2-347E786323ED}"/>
    <cellStyle name="Normal 3 2 3 2 2 3 2 3" xfId="20351" xr:uid="{31A1C430-BB9E-44F8-81D8-68607A5B0970}"/>
    <cellStyle name="Normal 3 2 3 2 2 3 2 4" xfId="28798" xr:uid="{F061A302-03A5-47F3-9171-A1F625EB7D2A}"/>
    <cellStyle name="Normal 3 2 3 2 2 3 2 5" xfId="11910" xr:uid="{0BE00A4D-13C9-4A36-A184-5B40FA51754C}"/>
    <cellStyle name="Normal 3 2 3 2 2 3 3" xfId="5541" xr:uid="{00000000-0005-0000-0000-000088110000}"/>
    <cellStyle name="Normal 3 2 3 2 2 3 3 2" xfId="22424" xr:uid="{9E753C03-5C04-470C-B557-7FFBEA818D30}"/>
    <cellStyle name="Normal 3 2 3 2 2 3 3 3" xfId="30870" xr:uid="{5E19900D-812F-4A9C-BFCD-2FA3550EECFA}"/>
    <cellStyle name="Normal 3 2 3 2 2 3 3 4" xfId="13983" xr:uid="{588AB486-F324-413E-B1B5-06D3E0604DC5}"/>
    <cellStyle name="Normal 3 2 3 2 2 3 4" xfId="18206" xr:uid="{064A07BE-0076-4CBA-983E-85F6BACDA4EF}"/>
    <cellStyle name="Normal 3 2 3 2 2 3 5" xfId="26651" xr:uid="{BA3E8ABB-19B7-46E7-8DCE-DED776E480BE}"/>
    <cellStyle name="Normal 3 2 3 2 2 3 6" xfId="9765" xr:uid="{07C08F2D-C58E-406A-AF5E-A50AAC9C346B}"/>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24982" xr:uid="{9DF5E833-FEA9-4FD4-9F70-8A96E5F6CA5E}"/>
    <cellStyle name="Normal 3 2 3 2 2 4 2 2 3" xfId="33428" xr:uid="{275F7DBC-C3D3-4005-8A6C-55EAE4CB3E22}"/>
    <cellStyle name="Normal 3 2 3 2 2 4 2 2 4" xfId="16541" xr:uid="{E50854AF-3239-4592-92A0-A197EF194D18}"/>
    <cellStyle name="Normal 3 2 3 2 2 4 2 3" xfId="20764" xr:uid="{739460A9-39D8-4A35-9F97-C37ECB420B25}"/>
    <cellStyle name="Normal 3 2 3 2 2 4 2 4" xfId="29211" xr:uid="{7DB4D0A0-81EA-4ED7-AA47-DFE4C089C0AB}"/>
    <cellStyle name="Normal 3 2 3 2 2 4 2 5" xfId="12323" xr:uid="{E7AF2CD9-B63C-4B2C-B9EB-15931723B080}"/>
    <cellStyle name="Normal 3 2 3 2 2 4 3" xfId="5954" xr:uid="{00000000-0005-0000-0000-00008C110000}"/>
    <cellStyle name="Normal 3 2 3 2 2 4 3 2" xfId="22837" xr:uid="{A83CD4F1-CDC0-424C-A07D-DEB7223AC9CB}"/>
    <cellStyle name="Normal 3 2 3 2 2 4 3 3" xfId="31283" xr:uid="{B29C595F-5DE3-44C3-8988-87CC0DEEFCE0}"/>
    <cellStyle name="Normal 3 2 3 2 2 4 3 4" xfId="14396" xr:uid="{5D003B38-8AB5-40EE-AEC0-7CDA29EDFCF3}"/>
    <cellStyle name="Normal 3 2 3 2 2 4 4" xfId="18619" xr:uid="{9DEC0E18-2CE0-47B4-9796-836C182DA218}"/>
    <cellStyle name="Normal 3 2 3 2 2 4 5" xfId="27064" xr:uid="{A97B83CF-C98F-4542-A3B5-E4050C43E1CE}"/>
    <cellStyle name="Normal 3 2 3 2 2 4 6" xfId="10178" xr:uid="{9EEEEED3-3B78-41AC-BBE5-96E1C52DE93A}"/>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25395" xr:uid="{768F0645-DD4E-4DAA-90FD-375F8FBE5439}"/>
    <cellStyle name="Normal 3 2 3 2 2 5 2 2 3" xfId="33841" xr:uid="{91FC3421-7749-48A8-BFED-70FAA0388EC9}"/>
    <cellStyle name="Normal 3 2 3 2 2 5 2 2 4" xfId="16954" xr:uid="{33A9CC35-8C1F-48EB-A0D3-F90ED87D6E7E}"/>
    <cellStyle name="Normal 3 2 3 2 2 5 2 3" xfId="21177" xr:uid="{E66E5970-FA07-496C-964D-10EE59FA765A}"/>
    <cellStyle name="Normal 3 2 3 2 2 5 2 4" xfId="29624" xr:uid="{86C44CF3-9760-4A42-AA26-670171B04F2D}"/>
    <cellStyle name="Normal 3 2 3 2 2 5 2 5" xfId="12736" xr:uid="{F9F12C88-B556-42D6-AC3C-8B2F66E1132D}"/>
    <cellStyle name="Normal 3 2 3 2 2 5 3" xfId="6367" xr:uid="{00000000-0005-0000-0000-000090110000}"/>
    <cellStyle name="Normal 3 2 3 2 2 5 3 2" xfId="23250" xr:uid="{53A4AD3D-D117-43F2-B701-1A9A65153FB9}"/>
    <cellStyle name="Normal 3 2 3 2 2 5 3 3" xfId="31696" xr:uid="{FB606830-0963-4294-BB0D-58BB45AC625D}"/>
    <cellStyle name="Normal 3 2 3 2 2 5 3 4" xfId="14809" xr:uid="{C2E8D634-522F-40DE-9B97-EB8E93B5666D}"/>
    <cellStyle name="Normal 3 2 3 2 2 5 4" xfId="19032" xr:uid="{E3CB7529-51B2-4C81-966D-2DAFAEC82370}"/>
    <cellStyle name="Normal 3 2 3 2 2 5 5" xfId="27477" xr:uid="{A9B29EA5-0DDF-4FFE-95FA-F165A4D80BD9}"/>
    <cellStyle name="Normal 3 2 3 2 2 5 6" xfId="10591" xr:uid="{B0B1DAD6-7415-48DA-89E6-540A061A694E}"/>
    <cellStyle name="Normal 3 2 3 2 2 6" xfId="2496" xr:uid="{00000000-0005-0000-0000-000091110000}"/>
    <cellStyle name="Normal 3 2 3 2 2 6 2" xfId="6780" xr:uid="{00000000-0005-0000-0000-000092110000}"/>
    <cellStyle name="Normal 3 2 3 2 2 6 2 2" xfId="23663" xr:uid="{86A98E88-2824-4DFD-8569-3C5F1DDC3220}"/>
    <cellStyle name="Normal 3 2 3 2 2 6 2 3" xfId="32109" xr:uid="{B0D1E659-932C-4601-9D4D-EB8AF6512FEF}"/>
    <cellStyle name="Normal 3 2 3 2 2 6 2 4" xfId="15222" xr:uid="{8F0913B3-25CF-40CC-9FA8-94E8F9245A3C}"/>
    <cellStyle name="Normal 3 2 3 2 2 6 3" xfId="19445" xr:uid="{A294C9E2-0A3F-42C3-A92A-B8C4775F655E}"/>
    <cellStyle name="Normal 3 2 3 2 2 6 4" xfId="27890" xr:uid="{BCA31F46-F844-4D47-B420-0D0AC076585D}"/>
    <cellStyle name="Normal 3 2 3 2 2 6 5" xfId="11004" xr:uid="{E3F6098C-F682-4939-AD9B-E175F1615CAB}"/>
    <cellStyle name="Normal 3 2 3 2 2 7" xfId="4714" xr:uid="{00000000-0005-0000-0000-000093110000}"/>
    <cellStyle name="Normal 3 2 3 2 2 7 2" xfId="21597" xr:uid="{E9B61673-F4BE-4209-918D-1E66A594700F}"/>
    <cellStyle name="Normal 3 2 3 2 2 7 3" xfId="30043" xr:uid="{BB1EDC2E-197D-42A7-9125-0FCECD1EACC4}"/>
    <cellStyle name="Normal 3 2 3 2 2 7 4" xfId="13156" xr:uid="{270467B3-D8F9-4C2B-B001-75C038C56D5D}"/>
    <cellStyle name="Normal 3 2 3 2 2 8" xfId="17379" xr:uid="{6467A50A-961C-45CF-84F9-33FEB129FA01}"/>
    <cellStyle name="Normal 3 2 3 2 2 9" xfId="25823" xr:uid="{0E1756C4-6779-410C-8A11-9633AFE75916}"/>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24155" xr:uid="{846AFD81-68A5-45F1-A7B1-F84BEE79B633}"/>
    <cellStyle name="Normal 3 2 3 2 3 2 2 3" xfId="32601" xr:uid="{67E9D9B2-201F-445F-8A63-23CE653B9476}"/>
    <cellStyle name="Normal 3 2 3 2 3 2 2 4" xfId="15714" xr:uid="{E2646866-7D10-4EEE-B4FB-61782B7DEA5A}"/>
    <cellStyle name="Normal 3 2 3 2 3 2 3" xfId="19937" xr:uid="{8F6D0146-8C50-4FF2-8EAA-CD582A4405B5}"/>
    <cellStyle name="Normal 3 2 3 2 3 2 4" xfId="28384" xr:uid="{925248A6-E3A9-46D3-8A5F-576701DDB2AF}"/>
    <cellStyle name="Normal 3 2 3 2 3 2 5" xfId="11496" xr:uid="{F40BE1CE-2588-4787-A0E6-49C9CD311808}"/>
    <cellStyle name="Normal 3 2 3 2 3 3" xfId="5127" xr:uid="{00000000-0005-0000-0000-000097110000}"/>
    <cellStyle name="Normal 3 2 3 2 3 3 2" xfId="22010" xr:uid="{FABF17DA-EE8B-4804-B8F0-BCEAC04E76C8}"/>
    <cellStyle name="Normal 3 2 3 2 3 3 3" xfId="30456" xr:uid="{A4B346B3-9186-4DE7-8E71-8B048443FFE8}"/>
    <cellStyle name="Normal 3 2 3 2 3 3 4" xfId="13569" xr:uid="{C980AC05-2BEA-4B6E-9617-C17578B03106}"/>
    <cellStyle name="Normal 3 2 3 2 3 4" xfId="17792" xr:uid="{4F9AFFE6-903E-4429-93B5-4E7C3BE3A6E6}"/>
    <cellStyle name="Normal 3 2 3 2 3 5" xfId="26237" xr:uid="{B965EF92-0EA4-4115-96C8-A9FE3F6D68FE}"/>
    <cellStyle name="Normal 3 2 3 2 3 6" xfId="9351" xr:uid="{86318DFB-C67C-4A57-9F03-F405E69C8BC6}"/>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24568" xr:uid="{91537450-0E3E-4877-B628-C77760700898}"/>
    <cellStyle name="Normal 3 2 3 2 4 2 2 3" xfId="33014" xr:uid="{8F0F333F-C45E-49ED-93AE-5961623E7312}"/>
    <cellStyle name="Normal 3 2 3 2 4 2 2 4" xfId="16127" xr:uid="{A3903B45-750D-4008-9BEF-78786815E310}"/>
    <cellStyle name="Normal 3 2 3 2 4 2 3" xfId="20350" xr:uid="{2FB4F5B6-6712-4BE1-808E-AD37250F0562}"/>
    <cellStyle name="Normal 3 2 3 2 4 2 4" xfId="28797" xr:uid="{E327233D-9813-4A1C-AE73-F3468AA87D57}"/>
    <cellStyle name="Normal 3 2 3 2 4 2 5" xfId="11909" xr:uid="{2F9E42F8-9324-4809-8FA5-02952ACAA7E1}"/>
    <cellStyle name="Normal 3 2 3 2 4 3" xfId="5540" xr:uid="{00000000-0005-0000-0000-00009B110000}"/>
    <cellStyle name="Normal 3 2 3 2 4 3 2" xfId="22423" xr:uid="{356ECC81-D53E-4F30-AA82-64F26A224AC3}"/>
    <cellStyle name="Normal 3 2 3 2 4 3 3" xfId="30869" xr:uid="{649A03A9-19A8-40C0-8F06-F868189E072E}"/>
    <cellStyle name="Normal 3 2 3 2 4 3 4" xfId="13982" xr:uid="{1C31289F-063F-4D24-A523-DC77247FBB1E}"/>
    <cellStyle name="Normal 3 2 3 2 4 4" xfId="18205" xr:uid="{ECF11D76-5395-4C79-B980-E58E7C902457}"/>
    <cellStyle name="Normal 3 2 3 2 4 5" xfId="26650" xr:uid="{1125152E-DD40-4D29-8D22-545024B9330F}"/>
    <cellStyle name="Normal 3 2 3 2 4 6" xfId="9764" xr:uid="{DD44D647-D5D9-4883-B0BF-6DC08FE9CB85}"/>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24981" xr:uid="{B5DAA2AB-DF94-4850-AC3C-6B9D07332ACD}"/>
    <cellStyle name="Normal 3 2 3 2 5 2 2 3" xfId="33427" xr:uid="{0B76F35A-795D-4A9C-896B-E4F82E29C723}"/>
    <cellStyle name="Normal 3 2 3 2 5 2 2 4" xfId="16540" xr:uid="{85E96FCF-5088-4FD6-84B0-C0D764EFCC1A}"/>
    <cellStyle name="Normal 3 2 3 2 5 2 3" xfId="20763" xr:uid="{3C94A82A-1E5A-49C1-B04C-B895D60F41B9}"/>
    <cellStyle name="Normal 3 2 3 2 5 2 4" xfId="29210" xr:uid="{92C80947-F0CA-4B6A-B406-CBC6438F9B78}"/>
    <cellStyle name="Normal 3 2 3 2 5 2 5" xfId="12322" xr:uid="{F43494AB-A9B1-4283-893F-614272A1616D}"/>
    <cellStyle name="Normal 3 2 3 2 5 3" xfId="5953" xr:uid="{00000000-0005-0000-0000-00009F110000}"/>
    <cellStyle name="Normal 3 2 3 2 5 3 2" xfId="22836" xr:uid="{56C97EB0-96B9-41AC-A1E8-0414B1AA74B0}"/>
    <cellStyle name="Normal 3 2 3 2 5 3 3" xfId="31282" xr:uid="{5226FFA9-905A-4922-9C39-08A36E8A1978}"/>
    <cellStyle name="Normal 3 2 3 2 5 3 4" xfId="14395" xr:uid="{98CE09C7-EE1E-48E1-BABC-E3807F4CD78A}"/>
    <cellStyle name="Normal 3 2 3 2 5 4" xfId="18618" xr:uid="{2449879B-88F4-404B-AD57-EFEAAA79B56E}"/>
    <cellStyle name="Normal 3 2 3 2 5 5" xfId="27063" xr:uid="{C27772C7-67EF-4747-8650-85F48F7D3FE6}"/>
    <cellStyle name="Normal 3 2 3 2 5 6" xfId="10177" xr:uid="{EA388649-5AE6-45CE-818E-EAB67667C09B}"/>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25394" xr:uid="{D83AB496-0324-46C9-A892-079078AA09BD}"/>
    <cellStyle name="Normal 3 2 3 2 6 2 2 3" xfId="33840" xr:uid="{77CD266A-916D-4EE9-BA25-949AF5B96E71}"/>
    <cellStyle name="Normal 3 2 3 2 6 2 2 4" xfId="16953" xr:uid="{D07E7384-BAAB-4931-A9A5-C266D4DA2CE1}"/>
    <cellStyle name="Normal 3 2 3 2 6 2 3" xfId="21176" xr:uid="{7B00DB87-312F-42E7-8790-B4EAA9549F68}"/>
    <cellStyle name="Normal 3 2 3 2 6 2 4" xfId="29623" xr:uid="{B9C61ADF-0614-41E6-989D-2B4F6B2703AD}"/>
    <cellStyle name="Normal 3 2 3 2 6 2 5" xfId="12735" xr:uid="{528945FF-26E3-451E-A730-2715F562833F}"/>
    <cellStyle name="Normal 3 2 3 2 6 3" xfId="6366" xr:uid="{00000000-0005-0000-0000-0000A3110000}"/>
    <cellStyle name="Normal 3 2 3 2 6 3 2" xfId="23249" xr:uid="{23A25589-9349-4EC6-A73A-A68F5BF30335}"/>
    <cellStyle name="Normal 3 2 3 2 6 3 3" xfId="31695" xr:uid="{EB7B2973-65D4-46A5-90FA-5E89E24B63CE}"/>
    <cellStyle name="Normal 3 2 3 2 6 3 4" xfId="14808" xr:uid="{629486A3-F2E4-42F9-93CD-D2AC58E1B4FB}"/>
    <cellStyle name="Normal 3 2 3 2 6 4" xfId="19031" xr:uid="{EEF1067A-29E2-4146-B007-D37F96CD10DE}"/>
    <cellStyle name="Normal 3 2 3 2 6 5" xfId="27476" xr:uid="{8FFAC066-AD6D-4FE5-84E9-2EFF8058F724}"/>
    <cellStyle name="Normal 3 2 3 2 6 6" xfId="10590" xr:uid="{4AED1F7F-C865-4DA0-900B-A3FD19288715}"/>
    <cellStyle name="Normal 3 2 3 2 7" xfId="2495" xr:uid="{00000000-0005-0000-0000-0000A4110000}"/>
    <cellStyle name="Normal 3 2 3 2 7 2" xfId="6779" xr:uid="{00000000-0005-0000-0000-0000A5110000}"/>
    <cellStyle name="Normal 3 2 3 2 7 2 2" xfId="23662" xr:uid="{2E6A33AA-E11D-4DCD-88B3-0BBC1F15FF20}"/>
    <cellStyle name="Normal 3 2 3 2 7 2 3" xfId="32108" xr:uid="{68B7B3CE-BC18-422F-B281-DC239B91D4B8}"/>
    <cellStyle name="Normal 3 2 3 2 7 2 4" xfId="15221" xr:uid="{544E1278-7F50-4FA1-903C-8A72DD1B0E1D}"/>
    <cellStyle name="Normal 3 2 3 2 7 3" xfId="19444" xr:uid="{EB2C1067-B821-4629-BB6E-637EF2CA0C74}"/>
    <cellStyle name="Normal 3 2 3 2 7 4" xfId="27889" xr:uid="{52E1F3C3-9E05-4EF2-B5FB-1D2900ACDE21}"/>
    <cellStyle name="Normal 3 2 3 2 7 5" xfId="11003" xr:uid="{D37E0608-F329-4094-B143-CDEAF6928988}"/>
    <cellStyle name="Normal 3 2 3 2 8" xfId="4713" xr:uid="{00000000-0005-0000-0000-0000A6110000}"/>
    <cellStyle name="Normal 3 2 3 2 8 2" xfId="21596" xr:uid="{442DCF99-9AC2-48BB-A5A7-3C41B8DA8654}"/>
    <cellStyle name="Normal 3 2 3 2 8 3" xfId="30042" xr:uid="{F271B868-257E-4AF2-8214-556FCDCC88BD}"/>
    <cellStyle name="Normal 3 2 3 2 8 4" xfId="13155" xr:uid="{6C64E749-A901-4C35-B590-504C632B5819}"/>
    <cellStyle name="Normal 3 2 3 2 9" xfId="17378" xr:uid="{4C0A714B-4CFF-4CC1-BFE6-CE1500F61D12}"/>
    <cellStyle name="Normal 3 2 3 3" xfId="329" xr:uid="{00000000-0005-0000-0000-0000A7110000}"/>
    <cellStyle name="Normal 3 2 3 3 10" xfId="8939" xr:uid="{591DE99C-A475-4E80-A95D-29D625BC71EB}"/>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24157" xr:uid="{82A765E6-062A-44E6-8B5D-C8DA5879F243}"/>
    <cellStyle name="Normal 3 2 3 3 2 2 2 3" xfId="32603" xr:uid="{353634B9-A96A-4448-97F6-A58272379416}"/>
    <cellStyle name="Normal 3 2 3 3 2 2 2 4" xfId="15716" xr:uid="{75A2EE3D-5FB7-47EE-90E7-CEC392613DF6}"/>
    <cellStyle name="Normal 3 2 3 3 2 2 3" xfId="19939" xr:uid="{A1E255F7-C339-458D-8D7A-57FF85CE629C}"/>
    <cellStyle name="Normal 3 2 3 3 2 2 4" xfId="28386" xr:uid="{D06FC5EB-66BB-4129-95D1-C62C50274B97}"/>
    <cellStyle name="Normal 3 2 3 3 2 2 5" xfId="11498" xr:uid="{B514DF7A-C5B7-46F5-A18E-9487DD6D0773}"/>
    <cellStyle name="Normal 3 2 3 3 2 3" xfId="5129" xr:uid="{00000000-0005-0000-0000-0000AB110000}"/>
    <cellStyle name="Normal 3 2 3 3 2 3 2" xfId="22012" xr:uid="{6C215C2D-35BD-4BDE-B95B-1DA7DFB5D48D}"/>
    <cellStyle name="Normal 3 2 3 3 2 3 3" xfId="30458" xr:uid="{C919F7D2-67A2-4AE8-9108-BF8AF5AAE207}"/>
    <cellStyle name="Normal 3 2 3 3 2 3 4" xfId="13571" xr:uid="{6E7FF92B-7CB2-424F-9DAD-15C6911DC5A6}"/>
    <cellStyle name="Normal 3 2 3 3 2 4" xfId="17794" xr:uid="{013114D0-C86E-438C-9DD5-AB5DA1162F1A}"/>
    <cellStyle name="Normal 3 2 3 3 2 5" xfId="26239" xr:uid="{213F5C84-CD6B-4C63-94CD-D22E8E6C9A8E}"/>
    <cellStyle name="Normal 3 2 3 3 2 6" xfId="9353" xr:uid="{FF0C5E31-0FA3-4D85-BADC-D5D1C749C1C7}"/>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24570" xr:uid="{714A2392-A5AD-48C6-8CFE-D117EB2B3AE8}"/>
    <cellStyle name="Normal 3 2 3 3 3 2 2 3" xfId="33016" xr:uid="{AE91844F-16FD-4052-A180-AF8348B08D98}"/>
    <cellStyle name="Normal 3 2 3 3 3 2 2 4" xfId="16129" xr:uid="{6DEC8E19-618D-40B2-BD82-3B36EEBC511E}"/>
    <cellStyle name="Normal 3 2 3 3 3 2 3" xfId="20352" xr:uid="{40B5DEEE-0143-4626-B4FD-A4E7DF9271D6}"/>
    <cellStyle name="Normal 3 2 3 3 3 2 4" xfId="28799" xr:uid="{6819AF28-3151-43AB-B30A-2D8709AA8997}"/>
    <cellStyle name="Normal 3 2 3 3 3 2 5" xfId="11911" xr:uid="{B84FA9BF-1BB6-458E-8AD6-F651175878EA}"/>
    <cellStyle name="Normal 3 2 3 3 3 3" xfId="5542" xr:uid="{00000000-0005-0000-0000-0000AF110000}"/>
    <cellStyle name="Normal 3 2 3 3 3 3 2" xfId="22425" xr:uid="{4D0ABF74-BD29-4D51-8687-EEF7888285DD}"/>
    <cellStyle name="Normal 3 2 3 3 3 3 3" xfId="30871" xr:uid="{41017A57-DDE2-41E4-9ABE-D4A5528D40F6}"/>
    <cellStyle name="Normal 3 2 3 3 3 3 4" xfId="13984" xr:uid="{76312175-2825-48F2-A885-60DE6A3DACD2}"/>
    <cellStyle name="Normal 3 2 3 3 3 4" xfId="18207" xr:uid="{CB1B5302-B0A3-4EA9-A778-CB9C180632B0}"/>
    <cellStyle name="Normal 3 2 3 3 3 5" xfId="26652" xr:uid="{D073FD73-2D91-463C-90F4-8C1131735CDB}"/>
    <cellStyle name="Normal 3 2 3 3 3 6" xfId="9766" xr:uid="{B39CB7C4-75D4-43EF-A0F0-8F2CF60498FB}"/>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24983" xr:uid="{6086FB19-0492-4A21-9AE3-A2EE74CB9F64}"/>
    <cellStyle name="Normal 3 2 3 3 4 2 2 3" xfId="33429" xr:uid="{01C2E774-7928-4C19-B743-C2B87999C7AC}"/>
    <cellStyle name="Normal 3 2 3 3 4 2 2 4" xfId="16542" xr:uid="{F6D48E95-896D-4E20-986D-EAA0771AA186}"/>
    <cellStyle name="Normal 3 2 3 3 4 2 3" xfId="20765" xr:uid="{9D8FD4D7-0AE2-4230-9ACF-C9B8BD30CDC2}"/>
    <cellStyle name="Normal 3 2 3 3 4 2 4" xfId="29212" xr:uid="{EB53A5C6-A7DD-49F9-A37F-25A3DF281A59}"/>
    <cellStyle name="Normal 3 2 3 3 4 2 5" xfId="12324" xr:uid="{378BE1B2-5EDD-432A-9FD3-C3900E7C7AD2}"/>
    <cellStyle name="Normal 3 2 3 3 4 3" xfId="5955" xr:uid="{00000000-0005-0000-0000-0000B3110000}"/>
    <cellStyle name="Normal 3 2 3 3 4 3 2" xfId="22838" xr:uid="{3FE2319D-0D3B-4F78-858C-5C5D2B08A978}"/>
    <cellStyle name="Normal 3 2 3 3 4 3 3" xfId="31284" xr:uid="{24BC3902-14E5-409A-8381-5EA8C04A1FD6}"/>
    <cellStyle name="Normal 3 2 3 3 4 3 4" xfId="14397" xr:uid="{0F3950EF-3334-4312-8B32-8C2DA79B9B8C}"/>
    <cellStyle name="Normal 3 2 3 3 4 4" xfId="18620" xr:uid="{1F684906-9B13-415A-80CA-46634F1397F2}"/>
    <cellStyle name="Normal 3 2 3 3 4 5" xfId="27065" xr:uid="{75F49A2F-EF30-43D9-ABB6-98E9DCA9DC75}"/>
    <cellStyle name="Normal 3 2 3 3 4 6" xfId="10179" xr:uid="{18D3BEEE-13E8-4A4B-8C41-25158CDCCC8F}"/>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25396" xr:uid="{4E1F98AD-1B9E-4AEB-A550-E35D86826A32}"/>
    <cellStyle name="Normal 3 2 3 3 5 2 2 3" xfId="33842" xr:uid="{7D9A29FA-2387-43D6-A299-FB2527EEFB72}"/>
    <cellStyle name="Normal 3 2 3 3 5 2 2 4" xfId="16955" xr:uid="{91B82BC2-29A0-4C62-AF04-CE1E0A3F2B7B}"/>
    <cellStyle name="Normal 3 2 3 3 5 2 3" xfId="21178" xr:uid="{31D86A49-FC48-488B-AF12-A18C17EA0204}"/>
    <cellStyle name="Normal 3 2 3 3 5 2 4" xfId="29625" xr:uid="{4B25712C-AB6E-4593-85B4-3D8771BFC8F1}"/>
    <cellStyle name="Normal 3 2 3 3 5 2 5" xfId="12737" xr:uid="{3AE162E7-05CF-4914-BF2B-987A49822C04}"/>
    <cellStyle name="Normal 3 2 3 3 5 3" xfId="6368" xr:uid="{00000000-0005-0000-0000-0000B7110000}"/>
    <cellStyle name="Normal 3 2 3 3 5 3 2" xfId="23251" xr:uid="{3869C357-FE47-434C-B3C5-656182FFC519}"/>
    <cellStyle name="Normal 3 2 3 3 5 3 3" xfId="31697" xr:uid="{962CD56D-BE88-4270-AFA8-9D4C6940A397}"/>
    <cellStyle name="Normal 3 2 3 3 5 3 4" xfId="14810" xr:uid="{D3FDF8DF-3FB6-436D-9B75-850A97105A1B}"/>
    <cellStyle name="Normal 3 2 3 3 5 4" xfId="19033" xr:uid="{E43041D1-3898-4624-A4A2-0AB726F14FAA}"/>
    <cellStyle name="Normal 3 2 3 3 5 5" xfId="27478" xr:uid="{B2722AE9-FF4B-480B-A9A0-5B93672EA7A0}"/>
    <cellStyle name="Normal 3 2 3 3 5 6" xfId="10592" xr:uid="{62904E76-AC8B-4607-9DED-4A255E239E39}"/>
    <cellStyle name="Normal 3 2 3 3 6" xfId="2497" xr:uid="{00000000-0005-0000-0000-0000B8110000}"/>
    <cellStyle name="Normal 3 2 3 3 6 2" xfId="6781" xr:uid="{00000000-0005-0000-0000-0000B9110000}"/>
    <cellStyle name="Normal 3 2 3 3 6 2 2" xfId="23664" xr:uid="{A5AE2BCC-D383-4A09-BED7-7D8788428C2D}"/>
    <cellStyle name="Normal 3 2 3 3 6 2 3" xfId="32110" xr:uid="{D64779C5-9BA5-4E43-8FF2-0D202F90B814}"/>
    <cellStyle name="Normal 3 2 3 3 6 2 4" xfId="15223" xr:uid="{4DE84348-886A-44BB-BEEF-54D1574999BB}"/>
    <cellStyle name="Normal 3 2 3 3 6 3" xfId="19446" xr:uid="{695A6F3B-AEF6-4E6A-BF0B-4204973EBC71}"/>
    <cellStyle name="Normal 3 2 3 3 6 4" xfId="27891" xr:uid="{60AE31C2-B188-48B6-A2F1-58D8E58076DD}"/>
    <cellStyle name="Normal 3 2 3 3 6 5" xfId="11005" xr:uid="{5CDE050C-B427-4BA3-BB8E-8C22529ADF75}"/>
    <cellStyle name="Normal 3 2 3 3 7" xfId="4715" xr:uid="{00000000-0005-0000-0000-0000BA110000}"/>
    <cellStyle name="Normal 3 2 3 3 7 2" xfId="21598" xr:uid="{0E6A8202-319E-4C22-9035-BD99396AE4B9}"/>
    <cellStyle name="Normal 3 2 3 3 7 3" xfId="30044" xr:uid="{D951DF44-0002-43DE-A0A3-56A196B739C0}"/>
    <cellStyle name="Normal 3 2 3 3 7 4" xfId="13157" xr:uid="{62D0A3B9-3274-47AA-8AB1-799A27B177E2}"/>
    <cellStyle name="Normal 3 2 3 3 8" xfId="17380" xr:uid="{30FB465D-E6AA-45D0-93E5-085A6E9D2540}"/>
    <cellStyle name="Normal 3 2 3 3 9" xfId="25824" xr:uid="{75701ECD-2064-42A1-B922-0C9368A0D64C}"/>
    <cellStyle name="Normal 3 2 3 4" xfId="811" xr:uid="{00000000-0005-0000-0000-0000BB110000}"/>
    <cellStyle name="Normal 3 2 3 4 2" xfId="3048" xr:uid="{00000000-0005-0000-0000-0000BC110000}"/>
    <cellStyle name="Normal 3 2 3 4 2 2" xfId="7271" xr:uid="{00000000-0005-0000-0000-0000BD110000}"/>
    <cellStyle name="Normal 3 2 3 4 2 2 2" xfId="24154" xr:uid="{55FD6D33-F5CF-4914-A944-5D4582CB5BC9}"/>
    <cellStyle name="Normal 3 2 3 4 2 2 3" xfId="32600" xr:uid="{2CF96AB7-80C3-4C49-A024-BA0CA9844EB3}"/>
    <cellStyle name="Normal 3 2 3 4 2 2 4" xfId="15713" xr:uid="{E13D4C84-B3BA-42C0-B40D-B0C965CFA8AF}"/>
    <cellStyle name="Normal 3 2 3 4 2 3" xfId="19936" xr:uid="{82834CC3-C6E7-4419-BFCD-43EA4C09F8AB}"/>
    <cellStyle name="Normal 3 2 3 4 2 4" xfId="28383" xr:uid="{2D238A9C-3785-4949-A4E0-447B1CBB2F43}"/>
    <cellStyle name="Normal 3 2 3 4 2 5" xfId="11495" xr:uid="{A4658FB7-9155-40AE-9AA1-AE98698D36FF}"/>
    <cellStyle name="Normal 3 2 3 4 3" xfId="5126" xr:uid="{00000000-0005-0000-0000-0000BE110000}"/>
    <cellStyle name="Normal 3 2 3 4 3 2" xfId="22009" xr:uid="{E899F8BC-5F35-426F-A4E0-4A5072F65540}"/>
    <cellStyle name="Normal 3 2 3 4 3 3" xfId="30455" xr:uid="{0DF1A220-559E-4318-A3CE-5EA43F1BF594}"/>
    <cellStyle name="Normal 3 2 3 4 3 4" xfId="13568" xr:uid="{57A28353-8C36-4B30-9212-18E7013D33FB}"/>
    <cellStyle name="Normal 3 2 3 4 4" xfId="17791" xr:uid="{4DD9E411-6646-442D-8224-6AB2E12BE835}"/>
    <cellStyle name="Normal 3 2 3 4 5" xfId="26236" xr:uid="{BB7E4FCA-AEC6-4F7D-880D-01EFB5D0A169}"/>
    <cellStyle name="Normal 3 2 3 4 6" xfId="9350" xr:uid="{8E7BEC00-D89E-4AFD-BCFE-5EC6D90129A7}"/>
    <cellStyle name="Normal 3 2 3 5" xfId="1231" xr:uid="{00000000-0005-0000-0000-0000BF110000}"/>
    <cellStyle name="Normal 3 2 3 5 2" xfId="3461" xr:uid="{00000000-0005-0000-0000-0000C0110000}"/>
    <cellStyle name="Normal 3 2 3 5 2 2" xfId="7684" xr:uid="{00000000-0005-0000-0000-0000C1110000}"/>
    <cellStyle name="Normal 3 2 3 5 2 2 2" xfId="24567" xr:uid="{1C9C6ACC-00C8-4522-A09C-C87C2909855E}"/>
    <cellStyle name="Normal 3 2 3 5 2 2 3" xfId="33013" xr:uid="{CF067DD6-AEEB-4E61-BF41-E70667DD0A5C}"/>
    <cellStyle name="Normal 3 2 3 5 2 2 4" xfId="16126" xr:uid="{F8E17062-AA75-4E0B-8849-EF39A0FBEB29}"/>
    <cellStyle name="Normal 3 2 3 5 2 3" xfId="20349" xr:uid="{7F17A3F0-5432-49BB-B476-D697B0DA6292}"/>
    <cellStyle name="Normal 3 2 3 5 2 4" xfId="28796" xr:uid="{577BADE7-3E2A-48C9-8CE5-1A2E93AC14D6}"/>
    <cellStyle name="Normal 3 2 3 5 2 5" xfId="11908" xr:uid="{2E8B02AA-B726-4AA4-8A68-D9E7D977590E}"/>
    <cellStyle name="Normal 3 2 3 5 3" xfId="5539" xr:uid="{00000000-0005-0000-0000-0000C2110000}"/>
    <cellStyle name="Normal 3 2 3 5 3 2" xfId="22422" xr:uid="{9E339A03-7964-40CF-BBE6-F0C89AC7C2F3}"/>
    <cellStyle name="Normal 3 2 3 5 3 3" xfId="30868" xr:uid="{C5EC034C-8947-4A8B-8602-A8DE0B1B5C5B}"/>
    <cellStyle name="Normal 3 2 3 5 3 4" xfId="13981" xr:uid="{12A30D30-2C2B-41F9-A7FC-9B22E6B30F1C}"/>
    <cellStyle name="Normal 3 2 3 5 4" xfId="18204" xr:uid="{5AE85D4F-AA73-40B5-AFAA-B473DF113FFB}"/>
    <cellStyle name="Normal 3 2 3 5 5" xfId="26649" xr:uid="{07AF54A1-0C98-45A0-B3B0-F76CF39651AC}"/>
    <cellStyle name="Normal 3 2 3 5 6" xfId="9763" xr:uid="{ADDA9402-D1BD-4473-A106-7B6B0574F54D}"/>
    <cellStyle name="Normal 3 2 3 6" xfId="1644" xr:uid="{00000000-0005-0000-0000-0000C3110000}"/>
    <cellStyle name="Normal 3 2 3 6 2" xfId="3874" xr:uid="{00000000-0005-0000-0000-0000C4110000}"/>
    <cellStyle name="Normal 3 2 3 6 2 2" xfId="8097" xr:uid="{00000000-0005-0000-0000-0000C5110000}"/>
    <cellStyle name="Normal 3 2 3 6 2 2 2" xfId="24980" xr:uid="{554F47A9-01F2-4A1C-9C6A-9FD16EF6D395}"/>
    <cellStyle name="Normal 3 2 3 6 2 2 3" xfId="33426" xr:uid="{AA072E2E-2466-4EC8-BF09-CFFEEFAF7E57}"/>
    <cellStyle name="Normal 3 2 3 6 2 2 4" xfId="16539" xr:uid="{63B2238C-EB8A-43DB-9461-4B2C079B5D29}"/>
    <cellStyle name="Normal 3 2 3 6 2 3" xfId="20762" xr:uid="{5F2D1D63-2D83-41CC-BA4C-72BA2722F893}"/>
    <cellStyle name="Normal 3 2 3 6 2 4" xfId="29209" xr:uid="{E4FD52E5-6244-4A1A-A849-A1FEA2FCD904}"/>
    <cellStyle name="Normal 3 2 3 6 2 5" xfId="12321" xr:uid="{E215D5C3-BDDE-477A-BBAD-C14F7397E473}"/>
    <cellStyle name="Normal 3 2 3 6 3" xfId="5952" xr:uid="{00000000-0005-0000-0000-0000C6110000}"/>
    <cellStyle name="Normal 3 2 3 6 3 2" xfId="22835" xr:uid="{F3681B5F-F88E-4BB9-90AC-0BD9CE5724DA}"/>
    <cellStyle name="Normal 3 2 3 6 3 3" xfId="31281" xr:uid="{15F15075-25C4-46C8-843B-36BFB5F8E9C8}"/>
    <cellStyle name="Normal 3 2 3 6 3 4" xfId="14394" xr:uid="{23E8E33C-08FD-4A36-9464-EFF86A7177C0}"/>
    <cellStyle name="Normal 3 2 3 6 4" xfId="18617" xr:uid="{08122C91-F82E-4D74-A0A4-E507AE46BED9}"/>
    <cellStyle name="Normal 3 2 3 6 5" xfId="27062" xr:uid="{E1F14F1B-B42F-41BB-B22C-AC3687DD5748}"/>
    <cellStyle name="Normal 3 2 3 6 6" xfId="10176" xr:uid="{52077A41-1105-4C0B-AC2D-79C64549A379}"/>
    <cellStyle name="Normal 3 2 3 7" xfId="2058" xr:uid="{00000000-0005-0000-0000-0000C7110000}"/>
    <cellStyle name="Normal 3 2 3 7 2" xfId="4287" xr:uid="{00000000-0005-0000-0000-0000C8110000}"/>
    <cellStyle name="Normal 3 2 3 7 2 2" xfId="8510" xr:uid="{00000000-0005-0000-0000-0000C9110000}"/>
    <cellStyle name="Normal 3 2 3 7 2 2 2" xfId="25393" xr:uid="{A9318348-7DE9-4551-AF86-EE5F7EC467D7}"/>
    <cellStyle name="Normal 3 2 3 7 2 2 3" xfId="33839" xr:uid="{C4465B5E-10B0-472F-A367-1F74F659E106}"/>
    <cellStyle name="Normal 3 2 3 7 2 2 4" xfId="16952" xr:uid="{2174237D-8AE0-4CB1-B9FA-81E06D4A853B}"/>
    <cellStyle name="Normal 3 2 3 7 2 3" xfId="21175" xr:uid="{4A089E44-EACB-452D-89D0-5A8CAF61FAB3}"/>
    <cellStyle name="Normal 3 2 3 7 2 4" xfId="29622" xr:uid="{D159A302-D8E7-4B7F-B068-8E329DF8B1C2}"/>
    <cellStyle name="Normal 3 2 3 7 2 5" xfId="12734" xr:uid="{4E5D5F14-C41C-43FD-96AF-560F3EB59ADD}"/>
    <cellStyle name="Normal 3 2 3 7 3" xfId="6365" xr:uid="{00000000-0005-0000-0000-0000CA110000}"/>
    <cellStyle name="Normal 3 2 3 7 3 2" xfId="23248" xr:uid="{E5BF7AFF-F05C-4AF1-B816-E5299CA09649}"/>
    <cellStyle name="Normal 3 2 3 7 3 3" xfId="31694" xr:uid="{50727417-784B-4CA6-B09C-9C784064B01F}"/>
    <cellStyle name="Normal 3 2 3 7 3 4" xfId="14807" xr:uid="{9EE783B3-DADA-4C2C-9471-15FA350A16B9}"/>
    <cellStyle name="Normal 3 2 3 7 4" xfId="19030" xr:uid="{5FF46052-3013-4E15-9CE9-42A81FC093BD}"/>
    <cellStyle name="Normal 3 2 3 7 5" xfId="27475" xr:uid="{5E7A606C-E868-45A4-8B6C-35F98A9AD0B1}"/>
    <cellStyle name="Normal 3 2 3 7 6" xfId="10589" xr:uid="{9EDC56AF-1511-422C-AD7E-2DAFF6F7F9A4}"/>
    <cellStyle name="Normal 3 2 3 8" xfId="2494" xr:uid="{00000000-0005-0000-0000-0000CB110000}"/>
    <cellStyle name="Normal 3 2 3 8 2" xfId="6778" xr:uid="{00000000-0005-0000-0000-0000CC110000}"/>
    <cellStyle name="Normal 3 2 3 8 2 2" xfId="23661" xr:uid="{8F5A7AD9-2AF9-4BD9-A002-C0EDF7EC60E4}"/>
    <cellStyle name="Normal 3 2 3 8 2 3" xfId="32107" xr:uid="{47CD2B20-1F70-4734-82E0-CC4A9732C815}"/>
    <cellStyle name="Normal 3 2 3 8 2 4" xfId="15220" xr:uid="{74F43653-52A8-456A-BC41-DB23530CE2F2}"/>
    <cellStyle name="Normal 3 2 3 8 3" xfId="19443" xr:uid="{ABEFC1B9-73B5-4FC3-9DFD-5F13A19AC40C}"/>
    <cellStyle name="Normal 3 2 3 8 4" xfId="27888" xr:uid="{80A9BBD8-E9B6-4086-A4CF-F5F447A130AE}"/>
    <cellStyle name="Normal 3 2 3 8 5" xfId="11002" xr:uid="{B5EA0B1D-F119-4271-8291-4E64C7380F7F}"/>
    <cellStyle name="Normal 3 2 3 9" xfId="4712" xr:uid="{00000000-0005-0000-0000-0000CD110000}"/>
    <cellStyle name="Normal 3 2 3 9 2" xfId="21595" xr:uid="{76A44945-AB9D-4478-9F44-E51DD78DDE67}"/>
    <cellStyle name="Normal 3 2 3 9 3" xfId="30041" xr:uid="{C1B6FD77-477C-4A14-8F3B-A3C6951E3FEE}"/>
    <cellStyle name="Normal 3 2 3 9 4" xfId="13154" xr:uid="{36220244-3B46-4815-A2A7-3B03125967E2}"/>
    <cellStyle name="Normal 3 2 4" xfId="809" xr:uid="{00000000-0005-0000-0000-0000CE110000}"/>
    <cellStyle name="Normal 3 2 4 2" xfId="3047" xr:uid="{00000000-0005-0000-0000-0000CF110000}"/>
    <cellStyle name="Normal 3 2 4 2 2" xfId="7270" xr:uid="{00000000-0005-0000-0000-0000D0110000}"/>
    <cellStyle name="Normal 3 2 4 2 2 2" xfId="24153" xr:uid="{C7A53CFE-88D6-450D-8143-B34EDC157DD1}"/>
    <cellStyle name="Normal 3 2 4 2 2 3" xfId="32599" xr:uid="{197C2F3E-98EE-4A25-A3AF-41089A6FD276}"/>
    <cellStyle name="Normal 3 2 4 2 2 4" xfId="15712" xr:uid="{35D535C8-124C-42F9-98B7-15ED85783AFB}"/>
    <cellStyle name="Normal 3 2 4 2 3" xfId="19935" xr:uid="{7F39CD1D-1B6D-4D3C-8CA3-6E9CC3D256F7}"/>
    <cellStyle name="Normal 3 2 4 2 4" xfId="28382" xr:uid="{EE26D72F-29F0-4FBC-B2EE-5B1786BD072E}"/>
    <cellStyle name="Normal 3 2 4 2 5" xfId="11494" xr:uid="{CD0B394A-56E0-4CCE-A5BA-212848D6DB32}"/>
    <cellStyle name="Normal 3 2 4 3" xfId="5125" xr:uid="{00000000-0005-0000-0000-0000D1110000}"/>
    <cellStyle name="Normal 3 2 4 3 2" xfId="22008" xr:uid="{074991AC-E2EA-46CA-9B2E-AEFBE5326A6F}"/>
    <cellStyle name="Normal 3 2 4 3 3" xfId="30454" xr:uid="{2A45E23C-4D6E-4A34-9E1F-7E7C218E5F8B}"/>
    <cellStyle name="Normal 3 2 4 3 4" xfId="13567" xr:uid="{A517B6CD-83A4-4D6D-A631-F5048DB7F7D6}"/>
    <cellStyle name="Normal 3 2 4 4" xfId="17790" xr:uid="{CA330CE9-C9AB-495B-97D3-AB447DF9E93A}"/>
    <cellStyle name="Normal 3 2 4 5" xfId="26235" xr:uid="{E404A1D8-98B2-400A-82E8-079BAA7202AC}"/>
    <cellStyle name="Normal 3 2 4 6" xfId="9349" xr:uid="{8F7C60E7-3574-4A16-842D-8D138680E24E}"/>
    <cellStyle name="Normal 3 2 5" xfId="1230" xr:uid="{00000000-0005-0000-0000-0000D2110000}"/>
    <cellStyle name="Normal 3 2 5 2" xfId="3460" xr:uid="{00000000-0005-0000-0000-0000D3110000}"/>
    <cellStyle name="Normal 3 2 5 2 2" xfId="7683" xr:uid="{00000000-0005-0000-0000-0000D4110000}"/>
    <cellStyle name="Normal 3 2 5 2 2 2" xfId="24566" xr:uid="{0BEBA63E-A4C6-431B-847F-5452BFC3F4E6}"/>
    <cellStyle name="Normal 3 2 5 2 2 3" xfId="33012" xr:uid="{6AC4A2A9-9868-4503-BCA7-645EA510AFFE}"/>
    <cellStyle name="Normal 3 2 5 2 2 4" xfId="16125" xr:uid="{3D8C0872-1566-4617-9B93-619F668687F1}"/>
    <cellStyle name="Normal 3 2 5 2 3" xfId="20348" xr:uid="{7E70720D-F250-4CB3-9942-EEF0AC280770}"/>
    <cellStyle name="Normal 3 2 5 2 4" xfId="28795" xr:uid="{F8346743-3881-4B16-8A7F-01801A7244DA}"/>
    <cellStyle name="Normal 3 2 5 2 5" xfId="11907" xr:uid="{4115589F-C729-4831-AFDA-33E82AA194AA}"/>
    <cellStyle name="Normal 3 2 5 3" xfId="5538" xr:uid="{00000000-0005-0000-0000-0000D5110000}"/>
    <cellStyle name="Normal 3 2 5 3 2" xfId="22421" xr:uid="{AEA7C5E0-55CA-4A98-A884-2D6C39D0C4E3}"/>
    <cellStyle name="Normal 3 2 5 3 3" xfId="30867" xr:uid="{48E065DC-BD89-4C51-92AE-FB6F85C38038}"/>
    <cellStyle name="Normal 3 2 5 3 4" xfId="13980" xr:uid="{3342BCC8-9C2E-4323-962B-FCCBDBFA386E}"/>
    <cellStyle name="Normal 3 2 5 4" xfId="18203" xr:uid="{9730A7DF-0FA8-4166-B68A-E2986AAA6331}"/>
    <cellStyle name="Normal 3 2 5 5" xfId="26648" xr:uid="{5DC63F9B-95AC-428A-9A31-50306FA77AE1}"/>
    <cellStyle name="Normal 3 2 5 6" xfId="9762" xr:uid="{C6C8A7C6-8550-46A6-A398-DD36F42E2A7A}"/>
    <cellStyle name="Normal 3 2 6" xfId="1643" xr:uid="{00000000-0005-0000-0000-0000D6110000}"/>
    <cellStyle name="Normal 3 2 6 2" xfId="3873" xr:uid="{00000000-0005-0000-0000-0000D7110000}"/>
    <cellStyle name="Normal 3 2 6 2 2" xfId="8096" xr:uid="{00000000-0005-0000-0000-0000D8110000}"/>
    <cellStyle name="Normal 3 2 6 2 2 2" xfId="24979" xr:uid="{60428C37-B861-489A-B3D1-77C7FBF8119D}"/>
    <cellStyle name="Normal 3 2 6 2 2 3" xfId="33425" xr:uid="{F5A5BBBD-D9C1-4278-BC6E-04281C164428}"/>
    <cellStyle name="Normal 3 2 6 2 2 4" xfId="16538" xr:uid="{BA91A0A3-4BCF-4484-ABD2-4E471E2BE365}"/>
    <cellStyle name="Normal 3 2 6 2 3" xfId="20761" xr:uid="{FBDD5317-7AB7-4315-B427-842EE865F387}"/>
    <cellStyle name="Normal 3 2 6 2 4" xfId="29208" xr:uid="{CB4B7491-6566-4E47-941F-DB855CD56866}"/>
    <cellStyle name="Normal 3 2 6 2 5" xfId="12320" xr:uid="{805578DF-CCD2-47F7-A31C-FCA87A8DFA66}"/>
    <cellStyle name="Normal 3 2 6 3" xfId="5951" xr:uid="{00000000-0005-0000-0000-0000D9110000}"/>
    <cellStyle name="Normal 3 2 6 3 2" xfId="22834" xr:uid="{AB374D4F-F507-44F9-9E38-57603701E94E}"/>
    <cellStyle name="Normal 3 2 6 3 3" xfId="31280" xr:uid="{B08B0B94-47BB-4310-8502-72516375D051}"/>
    <cellStyle name="Normal 3 2 6 3 4" xfId="14393" xr:uid="{71B6BBB8-B8D5-41BA-91B5-4C893CA65179}"/>
    <cellStyle name="Normal 3 2 6 4" xfId="18616" xr:uid="{48C2F035-62F1-4764-85A9-B073A068E0C5}"/>
    <cellStyle name="Normal 3 2 6 5" xfId="27061" xr:uid="{6EAB9DE6-1001-49EE-A191-0139EDC67ECE}"/>
    <cellStyle name="Normal 3 2 6 6" xfId="10175" xr:uid="{BCDC5F89-D2C3-4B90-884F-96B9F067498E}"/>
    <cellStyle name="Normal 3 2 7" xfId="2057" xr:uid="{00000000-0005-0000-0000-0000DA110000}"/>
    <cellStyle name="Normal 3 2 7 2" xfId="4286" xr:uid="{00000000-0005-0000-0000-0000DB110000}"/>
    <cellStyle name="Normal 3 2 7 2 2" xfId="8509" xr:uid="{00000000-0005-0000-0000-0000DC110000}"/>
    <cellStyle name="Normal 3 2 7 2 2 2" xfId="25392" xr:uid="{E74AC955-5377-4BA9-9270-CC9706AF4FCA}"/>
    <cellStyle name="Normal 3 2 7 2 2 3" xfId="33838" xr:uid="{63742EB6-4D6C-4AFE-BEA9-DFCE6BE7E4CE}"/>
    <cellStyle name="Normal 3 2 7 2 2 4" xfId="16951" xr:uid="{8634421A-39CA-40A9-9497-95FACBB4F927}"/>
    <cellStyle name="Normal 3 2 7 2 3" xfId="21174" xr:uid="{70717E54-AA5E-433F-A8F8-99B8B4466B9C}"/>
    <cellStyle name="Normal 3 2 7 2 4" xfId="29621" xr:uid="{2C53DA1E-C638-4273-84D5-7A45DBEDED83}"/>
    <cellStyle name="Normal 3 2 7 2 5" xfId="12733" xr:uid="{E3CF5B82-7A9F-4BAC-9CC4-A75007D6A60A}"/>
    <cellStyle name="Normal 3 2 7 3" xfId="6364" xr:uid="{00000000-0005-0000-0000-0000DD110000}"/>
    <cellStyle name="Normal 3 2 7 3 2" xfId="23247" xr:uid="{36E2EE90-2F1A-4F61-8F70-66687FCBEBC4}"/>
    <cellStyle name="Normal 3 2 7 3 3" xfId="31693" xr:uid="{3DAFBD18-BC32-4304-936D-BFD2656C28F4}"/>
    <cellStyle name="Normal 3 2 7 3 4" xfId="14806" xr:uid="{70F77B7B-8E1D-4026-BBC4-FFFF9A766302}"/>
    <cellStyle name="Normal 3 2 7 4" xfId="19029" xr:uid="{414A83E4-1A5F-45C7-9C91-6C5F0069C6B4}"/>
    <cellStyle name="Normal 3 2 7 5" xfId="27474" xr:uid="{C9129492-6049-4F85-A6A9-021BC950EA15}"/>
    <cellStyle name="Normal 3 2 7 6" xfId="10588" xr:uid="{1721EB8E-A3E5-4DED-90AB-6B168284F23D}"/>
    <cellStyle name="Normal 3 2 8" xfId="2493" xr:uid="{00000000-0005-0000-0000-0000DE110000}"/>
    <cellStyle name="Normal 3 2 8 2" xfId="6777" xr:uid="{00000000-0005-0000-0000-0000DF110000}"/>
    <cellStyle name="Normal 3 2 8 2 2" xfId="23660" xr:uid="{A2EC8179-90EF-4C61-8BD7-10A32DC28065}"/>
    <cellStyle name="Normal 3 2 8 2 3" xfId="32106" xr:uid="{38CD401D-6C55-49A5-95E6-0AB371507647}"/>
    <cellStyle name="Normal 3 2 8 2 4" xfId="15219" xr:uid="{666875CE-C9DF-481A-874B-9EB21CD65CF5}"/>
    <cellStyle name="Normal 3 2 8 3" xfId="19442" xr:uid="{5AFD0C16-6B8A-458D-991A-ABEC69F61C00}"/>
    <cellStyle name="Normal 3 2 8 4" xfId="27887" xr:uid="{366EEB95-1B54-4C18-BD3C-73A60F641147}"/>
    <cellStyle name="Normal 3 2 8 5" xfId="11001" xr:uid="{D44F1CB7-1BCE-4615-BC68-18DD353E441E}"/>
    <cellStyle name="Normal 3 2 9" xfId="4711" xr:uid="{00000000-0005-0000-0000-0000E0110000}"/>
    <cellStyle name="Normal 3 2 9 2" xfId="21594" xr:uid="{3EBCB7D3-A0DC-4258-8E31-1FB448377123}"/>
    <cellStyle name="Normal 3 2 9 3" xfId="30040" xr:uid="{5AE44EF3-14D8-4F3E-A332-5C553E1062BF}"/>
    <cellStyle name="Normal 3 2 9 4" xfId="13153" xr:uid="{41C46C2F-EF8B-4FB8-9D16-11E65A414582}"/>
    <cellStyle name="Normal 3 2_Item C7" xfId="34073" xr:uid="{BB141265-90C5-4FD0-9F6D-D7AF7E229AC7}"/>
    <cellStyle name="Normal 3 3" xfId="330" xr:uid="{00000000-0005-0000-0000-0000E1110000}"/>
    <cellStyle name="Normal 3 3 2" xfId="331" xr:uid="{00000000-0005-0000-0000-0000E2110000}"/>
    <cellStyle name="Normal 3 3 2 2" xfId="25953" xr:uid="{3922B37C-CB1D-46E9-B7FA-B4093D0883B6}"/>
    <cellStyle name="Normal 3 3 3" xfId="332" xr:uid="{00000000-0005-0000-0000-0000E3110000}"/>
    <cellStyle name="Normal 3 3 4" xfId="34142" xr:uid="{14DF1E28-6799-4FD8-BB4B-1270843CD6E6}"/>
    <cellStyle name="Normal 3 3_Dropdowns" xfId="34066" xr:uid="{D4AA5BB3-D17C-4F35-BF20-1B9600925B45}"/>
    <cellStyle name="Normal 3 4" xfId="333" xr:uid="{00000000-0005-0000-0000-0000E4110000}"/>
    <cellStyle name="Normal 3 4 2" xfId="34060" xr:uid="{674D4F85-B649-432D-8B60-B43FE9B2C320}"/>
    <cellStyle name="Normal 3 5" xfId="334" xr:uid="{00000000-0005-0000-0000-0000E5110000}"/>
    <cellStyle name="Normal 3 5 2" xfId="34064" xr:uid="{28AEEA2A-83F6-4BE0-874C-7E0D3E275618}"/>
    <cellStyle name="Normal 3 5 3" xfId="34102" xr:uid="{DE67A283-324B-425B-9EEA-5673B6825F93}"/>
    <cellStyle name="Normal 3 5 4" xfId="34212" xr:uid="{A6D2D2D1-2249-484F-A39C-6868D0A875B9}"/>
    <cellStyle name="Normal 3 5_Dropdowns" xfId="34154" xr:uid="{B4A1C6C0-9E33-4CD1-BFF2-65AF44817CE4}"/>
    <cellStyle name="Normal 3 6" xfId="808" xr:uid="{00000000-0005-0000-0000-0000E6110000}"/>
    <cellStyle name="Normal 3 7" xfId="34186" xr:uid="{CFE8F109-4D34-49DF-8155-68EF85AEB390}"/>
    <cellStyle name="Normal 3 8" xfId="34193" xr:uid="{A5BDAAA0-5619-41E8-8F3F-6F19BA2D1125}"/>
    <cellStyle name="Normal 3_Dropdowns" xfId="34062" xr:uid="{B2D087E5-6F97-4E66-AA6F-3FA00D934B9F}"/>
    <cellStyle name="Normal 4" xfId="335" xr:uid="{00000000-0005-0000-0000-0000E7110000}"/>
    <cellStyle name="Normal 4 10" xfId="17381" xr:uid="{47C76DEE-0368-483A-883D-DC6A04EDD6AB}"/>
    <cellStyle name="Normal 4 11" xfId="25825" xr:uid="{27C4C62F-9255-4506-982E-9C51EC3C9670}"/>
    <cellStyle name="Normal 4 12" xfId="8940" xr:uid="{926D89EE-AA34-4F25-B443-675FB04889FB}"/>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25397" xr:uid="{1CF289E4-EA6C-420F-9CC4-D028F32D525E}"/>
    <cellStyle name="Normal 4 2 2 10 2 2 3" xfId="33843" xr:uid="{31AFED04-2C1B-47E8-AC7F-359F01F2C670}"/>
    <cellStyle name="Normal 4 2 2 10 2 2 4" xfId="16956" xr:uid="{47A86961-07E5-495C-92B6-557ACC186A34}"/>
    <cellStyle name="Normal 4 2 2 10 2 3" xfId="21179" xr:uid="{6A135FE5-3FEF-418C-9EAE-2A2D5218DF4D}"/>
    <cellStyle name="Normal 4 2 2 10 2 4" xfId="29626" xr:uid="{6DEF927E-530B-4D58-854D-CCC9694561D8}"/>
    <cellStyle name="Normal 4 2 2 10 2 5" xfId="12738" xr:uid="{0BFBBB15-1FD0-4C97-9624-4204CED38FAA}"/>
    <cellStyle name="Normal 4 2 2 10 3" xfId="6369" xr:uid="{00000000-0005-0000-0000-0000ED110000}"/>
    <cellStyle name="Normal 4 2 2 10 3 2" xfId="23252" xr:uid="{720CF88F-7BF1-494C-AAF5-824CEFA4F2D8}"/>
    <cellStyle name="Normal 4 2 2 10 3 3" xfId="31698" xr:uid="{BED4BC4F-D0E1-4530-920B-48F6B5C90013}"/>
    <cellStyle name="Normal 4 2 2 10 3 4" xfId="14811" xr:uid="{BCD5B01E-7077-4192-8439-FC9FE2AFE296}"/>
    <cellStyle name="Normal 4 2 2 10 4" xfId="19034" xr:uid="{1ED04101-F5E7-480C-A256-A3C224FD95DC}"/>
    <cellStyle name="Normal 4 2 2 10 5" xfId="27479" xr:uid="{F3A50651-E4DC-4740-884F-26A41B6AED64}"/>
    <cellStyle name="Normal 4 2 2 10 6" xfId="10593" xr:uid="{88993F00-9933-4CC6-9A32-B642583587F3}"/>
    <cellStyle name="Normal 4 2 2 11" xfId="2498" xr:uid="{00000000-0005-0000-0000-0000EE110000}"/>
    <cellStyle name="Normal 4 2 2 11 2" xfId="6782" xr:uid="{00000000-0005-0000-0000-0000EF110000}"/>
    <cellStyle name="Normal 4 2 2 11 2 2" xfId="23665" xr:uid="{BD832B56-90BD-4CB2-9EB0-E4E84A4F3219}"/>
    <cellStyle name="Normal 4 2 2 11 2 3" xfId="32111" xr:uid="{B9B12D8D-D325-43D3-890D-934E8D69648F}"/>
    <cellStyle name="Normal 4 2 2 11 2 4" xfId="15224" xr:uid="{9E3191F1-A2D7-434E-8570-6E4DB5661A9C}"/>
    <cellStyle name="Normal 4 2 2 11 3" xfId="19447" xr:uid="{870A3803-8697-49CF-99ED-844A06BAA49B}"/>
    <cellStyle name="Normal 4 2 2 11 4" xfId="27892" xr:uid="{CB432A26-E176-40C1-8E63-394E6104CE93}"/>
    <cellStyle name="Normal 4 2 2 11 5" xfId="11006" xr:uid="{2D09E8DE-E73D-4833-818D-6F9A0A2B4DA1}"/>
    <cellStyle name="Normal 4 2 2 12" xfId="4717" xr:uid="{00000000-0005-0000-0000-0000F0110000}"/>
    <cellStyle name="Normal 4 2 2 12 2" xfId="21600" xr:uid="{0AB76B2F-81DC-455E-AF2C-E0BA086E3BA5}"/>
    <cellStyle name="Normal 4 2 2 12 3" xfId="30046" xr:uid="{68BE01DF-613C-4FF6-8864-4D383790378C}"/>
    <cellStyle name="Normal 4 2 2 12 4" xfId="13159" xr:uid="{5419936C-5EE7-48B3-B398-45149421789D}"/>
    <cellStyle name="Normal 4 2 2 13" xfId="17382" xr:uid="{D10BCDA4-F867-40EC-9395-DA8F7344A5E3}"/>
    <cellStyle name="Normal 4 2 2 14" xfId="25826" xr:uid="{D2338B5C-5717-472F-AC84-CBD0A5A16B20}"/>
    <cellStyle name="Normal 4 2 2 15" xfId="8941" xr:uid="{3AA3BC61-9FAE-4030-9654-2D31792E1747}"/>
    <cellStyle name="Normal 4 2 2 2" xfId="338" xr:uid="{00000000-0005-0000-0000-0000F1110000}"/>
    <cellStyle name="Normal 4 2 2 3" xfId="339" xr:uid="{00000000-0005-0000-0000-0000F2110000}"/>
    <cellStyle name="Normal 4 2 2 3 10" xfId="4718" xr:uid="{00000000-0005-0000-0000-0000F3110000}"/>
    <cellStyle name="Normal 4 2 2 3 10 2" xfId="21601" xr:uid="{F1FEF09F-D154-4C30-AD4B-B54DEFE5E2CF}"/>
    <cellStyle name="Normal 4 2 2 3 10 3" xfId="30047" xr:uid="{B35AC6EC-606B-443C-A079-587C4BF6F9C6}"/>
    <cellStyle name="Normal 4 2 2 3 10 4" xfId="13160" xr:uid="{2E78DB28-7010-4DEE-BC12-96EBB82FAF2F}"/>
    <cellStyle name="Normal 4 2 2 3 11" xfId="17383" xr:uid="{CB15AF74-EC6E-4657-AE18-0F2436DA8E14}"/>
    <cellStyle name="Normal 4 2 2 3 12" xfId="25827" xr:uid="{7946A941-6FE4-4012-A71F-E3035643ECB7}"/>
    <cellStyle name="Normal 4 2 2 3 13" xfId="8942" xr:uid="{E5F64B33-5D69-4A11-AEE8-12C0D2A1143A}"/>
    <cellStyle name="Normal 4 2 2 3 2" xfId="340" xr:uid="{00000000-0005-0000-0000-0000F4110000}"/>
    <cellStyle name="Normal 4 2 2 3 2 10" xfId="17384" xr:uid="{A9E84A02-4E74-40D0-9292-3EF1B228074C}"/>
    <cellStyle name="Normal 4 2 2 3 2 11" xfId="25828" xr:uid="{EEF60C04-FD82-4CF0-8B37-32989D667131}"/>
    <cellStyle name="Normal 4 2 2 3 2 12" xfId="8943" xr:uid="{0C69162D-6DEC-4030-932E-F98326B8DE9D}"/>
    <cellStyle name="Normal 4 2 2 3 2 2" xfId="341" xr:uid="{00000000-0005-0000-0000-0000F5110000}"/>
    <cellStyle name="Normal 4 2 2 3 2 2 10" xfId="25829" xr:uid="{9646409C-A890-49C4-B7DF-19DB03D0BBD0}"/>
    <cellStyle name="Normal 4 2 2 3 2 2 11" xfId="8944" xr:uid="{B1CB22B8-02C9-4209-8316-B7A7B895F4C5}"/>
    <cellStyle name="Normal 4 2 2 3 2 2 2" xfId="342" xr:uid="{00000000-0005-0000-0000-0000F6110000}"/>
    <cellStyle name="Normal 4 2 2 3 2 2 2 10" xfId="8945" xr:uid="{0A976E06-2A04-474F-8E54-4882974298D3}"/>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24162" xr:uid="{F8223646-CA80-48E3-A99B-AA196E9BC097}"/>
    <cellStyle name="Normal 4 2 2 3 2 2 2 2 2 2 3" xfId="32608" xr:uid="{EDC8BAB8-8C09-460C-9F43-AF343D337E43}"/>
    <cellStyle name="Normal 4 2 2 3 2 2 2 2 2 2 4" xfId="15721" xr:uid="{2E7BF167-5683-4B8B-81B2-A77366FCB475}"/>
    <cellStyle name="Normal 4 2 2 3 2 2 2 2 2 3" xfId="19944" xr:uid="{093BEC87-2DAC-4F62-B8F7-E972A61737E4}"/>
    <cellStyle name="Normal 4 2 2 3 2 2 2 2 2 4" xfId="28391" xr:uid="{60B53FA7-827C-44F7-BA7F-46C875156363}"/>
    <cellStyle name="Normal 4 2 2 3 2 2 2 2 2 5" xfId="11503" xr:uid="{32C4F257-BE8D-492F-B7CA-ECD66B73AD84}"/>
    <cellStyle name="Normal 4 2 2 3 2 2 2 2 3" xfId="5134" xr:uid="{00000000-0005-0000-0000-0000FA110000}"/>
    <cellStyle name="Normal 4 2 2 3 2 2 2 2 3 2" xfId="22017" xr:uid="{F0EDC882-3471-4892-9159-8C430418791C}"/>
    <cellStyle name="Normal 4 2 2 3 2 2 2 2 3 3" xfId="30463" xr:uid="{0889D5FF-3996-41BE-B712-9EBE71890A51}"/>
    <cellStyle name="Normal 4 2 2 3 2 2 2 2 3 4" xfId="13576" xr:uid="{F9CD0515-C1DF-4855-BEDA-FFAEF9F277C8}"/>
    <cellStyle name="Normal 4 2 2 3 2 2 2 2 4" xfId="17799" xr:uid="{A78F94DF-3C39-4294-AC6F-684703AC5EFA}"/>
    <cellStyle name="Normal 4 2 2 3 2 2 2 2 5" xfId="26244" xr:uid="{3D3B2135-B9B1-45B9-97ED-2A252F316B2F}"/>
    <cellStyle name="Normal 4 2 2 3 2 2 2 2 6" xfId="9358" xr:uid="{DD55CFE9-AACC-4C8E-8F53-214857689E81}"/>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24575" xr:uid="{E20FAC98-167B-4056-AA4C-B109D8F3A2C3}"/>
    <cellStyle name="Normal 4 2 2 3 2 2 2 3 2 2 3" xfId="33021" xr:uid="{8E7D8BED-6183-483E-8F52-3A4112EE0573}"/>
    <cellStyle name="Normal 4 2 2 3 2 2 2 3 2 2 4" xfId="16134" xr:uid="{1BDDC16A-3048-4B33-8D30-3A40635DADD1}"/>
    <cellStyle name="Normal 4 2 2 3 2 2 2 3 2 3" xfId="20357" xr:uid="{33EC1888-BF73-4D6D-830F-F5B3FBF72F64}"/>
    <cellStyle name="Normal 4 2 2 3 2 2 2 3 2 4" xfId="28804" xr:uid="{78AC9202-07FB-4624-9094-40E4C53F4406}"/>
    <cellStyle name="Normal 4 2 2 3 2 2 2 3 2 5" xfId="11916" xr:uid="{5AD448CC-6FCB-4B4B-B464-864BC6B8677F}"/>
    <cellStyle name="Normal 4 2 2 3 2 2 2 3 3" xfId="5547" xr:uid="{00000000-0005-0000-0000-0000FE110000}"/>
    <cellStyle name="Normal 4 2 2 3 2 2 2 3 3 2" xfId="22430" xr:uid="{CB37F612-944A-48AE-9E75-A98C8B650964}"/>
    <cellStyle name="Normal 4 2 2 3 2 2 2 3 3 3" xfId="30876" xr:uid="{DCDACD4A-B4B6-4291-9128-201F5EF3F6F7}"/>
    <cellStyle name="Normal 4 2 2 3 2 2 2 3 3 4" xfId="13989" xr:uid="{F8C1C0C1-FBE1-4253-9088-C1F54EDCE234}"/>
    <cellStyle name="Normal 4 2 2 3 2 2 2 3 4" xfId="18212" xr:uid="{EC65366E-31C3-4E2A-AE89-21E3593A93DE}"/>
    <cellStyle name="Normal 4 2 2 3 2 2 2 3 5" xfId="26657" xr:uid="{CF7C6DCF-F395-447B-A6AC-C18C301BFED6}"/>
    <cellStyle name="Normal 4 2 2 3 2 2 2 3 6" xfId="9771" xr:uid="{872768AC-6807-40C5-8B80-6181CBEA4663}"/>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24988" xr:uid="{D05BE4BD-3EBE-4AE1-822E-FD93B7478C4E}"/>
    <cellStyle name="Normal 4 2 2 3 2 2 2 4 2 2 3" xfId="33434" xr:uid="{116A2164-FAFB-4764-ACE3-F5F56A340F79}"/>
    <cellStyle name="Normal 4 2 2 3 2 2 2 4 2 2 4" xfId="16547" xr:uid="{40EEFA25-AF83-496F-A48D-C8C09CE4FEF0}"/>
    <cellStyle name="Normal 4 2 2 3 2 2 2 4 2 3" xfId="20770" xr:uid="{B5316043-5DE6-407E-998D-2BF6F576FA2F}"/>
    <cellStyle name="Normal 4 2 2 3 2 2 2 4 2 4" xfId="29217" xr:uid="{6EA9630B-A3C3-4D72-91FE-FF0A02ED7356}"/>
    <cellStyle name="Normal 4 2 2 3 2 2 2 4 2 5" xfId="12329" xr:uid="{39D6C227-4E55-44FE-8BF6-15DCC79F2A16}"/>
    <cellStyle name="Normal 4 2 2 3 2 2 2 4 3" xfId="5960" xr:uid="{00000000-0005-0000-0000-000002120000}"/>
    <cellStyle name="Normal 4 2 2 3 2 2 2 4 3 2" xfId="22843" xr:uid="{DD302B92-D9BD-4DCD-B903-96B45019336E}"/>
    <cellStyle name="Normal 4 2 2 3 2 2 2 4 3 3" xfId="31289" xr:uid="{E605146E-ACA4-4C05-89F6-53C7B259F73B}"/>
    <cellStyle name="Normal 4 2 2 3 2 2 2 4 3 4" xfId="14402" xr:uid="{3AE6D5CE-A15D-4623-976E-FCCD9C845B0A}"/>
    <cellStyle name="Normal 4 2 2 3 2 2 2 4 4" xfId="18625" xr:uid="{790E0355-91E3-484B-8482-AF6CFFEE0B63}"/>
    <cellStyle name="Normal 4 2 2 3 2 2 2 4 5" xfId="27070" xr:uid="{658CF1C6-B264-4ED7-BCAB-B512F408D375}"/>
    <cellStyle name="Normal 4 2 2 3 2 2 2 4 6" xfId="10184" xr:uid="{BB21FD30-6FDC-478F-B32C-F6D570B8C753}"/>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25401" xr:uid="{227457EE-0280-4BB2-B99A-17DB44E7C934}"/>
    <cellStyle name="Normal 4 2 2 3 2 2 2 5 2 2 3" xfId="33847" xr:uid="{AEF4281D-0683-41D7-8440-3F789281E3F0}"/>
    <cellStyle name="Normal 4 2 2 3 2 2 2 5 2 2 4" xfId="16960" xr:uid="{8228391E-7A9A-4BED-948D-08E5D8F47ABF}"/>
    <cellStyle name="Normal 4 2 2 3 2 2 2 5 2 3" xfId="21183" xr:uid="{17655DA3-63E0-45AE-A1B1-BE5E1A54E1A2}"/>
    <cellStyle name="Normal 4 2 2 3 2 2 2 5 2 4" xfId="29630" xr:uid="{D3A53EBF-7989-47C8-A17B-986E7EF0CEF3}"/>
    <cellStyle name="Normal 4 2 2 3 2 2 2 5 2 5" xfId="12742" xr:uid="{C21671E8-C8EB-4127-9734-2DF3FC817BCB}"/>
    <cellStyle name="Normal 4 2 2 3 2 2 2 5 3" xfId="6373" xr:uid="{00000000-0005-0000-0000-000006120000}"/>
    <cellStyle name="Normal 4 2 2 3 2 2 2 5 3 2" xfId="23256" xr:uid="{4384243C-34D1-4D9E-A721-BB48AA70F34E}"/>
    <cellStyle name="Normal 4 2 2 3 2 2 2 5 3 3" xfId="31702" xr:uid="{BEC8587A-753A-4A8B-B933-0191EC599780}"/>
    <cellStyle name="Normal 4 2 2 3 2 2 2 5 3 4" xfId="14815" xr:uid="{566DDAC5-A420-4ECB-9DC4-18D05BD1EA12}"/>
    <cellStyle name="Normal 4 2 2 3 2 2 2 5 4" xfId="19038" xr:uid="{ADD18FBD-9705-4080-BD02-8D963C0D44F2}"/>
    <cellStyle name="Normal 4 2 2 3 2 2 2 5 5" xfId="27483" xr:uid="{0274F637-ED81-46EB-9D23-F14B103DA283}"/>
    <cellStyle name="Normal 4 2 2 3 2 2 2 5 6" xfId="10597" xr:uid="{CC7E85E8-3FC7-46B0-BB70-7C6F4B9E728B}"/>
    <cellStyle name="Normal 4 2 2 3 2 2 2 6" xfId="2502" xr:uid="{00000000-0005-0000-0000-000007120000}"/>
    <cellStyle name="Normal 4 2 2 3 2 2 2 6 2" xfId="6786" xr:uid="{00000000-0005-0000-0000-000008120000}"/>
    <cellStyle name="Normal 4 2 2 3 2 2 2 6 2 2" xfId="23669" xr:uid="{6FC5E640-3BE4-455E-97EE-878BBF77073B}"/>
    <cellStyle name="Normal 4 2 2 3 2 2 2 6 2 3" xfId="32115" xr:uid="{6E3B41E9-9340-4C38-BBAE-EC3268E80829}"/>
    <cellStyle name="Normal 4 2 2 3 2 2 2 6 2 4" xfId="15228" xr:uid="{1A23701D-F82F-40D7-A956-69B236A2A5AB}"/>
    <cellStyle name="Normal 4 2 2 3 2 2 2 6 3" xfId="19451" xr:uid="{9776A1D9-9304-4BE7-8064-DD6E0A39FB2F}"/>
    <cellStyle name="Normal 4 2 2 3 2 2 2 6 4" xfId="27896" xr:uid="{95CAF461-CA1F-4D14-936F-8F946C65C893}"/>
    <cellStyle name="Normal 4 2 2 3 2 2 2 6 5" xfId="11010" xr:uid="{B8B1075C-78BC-485F-A84E-87264BD686C5}"/>
    <cellStyle name="Normal 4 2 2 3 2 2 2 7" xfId="4721" xr:uid="{00000000-0005-0000-0000-000009120000}"/>
    <cellStyle name="Normal 4 2 2 3 2 2 2 7 2" xfId="21604" xr:uid="{B602AE65-E111-4CDA-BDF5-8F300328C9AD}"/>
    <cellStyle name="Normal 4 2 2 3 2 2 2 7 3" xfId="30050" xr:uid="{044AD869-4DF0-42A4-A59A-CC580BD36CA6}"/>
    <cellStyle name="Normal 4 2 2 3 2 2 2 7 4" xfId="13163" xr:uid="{6D87E84B-B61D-4A04-962D-F79408D7BB89}"/>
    <cellStyle name="Normal 4 2 2 3 2 2 2 8" xfId="17386" xr:uid="{F56ED13C-396D-4F99-8E37-443D630EE5D7}"/>
    <cellStyle name="Normal 4 2 2 3 2 2 2 9" xfId="25830" xr:uid="{565C2A29-B1E9-4EAC-92A8-A054D1929EFC}"/>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24161" xr:uid="{7C8C2B18-D220-46E2-AEE1-AAEB4F126233}"/>
    <cellStyle name="Normal 4 2 2 3 2 2 3 2 2 3" xfId="32607" xr:uid="{8AB8788A-347C-4407-AE61-64B438E28560}"/>
    <cellStyle name="Normal 4 2 2 3 2 2 3 2 2 4" xfId="15720" xr:uid="{BDDA9C9E-270F-4DB3-9C41-60A5D9F2E307}"/>
    <cellStyle name="Normal 4 2 2 3 2 2 3 2 3" xfId="19943" xr:uid="{BB6A0C61-0305-4B88-941F-FB7724802358}"/>
    <cellStyle name="Normal 4 2 2 3 2 2 3 2 4" xfId="28390" xr:uid="{36E029C3-EE28-4D07-9D57-189DCEAD0A68}"/>
    <cellStyle name="Normal 4 2 2 3 2 2 3 2 5" xfId="11502" xr:uid="{E2936193-2EA7-4143-B972-AFF566AE16C3}"/>
    <cellStyle name="Normal 4 2 2 3 2 2 3 3" xfId="5133" xr:uid="{00000000-0005-0000-0000-00000D120000}"/>
    <cellStyle name="Normal 4 2 2 3 2 2 3 3 2" xfId="22016" xr:uid="{BC062791-A359-4D36-9D35-FA2DC5F7403E}"/>
    <cellStyle name="Normal 4 2 2 3 2 2 3 3 3" xfId="30462" xr:uid="{7306F33C-5529-4E85-8089-02236B57FEC7}"/>
    <cellStyle name="Normal 4 2 2 3 2 2 3 3 4" xfId="13575" xr:uid="{2AC85E7C-DFDB-4810-A867-5CC3E22BF518}"/>
    <cellStyle name="Normal 4 2 2 3 2 2 3 4" xfId="17798" xr:uid="{F8C75F5F-30A2-4819-AA7A-42BE0488D1F5}"/>
    <cellStyle name="Normal 4 2 2 3 2 2 3 5" xfId="26243" xr:uid="{26918E4C-BB77-4D81-8BE4-8A5A3A0AC6AC}"/>
    <cellStyle name="Normal 4 2 2 3 2 2 3 6" xfId="9357" xr:uid="{B500F608-6BAA-49A0-B2E2-98FB08112F85}"/>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24574" xr:uid="{8157039D-F56D-44B3-B6B9-617D93B7FEE3}"/>
    <cellStyle name="Normal 4 2 2 3 2 2 4 2 2 3" xfId="33020" xr:uid="{26D554AC-DDE2-4361-BECB-11003B1F1DCD}"/>
    <cellStyle name="Normal 4 2 2 3 2 2 4 2 2 4" xfId="16133" xr:uid="{D83B32AD-1C90-48C5-9E4A-753F1DE1068E}"/>
    <cellStyle name="Normal 4 2 2 3 2 2 4 2 3" xfId="20356" xr:uid="{75E70465-BCD7-46F8-95D9-8BCB9B379E2A}"/>
    <cellStyle name="Normal 4 2 2 3 2 2 4 2 4" xfId="28803" xr:uid="{32261862-5654-497E-AD48-421A0ACD90EE}"/>
    <cellStyle name="Normal 4 2 2 3 2 2 4 2 5" xfId="11915" xr:uid="{BAEB574D-6ECA-4E7A-8C8C-0415DB2BE545}"/>
    <cellStyle name="Normal 4 2 2 3 2 2 4 3" xfId="5546" xr:uid="{00000000-0005-0000-0000-000011120000}"/>
    <cellStyle name="Normal 4 2 2 3 2 2 4 3 2" xfId="22429" xr:uid="{826C10A3-CE44-41FE-BC64-67C7B4E3B7CF}"/>
    <cellStyle name="Normal 4 2 2 3 2 2 4 3 3" xfId="30875" xr:uid="{F36D7ACD-EC77-4F1D-B1A2-2D06CE8DBB9E}"/>
    <cellStyle name="Normal 4 2 2 3 2 2 4 3 4" xfId="13988" xr:uid="{D309F703-8BDF-48B9-A6A8-4CBCD907AFA0}"/>
    <cellStyle name="Normal 4 2 2 3 2 2 4 4" xfId="18211" xr:uid="{4C4F9EB6-6D72-4532-BFEF-0C2C6D0C716A}"/>
    <cellStyle name="Normal 4 2 2 3 2 2 4 5" xfId="26656" xr:uid="{4B3A8178-7F2A-4A35-B213-32E82F691AA5}"/>
    <cellStyle name="Normal 4 2 2 3 2 2 4 6" xfId="9770" xr:uid="{DC9221D2-E71E-4757-BB8E-15C90987053D}"/>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24987" xr:uid="{77E2B35C-1EBA-4BB9-9724-B80B0DF923F3}"/>
    <cellStyle name="Normal 4 2 2 3 2 2 5 2 2 3" xfId="33433" xr:uid="{49D6EC52-49CE-461A-863F-5E70951E9E1D}"/>
    <cellStyle name="Normal 4 2 2 3 2 2 5 2 2 4" xfId="16546" xr:uid="{7E83E868-12C4-47F4-AA08-8EA59F1D97EF}"/>
    <cellStyle name="Normal 4 2 2 3 2 2 5 2 3" xfId="20769" xr:uid="{312F43D9-E1D8-4C60-A53A-072277EEE1DA}"/>
    <cellStyle name="Normal 4 2 2 3 2 2 5 2 4" xfId="29216" xr:uid="{1C4D28D0-162A-4801-8E51-F1CC24135105}"/>
    <cellStyle name="Normal 4 2 2 3 2 2 5 2 5" xfId="12328" xr:uid="{F8901618-5B82-4403-94BB-B612398F0EFE}"/>
    <cellStyle name="Normal 4 2 2 3 2 2 5 3" xfId="5959" xr:uid="{00000000-0005-0000-0000-000015120000}"/>
    <cellStyle name="Normal 4 2 2 3 2 2 5 3 2" xfId="22842" xr:uid="{7060459C-F615-430A-A5ED-B9EB7F2A5A9D}"/>
    <cellStyle name="Normal 4 2 2 3 2 2 5 3 3" xfId="31288" xr:uid="{D9709095-9664-4A12-BD4B-71C85EA1EB09}"/>
    <cellStyle name="Normal 4 2 2 3 2 2 5 3 4" xfId="14401" xr:uid="{E5339926-D1C3-4374-B24E-E742EE4B2C62}"/>
    <cellStyle name="Normal 4 2 2 3 2 2 5 4" xfId="18624" xr:uid="{855C9017-D97E-4F5B-B5DA-F9B14AE25061}"/>
    <cellStyle name="Normal 4 2 2 3 2 2 5 5" xfId="27069" xr:uid="{E0165F7B-4131-492C-A571-1BAD5D8BA896}"/>
    <cellStyle name="Normal 4 2 2 3 2 2 5 6" xfId="10183" xr:uid="{FFCFB3EB-69C3-430E-B0B6-BFB87762DAAA}"/>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25400" xr:uid="{ED63291A-51AC-4BB7-B24B-D086479EBA79}"/>
    <cellStyle name="Normal 4 2 2 3 2 2 6 2 2 3" xfId="33846" xr:uid="{E1690ADF-50DD-4D11-BD80-74E203F1F685}"/>
    <cellStyle name="Normal 4 2 2 3 2 2 6 2 2 4" xfId="16959" xr:uid="{9E2D7674-69E2-4432-9582-C337B47534CA}"/>
    <cellStyle name="Normal 4 2 2 3 2 2 6 2 3" xfId="21182" xr:uid="{5B94F127-450B-4CA9-BE13-E0BD7EE34299}"/>
    <cellStyle name="Normal 4 2 2 3 2 2 6 2 4" xfId="29629" xr:uid="{23236210-375D-4007-8C64-5E869425EA2A}"/>
    <cellStyle name="Normal 4 2 2 3 2 2 6 2 5" xfId="12741" xr:uid="{E4B5617B-06CC-4981-9D94-1D2CD06250F9}"/>
    <cellStyle name="Normal 4 2 2 3 2 2 6 3" xfId="6372" xr:uid="{00000000-0005-0000-0000-000019120000}"/>
    <cellStyle name="Normal 4 2 2 3 2 2 6 3 2" xfId="23255" xr:uid="{175D01D3-FD36-48AE-9367-FDDB07ADF84A}"/>
    <cellStyle name="Normal 4 2 2 3 2 2 6 3 3" xfId="31701" xr:uid="{8CFAA1C4-4572-4617-A732-51A537C940E9}"/>
    <cellStyle name="Normal 4 2 2 3 2 2 6 3 4" xfId="14814" xr:uid="{F5EBC505-9194-4D0F-BB13-DF5B2EA6E6B3}"/>
    <cellStyle name="Normal 4 2 2 3 2 2 6 4" xfId="19037" xr:uid="{9D5D2B4A-C1B1-476F-A485-E32CEC151076}"/>
    <cellStyle name="Normal 4 2 2 3 2 2 6 5" xfId="27482" xr:uid="{1BAD090B-50C5-4B85-A0D3-C3AB922E55E9}"/>
    <cellStyle name="Normal 4 2 2 3 2 2 6 6" xfId="10596" xr:uid="{8486AD49-2541-4205-80D1-A78E8B13AD43}"/>
    <cellStyle name="Normal 4 2 2 3 2 2 7" xfId="2501" xr:uid="{00000000-0005-0000-0000-00001A120000}"/>
    <cellStyle name="Normal 4 2 2 3 2 2 7 2" xfId="6785" xr:uid="{00000000-0005-0000-0000-00001B120000}"/>
    <cellStyle name="Normal 4 2 2 3 2 2 7 2 2" xfId="23668" xr:uid="{787EFB58-8AC2-4CE0-A45C-BF4C04DC9111}"/>
    <cellStyle name="Normal 4 2 2 3 2 2 7 2 3" xfId="32114" xr:uid="{93ED698D-7F89-4501-90E4-A6ABCF092C13}"/>
    <cellStyle name="Normal 4 2 2 3 2 2 7 2 4" xfId="15227" xr:uid="{5C40BF30-9B70-45DF-BDA2-3B3333A242A9}"/>
    <cellStyle name="Normal 4 2 2 3 2 2 7 3" xfId="19450" xr:uid="{198CCF60-7CB7-4A0C-8335-5DC9201FB196}"/>
    <cellStyle name="Normal 4 2 2 3 2 2 7 4" xfId="27895" xr:uid="{C3ED9B1D-7786-4675-A208-250918DA4C66}"/>
    <cellStyle name="Normal 4 2 2 3 2 2 7 5" xfId="11009" xr:uid="{D1D14F0B-8915-4D3B-8F47-AFA8F61E3D77}"/>
    <cellStyle name="Normal 4 2 2 3 2 2 8" xfId="4720" xr:uid="{00000000-0005-0000-0000-00001C120000}"/>
    <cellStyle name="Normal 4 2 2 3 2 2 8 2" xfId="21603" xr:uid="{1888C276-CF09-4473-B2BD-D4977F6D11DC}"/>
    <cellStyle name="Normal 4 2 2 3 2 2 8 3" xfId="30049" xr:uid="{BE978D23-02EA-42B0-8E79-C831E302C0C5}"/>
    <cellStyle name="Normal 4 2 2 3 2 2 8 4" xfId="13162" xr:uid="{631C5279-34F9-48CA-BD22-2B1F9D6D6687}"/>
    <cellStyle name="Normal 4 2 2 3 2 2 9" xfId="17385" xr:uid="{291EF9EC-4752-4C2B-9631-F162B578C352}"/>
    <cellStyle name="Normal 4 2 2 3 2 3" xfId="343" xr:uid="{00000000-0005-0000-0000-00001D120000}"/>
    <cellStyle name="Normal 4 2 2 3 2 3 10" xfId="8946" xr:uid="{46B503C8-BA08-4154-970A-AA5A1C1145C8}"/>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24163" xr:uid="{5643AEB0-2B6A-4E5F-AA88-71C279D00591}"/>
    <cellStyle name="Normal 4 2 2 3 2 3 2 2 2 3" xfId="32609" xr:uid="{280FDF7C-BBF6-44D3-BAD3-F64F2EB3B90B}"/>
    <cellStyle name="Normal 4 2 2 3 2 3 2 2 2 4" xfId="15722" xr:uid="{B6BA3488-D014-410B-9547-93904F24D27D}"/>
    <cellStyle name="Normal 4 2 2 3 2 3 2 2 3" xfId="19945" xr:uid="{95B2FB6F-AD24-44EF-96DF-F7A8ACC91F74}"/>
    <cellStyle name="Normal 4 2 2 3 2 3 2 2 4" xfId="28392" xr:uid="{D7A554AC-81AC-4B64-9F0A-8DD4D86D732E}"/>
    <cellStyle name="Normal 4 2 2 3 2 3 2 2 5" xfId="11504" xr:uid="{331EF0EE-940F-487F-9896-A73F99A4BB9A}"/>
    <cellStyle name="Normal 4 2 2 3 2 3 2 3" xfId="5135" xr:uid="{00000000-0005-0000-0000-000021120000}"/>
    <cellStyle name="Normal 4 2 2 3 2 3 2 3 2" xfId="22018" xr:uid="{8971D2DF-4DFF-46D8-A6BD-3B9ED2C4D7FB}"/>
    <cellStyle name="Normal 4 2 2 3 2 3 2 3 3" xfId="30464" xr:uid="{7BDF4D68-B1D8-4BA5-911D-701971986CA2}"/>
    <cellStyle name="Normal 4 2 2 3 2 3 2 3 4" xfId="13577" xr:uid="{1A4C6E79-4791-4A40-BC36-1546FA186665}"/>
    <cellStyle name="Normal 4 2 2 3 2 3 2 4" xfId="17800" xr:uid="{F09E82C1-06DB-4B8E-B346-1708A930904F}"/>
    <cellStyle name="Normal 4 2 2 3 2 3 2 5" xfId="26245" xr:uid="{A6078457-E922-4EE1-9395-85D028C95FD5}"/>
    <cellStyle name="Normal 4 2 2 3 2 3 2 6" xfId="9359" xr:uid="{CE3E6692-5CA4-4AF8-99AF-D8D5283A888B}"/>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24576" xr:uid="{3D41AA89-39C1-4880-A938-6B71311301C7}"/>
    <cellStyle name="Normal 4 2 2 3 2 3 3 2 2 3" xfId="33022" xr:uid="{E45CC43D-C0A5-4BA7-977E-DE5141FB3196}"/>
    <cellStyle name="Normal 4 2 2 3 2 3 3 2 2 4" xfId="16135" xr:uid="{11152F00-5D3C-4E8B-9508-2E0927DC94B7}"/>
    <cellStyle name="Normal 4 2 2 3 2 3 3 2 3" xfId="20358" xr:uid="{8EC33047-C191-4EC5-992B-E04E8D722FBC}"/>
    <cellStyle name="Normal 4 2 2 3 2 3 3 2 4" xfId="28805" xr:uid="{2464B656-E1E8-428A-AA83-3F1DF12BBEEA}"/>
    <cellStyle name="Normal 4 2 2 3 2 3 3 2 5" xfId="11917" xr:uid="{56CA0414-8A45-4E55-9A6F-E2AD3A48F692}"/>
    <cellStyle name="Normal 4 2 2 3 2 3 3 3" xfId="5548" xr:uid="{00000000-0005-0000-0000-000025120000}"/>
    <cellStyle name="Normal 4 2 2 3 2 3 3 3 2" xfId="22431" xr:uid="{0DA7B7B0-4EC8-4F17-A3B6-75BC6D012A41}"/>
    <cellStyle name="Normal 4 2 2 3 2 3 3 3 3" xfId="30877" xr:uid="{EDED7520-3AFA-4A5F-88AA-5ADB84D02650}"/>
    <cellStyle name="Normal 4 2 2 3 2 3 3 3 4" xfId="13990" xr:uid="{89736D44-16B4-42A3-ABA7-A9EBEB71C683}"/>
    <cellStyle name="Normal 4 2 2 3 2 3 3 4" xfId="18213" xr:uid="{EB765A16-806D-48F9-A9BC-2622FEC3868D}"/>
    <cellStyle name="Normal 4 2 2 3 2 3 3 5" xfId="26658" xr:uid="{34ABDBA6-F42A-45D2-8A58-E874EDC29F4A}"/>
    <cellStyle name="Normal 4 2 2 3 2 3 3 6" xfId="9772" xr:uid="{D147B20A-0A3B-4EDB-8067-D1029C242EF5}"/>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24989" xr:uid="{35F45ACC-4C87-4626-8573-45C83110CA94}"/>
    <cellStyle name="Normal 4 2 2 3 2 3 4 2 2 3" xfId="33435" xr:uid="{B79B4660-B05B-499F-B8A5-544C31EAF321}"/>
    <cellStyle name="Normal 4 2 2 3 2 3 4 2 2 4" xfId="16548" xr:uid="{49A2192D-DEC4-4C61-A7AD-2F1E93A6CF0A}"/>
    <cellStyle name="Normal 4 2 2 3 2 3 4 2 3" xfId="20771" xr:uid="{4C7D1CB1-E12F-4A01-9268-AF1F3598B227}"/>
    <cellStyle name="Normal 4 2 2 3 2 3 4 2 4" xfId="29218" xr:uid="{46F7F0E5-A609-4879-A751-4464DB2DF5EB}"/>
    <cellStyle name="Normal 4 2 2 3 2 3 4 2 5" xfId="12330" xr:uid="{A11A033E-88D2-4994-A7A5-470E997EA8E0}"/>
    <cellStyle name="Normal 4 2 2 3 2 3 4 3" xfId="5961" xr:uid="{00000000-0005-0000-0000-000029120000}"/>
    <cellStyle name="Normal 4 2 2 3 2 3 4 3 2" xfId="22844" xr:uid="{E796B8AD-E746-49F5-B1B4-7C472AE290F1}"/>
    <cellStyle name="Normal 4 2 2 3 2 3 4 3 3" xfId="31290" xr:uid="{C99305FD-109C-4A9E-AA1B-0F9480A15417}"/>
    <cellStyle name="Normal 4 2 2 3 2 3 4 3 4" xfId="14403" xr:uid="{28AC4BA9-2BDC-4824-9066-7C056C615CFB}"/>
    <cellStyle name="Normal 4 2 2 3 2 3 4 4" xfId="18626" xr:uid="{1D2D4717-A950-49F0-84D6-317E77F93CD3}"/>
    <cellStyle name="Normal 4 2 2 3 2 3 4 5" xfId="27071" xr:uid="{AB277696-BFE8-49C8-8972-623DDCE2753D}"/>
    <cellStyle name="Normal 4 2 2 3 2 3 4 6" xfId="10185" xr:uid="{726626B4-94DD-4B04-8C31-3176931D1B0C}"/>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25402" xr:uid="{ED3385B9-9928-4080-A57E-31230402A3DC}"/>
    <cellStyle name="Normal 4 2 2 3 2 3 5 2 2 3" xfId="33848" xr:uid="{0DDC3A62-BE0F-41D1-AFB7-1583B7DD5179}"/>
    <cellStyle name="Normal 4 2 2 3 2 3 5 2 2 4" xfId="16961" xr:uid="{201006C3-4A45-48A8-B282-6EDAD2AFBC86}"/>
    <cellStyle name="Normal 4 2 2 3 2 3 5 2 3" xfId="21184" xr:uid="{52E91D15-655E-46B9-B08A-57F5048E4561}"/>
    <cellStyle name="Normal 4 2 2 3 2 3 5 2 4" xfId="29631" xr:uid="{7B3AFC9A-DC83-4D26-9BDE-8EDE4D31E3CA}"/>
    <cellStyle name="Normal 4 2 2 3 2 3 5 2 5" xfId="12743" xr:uid="{34B0E529-D0BD-4D3C-B8EE-C1A13E8A958F}"/>
    <cellStyle name="Normal 4 2 2 3 2 3 5 3" xfId="6374" xr:uid="{00000000-0005-0000-0000-00002D120000}"/>
    <cellStyle name="Normal 4 2 2 3 2 3 5 3 2" xfId="23257" xr:uid="{7B1B9BEC-A287-4B18-A147-D0FC088F69C4}"/>
    <cellStyle name="Normal 4 2 2 3 2 3 5 3 3" xfId="31703" xr:uid="{57B87EA5-39E3-4128-BACC-CC1F5B4C5419}"/>
    <cellStyle name="Normal 4 2 2 3 2 3 5 3 4" xfId="14816" xr:uid="{45D229CC-327E-450F-9639-A988693C3549}"/>
    <cellStyle name="Normal 4 2 2 3 2 3 5 4" xfId="19039" xr:uid="{078E684E-CD2E-47AC-81E8-EB9D22C31B72}"/>
    <cellStyle name="Normal 4 2 2 3 2 3 5 5" xfId="27484" xr:uid="{37DBDAEE-EA01-4F91-B524-5E9C1838C268}"/>
    <cellStyle name="Normal 4 2 2 3 2 3 5 6" xfId="10598" xr:uid="{E0CAAD43-57BF-45F5-BB2E-3A2DCDBA166D}"/>
    <cellStyle name="Normal 4 2 2 3 2 3 6" xfId="2503" xr:uid="{00000000-0005-0000-0000-00002E120000}"/>
    <cellStyle name="Normal 4 2 2 3 2 3 6 2" xfId="6787" xr:uid="{00000000-0005-0000-0000-00002F120000}"/>
    <cellStyle name="Normal 4 2 2 3 2 3 6 2 2" xfId="23670" xr:uid="{8F3C8CD8-C1C4-4760-8057-E069B410D39A}"/>
    <cellStyle name="Normal 4 2 2 3 2 3 6 2 3" xfId="32116" xr:uid="{E2E1FCAC-8B5C-4C15-AF56-85E8B4129538}"/>
    <cellStyle name="Normal 4 2 2 3 2 3 6 2 4" xfId="15229" xr:uid="{ECED751B-B3FE-417A-901E-5BD7650E42F5}"/>
    <cellStyle name="Normal 4 2 2 3 2 3 6 3" xfId="19452" xr:uid="{6A3015D0-110E-43F1-BACE-92756561655D}"/>
    <cellStyle name="Normal 4 2 2 3 2 3 6 4" xfId="27897" xr:uid="{9A98D605-33AA-4960-9EE8-576654DD2E4A}"/>
    <cellStyle name="Normal 4 2 2 3 2 3 6 5" xfId="11011" xr:uid="{1FD4010E-4BCD-422F-9D19-EAE2AFDBC828}"/>
    <cellStyle name="Normal 4 2 2 3 2 3 7" xfId="4722" xr:uid="{00000000-0005-0000-0000-000030120000}"/>
    <cellStyle name="Normal 4 2 2 3 2 3 7 2" xfId="21605" xr:uid="{A3BE5165-7EEC-4243-841B-2D285BC631E6}"/>
    <cellStyle name="Normal 4 2 2 3 2 3 7 3" xfId="30051" xr:uid="{07195541-EFD8-4A87-A51C-F7C591BD0E8B}"/>
    <cellStyle name="Normal 4 2 2 3 2 3 7 4" xfId="13164" xr:uid="{1DF03881-7CE4-467C-BE71-EF471BDB680C}"/>
    <cellStyle name="Normal 4 2 2 3 2 3 8" xfId="17387" xr:uid="{0EC52F53-8C1D-4A9E-8886-EE8A810F4631}"/>
    <cellStyle name="Normal 4 2 2 3 2 3 9" xfId="25831" xr:uid="{97C26A45-03FA-4EC2-8530-F663B11FDF4C}"/>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24160" xr:uid="{C41780CB-C268-4A70-B13B-3D7FBC2834E5}"/>
    <cellStyle name="Normal 4 2 2 3 2 4 2 2 3" xfId="32606" xr:uid="{92534636-6443-4686-A28B-6EAE24633182}"/>
    <cellStyle name="Normal 4 2 2 3 2 4 2 2 4" xfId="15719" xr:uid="{D4E3DADF-9592-4319-AE47-0B2BC38B234D}"/>
    <cellStyle name="Normal 4 2 2 3 2 4 2 3" xfId="19942" xr:uid="{D28DC6CC-C47F-4AEB-9DF1-6273BAAE0F2C}"/>
    <cellStyle name="Normal 4 2 2 3 2 4 2 4" xfId="28389" xr:uid="{D244397B-884C-478E-9F21-9C959DCB53ED}"/>
    <cellStyle name="Normal 4 2 2 3 2 4 2 5" xfId="11501" xr:uid="{8CA4225A-8899-4B98-A98A-DC6FF4BEDAB3}"/>
    <cellStyle name="Normal 4 2 2 3 2 4 3" xfId="5132" xr:uid="{00000000-0005-0000-0000-000034120000}"/>
    <cellStyle name="Normal 4 2 2 3 2 4 3 2" xfId="22015" xr:uid="{E562EFB4-D095-407C-B9C9-A5C923B3C4DF}"/>
    <cellStyle name="Normal 4 2 2 3 2 4 3 3" xfId="30461" xr:uid="{77044E36-1126-4FA0-BFB0-104A6C867084}"/>
    <cellStyle name="Normal 4 2 2 3 2 4 3 4" xfId="13574" xr:uid="{2B781CAC-5C14-4427-BAD7-377C33A82AF1}"/>
    <cellStyle name="Normal 4 2 2 3 2 4 4" xfId="17797" xr:uid="{6B83DECB-847C-4FAE-BB2A-1344581D1E64}"/>
    <cellStyle name="Normal 4 2 2 3 2 4 5" xfId="26242" xr:uid="{153BDD47-AFDF-478A-8916-E79177BD21A3}"/>
    <cellStyle name="Normal 4 2 2 3 2 4 6" xfId="9356" xr:uid="{B551614D-C6A1-4340-9405-1EBCF4065D09}"/>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24573" xr:uid="{27ED47B3-1088-4B33-AA7E-B6153D2077C4}"/>
    <cellStyle name="Normal 4 2 2 3 2 5 2 2 3" xfId="33019" xr:uid="{A869515F-7821-4056-8B4E-E60D4DC90156}"/>
    <cellStyle name="Normal 4 2 2 3 2 5 2 2 4" xfId="16132" xr:uid="{9D3FD8DF-5EBA-458E-844D-19049726FC72}"/>
    <cellStyle name="Normal 4 2 2 3 2 5 2 3" xfId="20355" xr:uid="{423F31B7-A7E9-47EF-8153-73D00C666AF7}"/>
    <cellStyle name="Normal 4 2 2 3 2 5 2 4" xfId="28802" xr:uid="{1D67906E-F2C7-443C-9374-9A9183D8082E}"/>
    <cellStyle name="Normal 4 2 2 3 2 5 2 5" xfId="11914" xr:uid="{8E07684C-DEA8-4FD8-93B2-655FAE5C7DF2}"/>
    <cellStyle name="Normal 4 2 2 3 2 5 3" xfId="5545" xr:uid="{00000000-0005-0000-0000-000038120000}"/>
    <cellStyle name="Normal 4 2 2 3 2 5 3 2" xfId="22428" xr:uid="{8C8C1AFE-E0BA-492D-9DE1-5600B0A46BAE}"/>
    <cellStyle name="Normal 4 2 2 3 2 5 3 3" xfId="30874" xr:uid="{4AF1BAB4-942D-4CE7-873C-69B248ADF04E}"/>
    <cellStyle name="Normal 4 2 2 3 2 5 3 4" xfId="13987" xr:uid="{9B898B42-3260-4A9F-9A99-E3E58D23D0C1}"/>
    <cellStyle name="Normal 4 2 2 3 2 5 4" xfId="18210" xr:uid="{FAF34600-69FA-4F82-BA7B-4D979E9A719A}"/>
    <cellStyle name="Normal 4 2 2 3 2 5 5" xfId="26655" xr:uid="{C4E715AF-FFAA-4F31-BD51-D78875797203}"/>
    <cellStyle name="Normal 4 2 2 3 2 5 6" xfId="9769" xr:uid="{4AC50E2F-83BD-4C81-B4E7-14DBB1F7D2BF}"/>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24986" xr:uid="{355AC42C-CF07-4102-8C5A-DE70272B79C5}"/>
    <cellStyle name="Normal 4 2 2 3 2 6 2 2 3" xfId="33432" xr:uid="{D48AA6AC-2E27-4C90-8A6B-8D20621E24E4}"/>
    <cellStyle name="Normal 4 2 2 3 2 6 2 2 4" xfId="16545" xr:uid="{1D282245-4E8F-46A4-95ED-D7B10DAE0099}"/>
    <cellStyle name="Normal 4 2 2 3 2 6 2 3" xfId="20768" xr:uid="{E6BA283F-B22A-4EC1-827B-61F3573E1211}"/>
    <cellStyle name="Normal 4 2 2 3 2 6 2 4" xfId="29215" xr:uid="{93197265-954F-4F15-A3BA-4D03C10B57AB}"/>
    <cellStyle name="Normal 4 2 2 3 2 6 2 5" xfId="12327" xr:uid="{1A9BEC1B-1C39-4D98-B15D-0B22B46E498D}"/>
    <cellStyle name="Normal 4 2 2 3 2 6 3" xfId="5958" xr:uid="{00000000-0005-0000-0000-00003C120000}"/>
    <cellStyle name="Normal 4 2 2 3 2 6 3 2" xfId="22841" xr:uid="{0E21F439-84AC-4EFE-9E41-F9613D73D91A}"/>
    <cellStyle name="Normal 4 2 2 3 2 6 3 3" xfId="31287" xr:uid="{7B9F4FE6-F671-42CD-8D94-28CB6A04BFCC}"/>
    <cellStyle name="Normal 4 2 2 3 2 6 3 4" xfId="14400" xr:uid="{6813686F-8792-4AA3-9193-4011BA02DECE}"/>
    <cellStyle name="Normal 4 2 2 3 2 6 4" xfId="18623" xr:uid="{C62D4708-5272-44D7-B32E-7F0BA287BF52}"/>
    <cellStyle name="Normal 4 2 2 3 2 6 5" xfId="27068" xr:uid="{B2E58581-2136-431F-9556-73A501DDC00F}"/>
    <cellStyle name="Normal 4 2 2 3 2 6 6" xfId="10182" xr:uid="{CF2CC980-6711-4C1D-9F0C-783319114E2C}"/>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25399" xr:uid="{3D7731BC-3C45-4D71-94CC-6F5BF180D69E}"/>
    <cellStyle name="Normal 4 2 2 3 2 7 2 2 3" xfId="33845" xr:uid="{74312592-037A-4714-B218-20D84B07A23D}"/>
    <cellStyle name="Normal 4 2 2 3 2 7 2 2 4" xfId="16958" xr:uid="{22A14719-5FC3-4E39-B956-982815C90589}"/>
    <cellStyle name="Normal 4 2 2 3 2 7 2 3" xfId="21181" xr:uid="{42D3E860-BFFD-44E8-A90A-F012D5BDAC4B}"/>
    <cellStyle name="Normal 4 2 2 3 2 7 2 4" xfId="29628" xr:uid="{36E2110D-0E1E-4010-9209-59A6F442821A}"/>
    <cellStyle name="Normal 4 2 2 3 2 7 2 5" xfId="12740" xr:uid="{615875E1-BA33-427E-92D2-EDCBB2BAD0CA}"/>
    <cellStyle name="Normal 4 2 2 3 2 7 3" xfId="6371" xr:uid="{00000000-0005-0000-0000-000040120000}"/>
    <cellStyle name="Normal 4 2 2 3 2 7 3 2" xfId="23254" xr:uid="{11F6982F-403C-4C2C-893F-2EC0C3444366}"/>
    <cellStyle name="Normal 4 2 2 3 2 7 3 3" xfId="31700" xr:uid="{632C9399-ACC5-424A-BB28-CD417E7B75E9}"/>
    <cellStyle name="Normal 4 2 2 3 2 7 3 4" xfId="14813" xr:uid="{53C3AA5E-E0B1-4ABD-8955-D1194858226B}"/>
    <cellStyle name="Normal 4 2 2 3 2 7 4" xfId="19036" xr:uid="{D34EF146-28DF-4336-9230-BDA1B8764FA1}"/>
    <cellStyle name="Normal 4 2 2 3 2 7 5" xfId="27481" xr:uid="{CDB1896B-1B71-4DC6-9D04-1BC1A3B539EB}"/>
    <cellStyle name="Normal 4 2 2 3 2 7 6" xfId="10595" xr:uid="{7314BEDC-2A3A-4656-A94B-8EF43B5BA7C1}"/>
    <cellStyle name="Normal 4 2 2 3 2 8" xfId="2500" xr:uid="{00000000-0005-0000-0000-000041120000}"/>
    <cellStyle name="Normal 4 2 2 3 2 8 2" xfId="6784" xr:uid="{00000000-0005-0000-0000-000042120000}"/>
    <cellStyle name="Normal 4 2 2 3 2 8 2 2" xfId="23667" xr:uid="{07A8A789-EC1C-439E-B094-0C7C98554944}"/>
    <cellStyle name="Normal 4 2 2 3 2 8 2 3" xfId="32113" xr:uid="{54511CAB-B08B-434E-B324-1D888598C62B}"/>
    <cellStyle name="Normal 4 2 2 3 2 8 2 4" xfId="15226" xr:uid="{33CB76C0-46AC-46A5-96C8-AF2555DAEFA2}"/>
    <cellStyle name="Normal 4 2 2 3 2 8 3" xfId="19449" xr:uid="{43C103C5-357E-4F39-8E65-BA568C8A7D10}"/>
    <cellStyle name="Normal 4 2 2 3 2 8 4" xfId="27894" xr:uid="{F5DB9FAE-888A-418A-A2F4-46874D839163}"/>
    <cellStyle name="Normal 4 2 2 3 2 8 5" xfId="11008" xr:uid="{27EC2DBC-0E03-445E-A7F2-5AF4F285F094}"/>
    <cellStyle name="Normal 4 2 2 3 2 9" xfId="4719" xr:uid="{00000000-0005-0000-0000-000043120000}"/>
    <cellStyle name="Normal 4 2 2 3 2 9 2" xfId="21602" xr:uid="{DAAB80DF-7914-4F96-BCDA-1C2AEBBDA1FB}"/>
    <cellStyle name="Normal 4 2 2 3 2 9 3" xfId="30048" xr:uid="{61E16450-D4DC-4BE7-A2C5-8F6FD9AF7216}"/>
    <cellStyle name="Normal 4 2 2 3 2 9 4" xfId="13161" xr:uid="{67218EC9-8555-40EC-A1D0-863DA299D2CC}"/>
    <cellStyle name="Normal 4 2 2 3 3" xfId="344" xr:uid="{00000000-0005-0000-0000-000044120000}"/>
    <cellStyle name="Normal 4 2 2 3 3 10" xfId="25832" xr:uid="{4B6C2402-135B-4F24-9E20-622E13093FC4}"/>
    <cellStyle name="Normal 4 2 2 3 3 11" xfId="8947" xr:uid="{5045ABE3-A079-4504-9473-F05AFB493792}"/>
    <cellStyle name="Normal 4 2 2 3 3 2" xfId="345" xr:uid="{00000000-0005-0000-0000-000045120000}"/>
    <cellStyle name="Normal 4 2 2 3 3 2 10" xfId="8948" xr:uid="{904186B5-4DE8-46D4-B7D4-21D65C94DBA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24165" xr:uid="{7522A184-0035-46E1-9DB5-8DA4996AB8BC}"/>
    <cellStyle name="Normal 4 2 2 3 3 2 2 2 2 3" xfId="32611" xr:uid="{3F83A64A-7664-4747-8723-BAAE1D712526}"/>
    <cellStyle name="Normal 4 2 2 3 3 2 2 2 2 4" xfId="15724" xr:uid="{8A536755-3E15-48F5-9A52-AF3680976970}"/>
    <cellStyle name="Normal 4 2 2 3 3 2 2 2 3" xfId="19947" xr:uid="{40ECA5EC-6E47-49A6-AC10-FAFB85D39674}"/>
    <cellStyle name="Normal 4 2 2 3 3 2 2 2 4" xfId="28394" xr:uid="{7C357F80-B864-4AD6-8CEF-F805C7424A82}"/>
    <cellStyle name="Normal 4 2 2 3 3 2 2 2 5" xfId="11506" xr:uid="{0AA340EE-22AF-4CDF-B55B-3B6E6A0B3609}"/>
    <cellStyle name="Normal 4 2 2 3 3 2 2 3" xfId="5137" xr:uid="{00000000-0005-0000-0000-000049120000}"/>
    <cellStyle name="Normal 4 2 2 3 3 2 2 3 2" xfId="22020" xr:uid="{A85CA0C1-C45B-45FC-AE53-4CB4B434B1AF}"/>
    <cellStyle name="Normal 4 2 2 3 3 2 2 3 3" xfId="30466" xr:uid="{AF44CC7C-4D2F-44E7-B10D-F371AB7C71E9}"/>
    <cellStyle name="Normal 4 2 2 3 3 2 2 3 4" xfId="13579" xr:uid="{A4301030-8DCA-4483-89CB-27EDF08F094B}"/>
    <cellStyle name="Normal 4 2 2 3 3 2 2 4" xfId="17802" xr:uid="{B0CF086E-0142-48FB-B46D-92999B5388FE}"/>
    <cellStyle name="Normal 4 2 2 3 3 2 2 5" xfId="26247" xr:uid="{3ADF2AB3-2142-4829-B0BE-07BD3BBAEF23}"/>
    <cellStyle name="Normal 4 2 2 3 3 2 2 6" xfId="9361" xr:uid="{F84B860F-54BA-4F36-9C7E-C9D6186195E7}"/>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24578" xr:uid="{2280A304-1243-4B83-9E1A-768DC6E22D5D}"/>
    <cellStyle name="Normal 4 2 2 3 3 2 3 2 2 3" xfId="33024" xr:uid="{BA8E4E58-36D2-4839-96A6-1DFCB229791F}"/>
    <cellStyle name="Normal 4 2 2 3 3 2 3 2 2 4" xfId="16137" xr:uid="{03A25E19-FCE4-451B-B28D-E3621249F15A}"/>
    <cellStyle name="Normal 4 2 2 3 3 2 3 2 3" xfId="20360" xr:uid="{4DD873FA-B739-49BC-8C61-18D5D217A1E0}"/>
    <cellStyle name="Normal 4 2 2 3 3 2 3 2 4" xfId="28807" xr:uid="{FE6AC8E7-8689-440D-B80C-CC55EC79E7F2}"/>
    <cellStyle name="Normal 4 2 2 3 3 2 3 2 5" xfId="11919" xr:uid="{F4998E03-0AA3-4765-BA2A-05F4F0487EF1}"/>
    <cellStyle name="Normal 4 2 2 3 3 2 3 3" xfId="5550" xr:uid="{00000000-0005-0000-0000-00004D120000}"/>
    <cellStyle name="Normal 4 2 2 3 3 2 3 3 2" xfId="22433" xr:uid="{1BB208B1-9A5A-4DAA-9C53-B5FB9AE17A23}"/>
    <cellStyle name="Normal 4 2 2 3 3 2 3 3 3" xfId="30879" xr:uid="{E5B4BED0-FD56-4945-8D6D-7BC558632DA4}"/>
    <cellStyle name="Normal 4 2 2 3 3 2 3 3 4" xfId="13992" xr:uid="{C61B4A5D-945F-438F-97D3-E7E7780DDE52}"/>
    <cellStyle name="Normal 4 2 2 3 3 2 3 4" xfId="18215" xr:uid="{0AB7DBBB-909F-4D86-959B-63BAAB7EEBD3}"/>
    <cellStyle name="Normal 4 2 2 3 3 2 3 5" xfId="26660" xr:uid="{DE99998B-0599-4768-BED4-C06D1495EF75}"/>
    <cellStyle name="Normal 4 2 2 3 3 2 3 6" xfId="9774" xr:uid="{E011F50C-8861-4EFD-8FB5-C0CD188994D5}"/>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24991" xr:uid="{6447B5FD-3C1D-48BF-B21C-5CC0DCDAFA3E}"/>
    <cellStyle name="Normal 4 2 2 3 3 2 4 2 2 3" xfId="33437" xr:uid="{AFD24D41-025F-4546-A614-7910B4AB6E46}"/>
    <cellStyle name="Normal 4 2 2 3 3 2 4 2 2 4" xfId="16550" xr:uid="{5AEAE7C1-DB85-448F-856A-B2F47D3003C1}"/>
    <cellStyle name="Normal 4 2 2 3 3 2 4 2 3" xfId="20773" xr:uid="{842E18AC-6459-4F92-A30D-4C7347E0F3AF}"/>
    <cellStyle name="Normal 4 2 2 3 3 2 4 2 4" xfId="29220" xr:uid="{42024951-2178-4E6A-A3D9-D5E07CD38519}"/>
    <cellStyle name="Normal 4 2 2 3 3 2 4 2 5" xfId="12332" xr:uid="{15925285-4BB3-4559-AFE2-FBCC0DDC0019}"/>
    <cellStyle name="Normal 4 2 2 3 3 2 4 3" xfId="5963" xr:uid="{00000000-0005-0000-0000-000051120000}"/>
    <cellStyle name="Normal 4 2 2 3 3 2 4 3 2" xfId="22846" xr:uid="{37AC699C-88D5-4E61-B9B2-31D5BFEFF585}"/>
    <cellStyle name="Normal 4 2 2 3 3 2 4 3 3" xfId="31292" xr:uid="{634D8F68-E304-4B1F-8F73-38361015BC8F}"/>
    <cellStyle name="Normal 4 2 2 3 3 2 4 3 4" xfId="14405" xr:uid="{7EA167BC-7F51-4280-BC37-84523088A8D1}"/>
    <cellStyle name="Normal 4 2 2 3 3 2 4 4" xfId="18628" xr:uid="{4EB509CD-AB07-4022-AD34-036AB3C8794B}"/>
    <cellStyle name="Normal 4 2 2 3 3 2 4 5" xfId="27073" xr:uid="{1B8862A3-2079-4D8F-8074-2211C3FA9A4B}"/>
    <cellStyle name="Normal 4 2 2 3 3 2 4 6" xfId="10187" xr:uid="{A8CEFD0A-3890-4BAD-A096-9013F80B658E}"/>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25404" xr:uid="{52504744-6029-49C4-BBB2-0144E42FC5D8}"/>
    <cellStyle name="Normal 4 2 2 3 3 2 5 2 2 3" xfId="33850" xr:uid="{975FB0C9-0E5E-4168-B76C-7E41168545A9}"/>
    <cellStyle name="Normal 4 2 2 3 3 2 5 2 2 4" xfId="16963" xr:uid="{722A0F02-0A5D-4687-813B-385A08F45BE2}"/>
    <cellStyle name="Normal 4 2 2 3 3 2 5 2 3" xfId="21186" xr:uid="{D033BBAB-A271-4789-92D0-07D54928FC5A}"/>
    <cellStyle name="Normal 4 2 2 3 3 2 5 2 4" xfId="29633" xr:uid="{DBE78E89-0EAE-4BD5-A3C4-A24D3D1332D4}"/>
    <cellStyle name="Normal 4 2 2 3 3 2 5 2 5" xfId="12745" xr:uid="{A5E02C1D-597B-43E1-A592-B2B8253562E1}"/>
    <cellStyle name="Normal 4 2 2 3 3 2 5 3" xfId="6376" xr:uid="{00000000-0005-0000-0000-000055120000}"/>
    <cellStyle name="Normal 4 2 2 3 3 2 5 3 2" xfId="23259" xr:uid="{95792777-C8B1-401A-B52F-9DD9C51C9C26}"/>
    <cellStyle name="Normal 4 2 2 3 3 2 5 3 3" xfId="31705" xr:uid="{0B8F6262-6681-4AA7-B9D9-9D9CD6AC5FAC}"/>
    <cellStyle name="Normal 4 2 2 3 3 2 5 3 4" xfId="14818" xr:uid="{5BF579BC-C229-4D4A-B00F-05C4744704AA}"/>
    <cellStyle name="Normal 4 2 2 3 3 2 5 4" xfId="19041" xr:uid="{A7F3C9A4-5E93-49B4-AAE4-DD26202C2A19}"/>
    <cellStyle name="Normal 4 2 2 3 3 2 5 5" xfId="27486" xr:uid="{D2B79BBD-AA40-48E4-B2C6-1EEBE24B1439}"/>
    <cellStyle name="Normal 4 2 2 3 3 2 5 6" xfId="10600" xr:uid="{EEE40B6F-2819-417E-9434-70ED5104D2CD}"/>
    <cellStyle name="Normal 4 2 2 3 3 2 6" xfId="2505" xr:uid="{00000000-0005-0000-0000-000056120000}"/>
    <cellStyle name="Normal 4 2 2 3 3 2 6 2" xfId="6789" xr:uid="{00000000-0005-0000-0000-000057120000}"/>
    <cellStyle name="Normal 4 2 2 3 3 2 6 2 2" xfId="23672" xr:uid="{0A64D879-A7E9-4431-BB80-1B93B97FC978}"/>
    <cellStyle name="Normal 4 2 2 3 3 2 6 2 3" xfId="32118" xr:uid="{92C7A855-55B5-473A-B3CD-DD59A25C44A7}"/>
    <cellStyle name="Normal 4 2 2 3 3 2 6 2 4" xfId="15231" xr:uid="{34FBEBCA-FF92-420C-ACFF-EBA5D420D6F7}"/>
    <cellStyle name="Normal 4 2 2 3 3 2 6 3" xfId="19454" xr:uid="{01A16FEC-AA92-44E7-8878-151874DA0EEA}"/>
    <cellStyle name="Normal 4 2 2 3 3 2 6 4" xfId="27899" xr:uid="{B2A45057-56EC-41E8-B0F2-4A28A06B84E7}"/>
    <cellStyle name="Normal 4 2 2 3 3 2 6 5" xfId="11013" xr:uid="{95FBAD8B-38A2-454A-AB8F-AFED72C98BD6}"/>
    <cellStyle name="Normal 4 2 2 3 3 2 7" xfId="4724" xr:uid="{00000000-0005-0000-0000-000058120000}"/>
    <cellStyle name="Normal 4 2 2 3 3 2 7 2" xfId="21607" xr:uid="{3D764416-A93E-48D4-B38E-A6D632B72243}"/>
    <cellStyle name="Normal 4 2 2 3 3 2 7 3" xfId="30053" xr:uid="{8956DE83-397B-4291-85E6-34D0FC6BF3FC}"/>
    <cellStyle name="Normal 4 2 2 3 3 2 7 4" xfId="13166" xr:uid="{205A4F30-3AE1-4AEF-9B8B-AD847581AC9D}"/>
    <cellStyle name="Normal 4 2 2 3 3 2 8" xfId="17389" xr:uid="{82BC59CA-767D-4CC4-8B63-E062F1EE8E33}"/>
    <cellStyle name="Normal 4 2 2 3 3 2 9" xfId="25833" xr:uid="{7F319E2F-5975-4C2B-929F-1117293D5539}"/>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24164" xr:uid="{D4199275-FE00-4022-BCD2-64BD87A3E083}"/>
    <cellStyle name="Normal 4 2 2 3 3 3 2 2 3" xfId="32610" xr:uid="{C4E532C0-F212-4EF6-99D6-0BCB3374F5CE}"/>
    <cellStyle name="Normal 4 2 2 3 3 3 2 2 4" xfId="15723" xr:uid="{8B024669-39B7-4422-BF0E-AE3EB891E975}"/>
    <cellStyle name="Normal 4 2 2 3 3 3 2 3" xfId="19946" xr:uid="{DC659EB6-F236-4559-BEB8-8BB528059871}"/>
    <cellStyle name="Normal 4 2 2 3 3 3 2 4" xfId="28393" xr:uid="{51BE89F9-6E1B-4CD2-8728-CD21B8F30778}"/>
    <cellStyle name="Normal 4 2 2 3 3 3 2 5" xfId="11505" xr:uid="{DECAAB4A-37C9-4D84-B3E0-59513EB20AC7}"/>
    <cellStyle name="Normal 4 2 2 3 3 3 3" xfId="5136" xr:uid="{00000000-0005-0000-0000-00005C120000}"/>
    <cellStyle name="Normal 4 2 2 3 3 3 3 2" xfId="22019" xr:uid="{D42D1BF8-ECA5-4127-95C8-0F554A6E94B9}"/>
    <cellStyle name="Normal 4 2 2 3 3 3 3 3" xfId="30465" xr:uid="{3CFD2BE1-CCAD-4B96-96BF-FB9812DBC819}"/>
    <cellStyle name="Normal 4 2 2 3 3 3 3 4" xfId="13578" xr:uid="{FFA9EC3D-6D30-4B6C-AA24-CB79F510814B}"/>
    <cellStyle name="Normal 4 2 2 3 3 3 4" xfId="17801" xr:uid="{249BA2EF-E43E-456C-B554-F0453146653D}"/>
    <cellStyle name="Normal 4 2 2 3 3 3 5" xfId="26246" xr:uid="{A01A2BBC-FE5D-4838-B420-824B9DF557DC}"/>
    <cellStyle name="Normal 4 2 2 3 3 3 6" xfId="9360" xr:uid="{48B1F264-477A-4B32-B115-CCD9CAF73CF1}"/>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24577" xr:uid="{E2EEB227-9251-48DA-BDA7-B3CD07533881}"/>
    <cellStyle name="Normal 4 2 2 3 3 4 2 2 3" xfId="33023" xr:uid="{CACF793B-0188-4920-B704-3B69432A6716}"/>
    <cellStyle name="Normal 4 2 2 3 3 4 2 2 4" xfId="16136" xr:uid="{5A0E7B3D-436B-4ABB-8DC3-596AED723817}"/>
    <cellStyle name="Normal 4 2 2 3 3 4 2 3" xfId="20359" xr:uid="{368B9A8E-4AC2-45A3-9966-387B15F95313}"/>
    <cellStyle name="Normal 4 2 2 3 3 4 2 4" xfId="28806" xr:uid="{095FEF5F-37D2-4880-B330-BEB905C38510}"/>
    <cellStyle name="Normal 4 2 2 3 3 4 2 5" xfId="11918" xr:uid="{32F0A8E7-1F26-423F-9CA6-9941641B4F65}"/>
    <cellStyle name="Normal 4 2 2 3 3 4 3" xfId="5549" xr:uid="{00000000-0005-0000-0000-000060120000}"/>
    <cellStyle name="Normal 4 2 2 3 3 4 3 2" xfId="22432" xr:uid="{1DBE5F99-F9F5-47AA-8E30-0DD6AC264093}"/>
    <cellStyle name="Normal 4 2 2 3 3 4 3 3" xfId="30878" xr:uid="{282572EA-BD48-4322-A4BD-F999D867B30E}"/>
    <cellStyle name="Normal 4 2 2 3 3 4 3 4" xfId="13991" xr:uid="{CAE199C7-273E-4171-8920-426780EACA73}"/>
    <cellStyle name="Normal 4 2 2 3 3 4 4" xfId="18214" xr:uid="{0F051112-FF91-45F4-82A9-A9D026D5EBEC}"/>
    <cellStyle name="Normal 4 2 2 3 3 4 5" xfId="26659" xr:uid="{DF5FA420-38E4-4258-960D-B1F978981B2A}"/>
    <cellStyle name="Normal 4 2 2 3 3 4 6" xfId="9773" xr:uid="{972F83E6-6FB3-4C2A-9E28-F9960829EA57}"/>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24990" xr:uid="{6816FF6B-F958-40E8-B93A-0A931A394928}"/>
    <cellStyle name="Normal 4 2 2 3 3 5 2 2 3" xfId="33436" xr:uid="{7E97FAC0-1FC9-4ACE-BF6C-EFFC9B5202AE}"/>
    <cellStyle name="Normal 4 2 2 3 3 5 2 2 4" xfId="16549" xr:uid="{BAC11C48-11FB-43C2-BDFF-0A67CF93412B}"/>
    <cellStyle name="Normal 4 2 2 3 3 5 2 3" xfId="20772" xr:uid="{BEF88851-E60F-43B1-96EF-528B9D71F23F}"/>
    <cellStyle name="Normal 4 2 2 3 3 5 2 4" xfId="29219" xr:uid="{52477142-9E45-4997-A82E-435DA1D93AF9}"/>
    <cellStyle name="Normal 4 2 2 3 3 5 2 5" xfId="12331" xr:uid="{C4FABADF-F327-4DD1-B3CB-3FE854D064A9}"/>
    <cellStyle name="Normal 4 2 2 3 3 5 3" xfId="5962" xr:uid="{00000000-0005-0000-0000-000064120000}"/>
    <cellStyle name="Normal 4 2 2 3 3 5 3 2" xfId="22845" xr:uid="{5CD9CE60-E8DD-468C-8308-E95961DBCD49}"/>
    <cellStyle name="Normal 4 2 2 3 3 5 3 3" xfId="31291" xr:uid="{71198384-AC67-4EF2-86ED-CC3AB01579EF}"/>
    <cellStyle name="Normal 4 2 2 3 3 5 3 4" xfId="14404" xr:uid="{DA290C76-38CA-4ADA-872D-FFDAA722CB42}"/>
    <cellStyle name="Normal 4 2 2 3 3 5 4" xfId="18627" xr:uid="{9BA91CEC-4C27-41F3-94BE-4C79446BE300}"/>
    <cellStyle name="Normal 4 2 2 3 3 5 5" xfId="27072" xr:uid="{2963872D-AFBA-4924-AF28-529E535C0E5D}"/>
    <cellStyle name="Normal 4 2 2 3 3 5 6" xfId="10186" xr:uid="{221A3169-9228-4239-98CB-C624EB85B3D4}"/>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25403" xr:uid="{95860012-3154-4F06-9DC4-D90B61311085}"/>
    <cellStyle name="Normal 4 2 2 3 3 6 2 2 3" xfId="33849" xr:uid="{424AD60E-7478-46E3-8E97-BE693BA3AD6B}"/>
    <cellStyle name="Normal 4 2 2 3 3 6 2 2 4" xfId="16962" xr:uid="{FF4AE671-A8F0-4760-A0DF-AC86039667DD}"/>
    <cellStyle name="Normal 4 2 2 3 3 6 2 3" xfId="21185" xr:uid="{CA2BF8FE-E03B-4CAA-9089-0C101492E20D}"/>
    <cellStyle name="Normal 4 2 2 3 3 6 2 4" xfId="29632" xr:uid="{D041E0AF-62EE-4E9C-9B6D-D98BBE00406C}"/>
    <cellStyle name="Normal 4 2 2 3 3 6 2 5" xfId="12744" xr:uid="{A98A43E7-2E27-41DD-A2E6-028F24A57146}"/>
    <cellStyle name="Normal 4 2 2 3 3 6 3" xfId="6375" xr:uid="{00000000-0005-0000-0000-000068120000}"/>
    <cellStyle name="Normal 4 2 2 3 3 6 3 2" xfId="23258" xr:uid="{038F62E0-014F-4719-8A45-2738D599D673}"/>
    <cellStyle name="Normal 4 2 2 3 3 6 3 3" xfId="31704" xr:uid="{ECA83B52-A872-4920-AD5F-C9D8DE4B088D}"/>
    <cellStyle name="Normal 4 2 2 3 3 6 3 4" xfId="14817" xr:uid="{9CBFAD8C-959B-4795-B65F-11A18D845933}"/>
    <cellStyle name="Normal 4 2 2 3 3 6 4" xfId="19040" xr:uid="{D9AC948F-E862-48EF-B34B-020696ECEF3F}"/>
    <cellStyle name="Normal 4 2 2 3 3 6 5" xfId="27485" xr:uid="{787B04FE-A9D5-45A3-AE81-A1BE78EC443A}"/>
    <cellStyle name="Normal 4 2 2 3 3 6 6" xfId="10599" xr:uid="{C59FEC8E-20AA-41DF-B445-43A3995A55FD}"/>
    <cellStyle name="Normal 4 2 2 3 3 7" xfId="2504" xr:uid="{00000000-0005-0000-0000-000069120000}"/>
    <cellStyle name="Normal 4 2 2 3 3 7 2" xfId="6788" xr:uid="{00000000-0005-0000-0000-00006A120000}"/>
    <cellStyle name="Normal 4 2 2 3 3 7 2 2" xfId="23671" xr:uid="{1396EDCF-4A46-4581-AD47-F8139EED7864}"/>
    <cellStyle name="Normal 4 2 2 3 3 7 2 3" xfId="32117" xr:uid="{6E284467-D82E-4360-8B25-A8E06F4C8D9F}"/>
    <cellStyle name="Normal 4 2 2 3 3 7 2 4" xfId="15230" xr:uid="{90C9AEEF-AABA-478F-AA12-EAA4DFF549F0}"/>
    <cellStyle name="Normal 4 2 2 3 3 7 3" xfId="19453" xr:uid="{120E313E-C30B-407F-AD5A-DCA273296E92}"/>
    <cellStyle name="Normal 4 2 2 3 3 7 4" xfId="27898" xr:uid="{DD8BB59B-711D-4717-B225-145F31E1AECA}"/>
    <cellStyle name="Normal 4 2 2 3 3 7 5" xfId="11012" xr:uid="{B16CC4FF-DE84-412C-BA75-364B8FF8B218}"/>
    <cellStyle name="Normal 4 2 2 3 3 8" xfId="4723" xr:uid="{00000000-0005-0000-0000-00006B120000}"/>
    <cellStyle name="Normal 4 2 2 3 3 8 2" xfId="21606" xr:uid="{FF5658CC-2B17-4AB9-B3D5-B9AF0AEECE39}"/>
    <cellStyle name="Normal 4 2 2 3 3 8 3" xfId="30052" xr:uid="{4C23187F-0191-4069-B2BA-E2AACF6BF447}"/>
    <cellStyle name="Normal 4 2 2 3 3 8 4" xfId="13165" xr:uid="{7B617C22-6528-411E-AC00-02C8AB663987}"/>
    <cellStyle name="Normal 4 2 2 3 3 9" xfId="17388" xr:uid="{90F6E71C-8362-40C9-A0CA-7939F1795E2D}"/>
    <cellStyle name="Normal 4 2 2 3 4" xfId="346" xr:uid="{00000000-0005-0000-0000-00006C120000}"/>
    <cellStyle name="Normal 4 2 2 3 4 10" xfId="8949" xr:uid="{B64A192B-884F-4148-AF1F-D2085055063C}"/>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24166" xr:uid="{2EB19893-D1DA-4FF5-AD55-A5422A16F07C}"/>
    <cellStyle name="Normal 4 2 2 3 4 2 2 2 3" xfId="32612" xr:uid="{9D2218AF-D239-4071-8C18-D0D3D87950BF}"/>
    <cellStyle name="Normal 4 2 2 3 4 2 2 2 4" xfId="15725" xr:uid="{515FAC9A-4C97-4152-9B61-B0D73ED59113}"/>
    <cellStyle name="Normal 4 2 2 3 4 2 2 3" xfId="19948" xr:uid="{B7DFAF85-EA5E-4743-BE87-E7810BB31512}"/>
    <cellStyle name="Normal 4 2 2 3 4 2 2 4" xfId="28395" xr:uid="{82B5E841-572C-47C3-95DE-9F2C6AAFA834}"/>
    <cellStyle name="Normal 4 2 2 3 4 2 2 5" xfId="11507" xr:uid="{83B5DDEA-3872-4FDD-9C44-B766966C30DB}"/>
    <cellStyle name="Normal 4 2 2 3 4 2 3" xfId="5138" xr:uid="{00000000-0005-0000-0000-000070120000}"/>
    <cellStyle name="Normal 4 2 2 3 4 2 3 2" xfId="22021" xr:uid="{D25A5718-50DF-4E6D-BE8C-70D515E51B09}"/>
    <cellStyle name="Normal 4 2 2 3 4 2 3 3" xfId="30467" xr:uid="{26967634-BF4F-4910-A01A-6A86C081B3F9}"/>
    <cellStyle name="Normal 4 2 2 3 4 2 3 4" xfId="13580" xr:uid="{2E0C4C4D-D079-4E83-B329-023FB8C6AEEB}"/>
    <cellStyle name="Normal 4 2 2 3 4 2 4" xfId="17803" xr:uid="{5196BBF6-633F-4101-BABC-E0956F8772EB}"/>
    <cellStyle name="Normal 4 2 2 3 4 2 5" xfId="26248" xr:uid="{1F73A2F4-8D25-40A6-9A85-D383CE46382B}"/>
    <cellStyle name="Normal 4 2 2 3 4 2 6" xfId="9362" xr:uid="{C6DAB433-5FDD-44B1-9391-BD41B2DECFCE}"/>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24579" xr:uid="{93572040-C6FD-429E-AD37-8BEB7401051E}"/>
    <cellStyle name="Normal 4 2 2 3 4 3 2 2 3" xfId="33025" xr:uid="{33598B4D-F5B2-476E-B194-7363932D47FC}"/>
    <cellStyle name="Normal 4 2 2 3 4 3 2 2 4" xfId="16138" xr:uid="{A7BADC95-F151-429F-B67A-F95CCC4FAB76}"/>
    <cellStyle name="Normal 4 2 2 3 4 3 2 3" xfId="20361" xr:uid="{9991A7AE-A6DF-4F4A-BD23-C1C4AA498B6E}"/>
    <cellStyle name="Normal 4 2 2 3 4 3 2 4" xfId="28808" xr:uid="{4115480F-E6AC-40EC-A48D-68C95ACF1D7D}"/>
    <cellStyle name="Normal 4 2 2 3 4 3 2 5" xfId="11920" xr:uid="{16BFB5F2-E029-44E7-B9A4-85EFFA463F09}"/>
    <cellStyle name="Normal 4 2 2 3 4 3 3" xfId="5551" xr:uid="{00000000-0005-0000-0000-000074120000}"/>
    <cellStyle name="Normal 4 2 2 3 4 3 3 2" xfId="22434" xr:uid="{821BDF9F-57C5-4D16-AF11-D67CB49448AE}"/>
    <cellStyle name="Normal 4 2 2 3 4 3 3 3" xfId="30880" xr:uid="{246959A1-421A-435E-BA4A-FE273E5627C9}"/>
    <cellStyle name="Normal 4 2 2 3 4 3 3 4" xfId="13993" xr:uid="{B5B7842B-F4DB-49C9-B4C3-34D20C40A7F5}"/>
    <cellStyle name="Normal 4 2 2 3 4 3 4" xfId="18216" xr:uid="{0D4E71AB-84FB-4ABE-9009-5D00891F0325}"/>
    <cellStyle name="Normal 4 2 2 3 4 3 5" xfId="26661" xr:uid="{C906ABD2-2B48-4A67-AFEF-A822B2D6A909}"/>
    <cellStyle name="Normal 4 2 2 3 4 3 6" xfId="9775" xr:uid="{3C4D6DB8-840C-40FC-982C-14A76FA58E93}"/>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24992" xr:uid="{89FF494F-782D-4003-A81A-06E51B0CFC02}"/>
    <cellStyle name="Normal 4 2 2 3 4 4 2 2 3" xfId="33438" xr:uid="{F97194EA-179C-4AF3-ADB9-9434676511FA}"/>
    <cellStyle name="Normal 4 2 2 3 4 4 2 2 4" xfId="16551" xr:uid="{63BA95DE-CE70-4D41-A2C8-B961673591AB}"/>
    <cellStyle name="Normal 4 2 2 3 4 4 2 3" xfId="20774" xr:uid="{4C262399-579E-4718-B0F7-979C5DB6E8D2}"/>
    <cellStyle name="Normal 4 2 2 3 4 4 2 4" xfId="29221" xr:uid="{EAF2E43B-D5AA-482D-913C-A636227A58B4}"/>
    <cellStyle name="Normal 4 2 2 3 4 4 2 5" xfId="12333" xr:uid="{BDF7BE1D-3F5B-4046-80DD-8955558E434B}"/>
    <cellStyle name="Normal 4 2 2 3 4 4 3" xfId="5964" xr:uid="{00000000-0005-0000-0000-000078120000}"/>
    <cellStyle name="Normal 4 2 2 3 4 4 3 2" xfId="22847" xr:uid="{A7B72994-BA95-4332-9B62-59050F9A3737}"/>
    <cellStyle name="Normal 4 2 2 3 4 4 3 3" xfId="31293" xr:uid="{EED3EB7C-8015-4B09-AF3E-19FFB22E1CBA}"/>
    <cellStyle name="Normal 4 2 2 3 4 4 3 4" xfId="14406" xr:uid="{B802A6B6-336A-4EC5-9148-A33F93972870}"/>
    <cellStyle name="Normal 4 2 2 3 4 4 4" xfId="18629" xr:uid="{1DB05C5F-2FC8-4AE6-B59A-311983909A82}"/>
    <cellStyle name="Normal 4 2 2 3 4 4 5" xfId="27074" xr:uid="{BC9000E6-4723-4B32-9826-2476AB4CA64F}"/>
    <cellStyle name="Normal 4 2 2 3 4 4 6" xfId="10188" xr:uid="{5C35DE0A-1088-4664-A09A-2C6CF7D16CAC}"/>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25405" xr:uid="{8F1EF2D7-6095-4C22-91F9-700EE8DCA99F}"/>
    <cellStyle name="Normal 4 2 2 3 4 5 2 2 3" xfId="33851" xr:uid="{C57955F2-A32E-4C1C-96C5-A6638507AFEC}"/>
    <cellStyle name="Normal 4 2 2 3 4 5 2 2 4" xfId="16964" xr:uid="{D34ECD2C-3DC3-49F0-9D14-07ECC0E37439}"/>
    <cellStyle name="Normal 4 2 2 3 4 5 2 3" xfId="21187" xr:uid="{A3D70556-FC4F-4697-A7D9-8F4D126DB964}"/>
    <cellStyle name="Normal 4 2 2 3 4 5 2 4" xfId="29634" xr:uid="{5C359D57-4D94-4B5C-85B7-D170110B85FB}"/>
    <cellStyle name="Normal 4 2 2 3 4 5 2 5" xfId="12746" xr:uid="{71C3B6BC-2A4F-45D4-8A9C-46F8A7147BD7}"/>
    <cellStyle name="Normal 4 2 2 3 4 5 3" xfId="6377" xr:uid="{00000000-0005-0000-0000-00007C120000}"/>
    <cellStyle name="Normal 4 2 2 3 4 5 3 2" xfId="23260" xr:uid="{DEB68718-2B86-4E64-A190-9B95579CD45A}"/>
    <cellStyle name="Normal 4 2 2 3 4 5 3 3" xfId="31706" xr:uid="{958871B0-D075-4064-9EC5-EBD3AAA385AF}"/>
    <cellStyle name="Normal 4 2 2 3 4 5 3 4" xfId="14819" xr:uid="{1C8F4C3C-37A4-4B66-889C-41D44EF8AB38}"/>
    <cellStyle name="Normal 4 2 2 3 4 5 4" xfId="19042" xr:uid="{2FA7B32B-A03C-4834-89DF-13099B7AC81E}"/>
    <cellStyle name="Normal 4 2 2 3 4 5 5" xfId="27487" xr:uid="{911649A6-C6EC-4EBC-8D0B-8E2963557FAF}"/>
    <cellStyle name="Normal 4 2 2 3 4 5 6" xfId="10601" xr:uid="{AA0511C8-596D-4CA2-8EFF-5DCBCAB11DD5}"/>
    <cellStyle name="Normal 4 2 2 3 4 6" xfId="2506" xr:uid="{00000000-0005-0000-0000-00007D120000}"/>
    <cellStyle name="Normal 4 2 2 3 4 6 2" xfId="6790" xr:uid="{00000000-0005-0000-0000-00007E120000}"/>
    <cellStyle name="Normal 4 2 2 3 4 6 2 2" xfId="23673" xr:uid="{4602EF90-5EE5-4717-B57F-BAA94CA529C4}"/>
    <cellStyle name="Normal 4 2 2 3 4 6 2 3" xfId="32119" xr:uid="{656A6AFC-7444-4A9A-8C46-0B4C10B457D6}"/>
    <cellStyle name="Normal 4 2 2 3 4 6 2 4" xfId="15232" xr:uid="{D1E441F7-4D5F-4FCA-A809-71A6FE259401}"/>
    <cellStyle name="Normal 4 2 2 3 4 6 3" xfId="19455" xr:uid="{09831F0E-7BED-45D2-9184-F9534A8EFBFB}"/>
    <cellStyle name="Normal 4 2 2 3 4 6 4" xfId="27900" xr:uid="{61AF39DB-97EB-41FF-8C9B-C82E09173B52}"/>
    <cellStyle name="Normal 4 2 2 3 4 6 5" xfId="11014" xr:uid="{5B982DA5-620D-4B0F-9ED0-698E43E5EE23}"/>
    <cellStyle name="Normal 4 2 2 3 4 7" xfId="4725" xr:uid="{00000000-0005-0000-0000-00007F120000}"/>
    <cellStyle name="Normal 4 2 2 3 4 7 2" xfId="21608" xr:uid="{F2C9DD11-E578-4F1B-8693-4701AF3FD7C3}"/>
    <cellStyle name="Normal 4 2 2 3 4 7 3" xfId="30054" xr:uid="{3165184D-7DDC-441F-8EC3-49B486E73DFE}"/>
    <cellStyle name="Normal 4 2 2 3 4 7 4" xfId="13167" xr:uid="{ED51CF8A-060D-4B94-B717-19EB2FAB9F29}"/>
    <cellStyle name="Normal 4 2 2 3 4 8" xfId="17390" xr:uid="{9C3230AC-A5BC-4B87-B89B-781BCCF12959}"/>
    <cellStyle name="Normal 4 2 2 3 4 9" xfId="25834" xr:uid="{956FB318-C0FF-415D-BD17-E0D2776C96B0}"/>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24159" xr:uid="{BD8C5F50-C118-4A1C-A3D8-329E6AF8E289}"/>
    <cellStyle name="Normal 4 2 2 3 5 2 2 3" xfId="32605" xr:uid="{8C8F7EC4-EF16-4B46-99B1-D78DB5A2834C}"/>
    <cellStyle name="Normal 4 2 2 3 5 2 2 4" xfId="15718" xr:uid="{5E7F7152-9FD8-4C19-8B75-77BB119167CE}"/>
    <cellStyle name="Normal 4 2 2 3 5 2 3" xfId="19941" xr:uid="{3706DC3D-CB32-489E-99FE-898502DCDB50}"/>
    <cellStyle name="Normal 4 2 2 3 5 2 4" xfId="28388" xr:uid="{8727FE9E-46AD-42AD-9E6D-2C2A42C39D06}"/>
    <cellStyle name="Normal 4 2 2 3 5 2 5" xfId="11500" xr:uid="{F50E56EF-DA8C-4BD5-9017-4ECCFC13D618}"/>
    <cellStyle name="Normal 4 2 2 3 5 3" xfId="5131" xr:uid="{00000000-0005-0000-0000-000083120000}"/>
    <cellStyle name="Normal 4 2 2 3 5 3 2" xfId="22014" xr:uid="{A8A6CD9A-D191-4CB5-B5CB-C90B2504BBBD}"/>
    <cellStyle name="Normal 4 2 2 3 5 3 3" xfId="30460" xr:uid="{6ABB4BF3-2130-4A67-A5AC-80C6BE2BA1B4}"/>
    <cellStyle name="Normal 4 2 2 3 5 3 4" xfId="13573" xr:uid="{CC25A0CD-7836-4880-9985-AF6474780BF5}"/>
    <cellStyle name="Normal 4 2 2 3 5 4" xfId="17796" xr:uid="{FC95B58F-D62B-4DC4-AA56-6946A236AA3E}"/>
    <cellStyle name="Normal 4 2 2 3 5 5" xfId="26241" xr:uid="{5B0EA82D-1EA8-4466-8FDB-FB55F092A613}"/>
    <cellStyle name="Normal 4 2 2 3 5 6" xfId="9355" xr:uid="{B2430911-5304-41BC-BF0A-1FE906448AAB}"/>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24572" xr:uid="{7469EFF6-8B4F-45E9-A53E-E40ACFB2CED7}"/>
    <cellStyle name="Normal 4 2 2 3 6 2 2 3" xfId="33018" xr:uid="{E6B67336-E815-47BC-B39E-0D7B1C988FEA}"/>
    <cellStyle name="Normal 4 2 2 3 6 2 2 4" xfId="16131" xr:uid="{E354DDC9-6CBB-4661-8EE9-AF8805D80B37}"/>
    <cellStyle name="Normal 4 2 2 3 6 2 3" xfId="20354" xr:uid="{481A1F06-C62A-415D-A7F4-E52EA039E033}"/>
    <cellStyle name="Normal 4 2 2 3 6 2 4" xfId="28801" xr:uid="{832E4BA6-329E-4936-B442-D2530DAA0A2D}"/>
    <cellStyle name="Normal 4 2 2 3 6 2 5" xfId="11913" xr:uid="{1221F554-3B35-413C-B830-1CBF1347873A}"/>
    <cellStyle name="Normal 4 2 2 3 6 3" xfId="5544" xr:uid="{00000000-0005-0000-0000-000087120000}"/>
    <cellStyle name="Normal 4 2 2 3 6 3 2" xfId="22427" xr:uid="{3FA0FC59-0648-4295-B7B3-98F5E8BC8ADA}"/>
    <cellStyle name="Normal 4 2 2 3 6 3 3" xfId="30873" xr:uid="{5EF30CD3-1AB6-417E-87B6-AA8DD2AA76B8}"/>
    <cellStyle name="Normal 4 2 2 3 6 3 4" xfId="13986" xr:uid="{E53FE817-1AB4-4DF2-BA86-638790AC4ABE}"/>
    <cellStyle name="Normal 4 2 2 3 6 4" xfId="18209" xr:uid="{8408A256-6B90-40E0-BBAF-48321BD8022F}"/>
    <cellStyle name="Normal 4 2 2 3 6 5" xfId="26654" xr:uid="{C8ECED45-0ACC-4214-B198-3C99619125B0}"/>
    <cellStyle name="Normal 4 2 2 3 6 6" xfId="9768" xr:uid="{DBFD7E2E-3A2B-48E1-829B-BB70DADB3F13}"/>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24985" xr:uid="{5DDF5237-4D73-4160-B550-E0307FBDB110}"/>
    <cellStyle name="Normal 4 2 2 3 7 2 2 3" xfId="33431" xr:uid="{7F73EB36-6B9D-47D0-B7CF-D3C64A77559E}"/>
    <cellStyle name="Normal 4 2 2 3 7 2 2 4" xfId="16544" xr:uid="{B7E8AB72-21E5-4D2E-9E7E-BA19C912726C}"/>
    <cellStyle name="Normal 4 2 2 3 7 2 3" xfId="20767" xr:uid="{2172290A-EC73-4FEF-AB74-3650F8E91EFA}"/>
    <cellStyle name="Normal 4 2 2 3 7 2 4" xfId="29214" xr:uid="{6AF51FA2-6DEA-4970-81FB-C415A0F0DC19}"/>
    <cellStyle name="Normal 4 2 2 3 7 2 5" xfId="12326" xr:uid="{2E7B7576-D0D8-480A-8386-92AA027170EB}"/>
    <cellStyle name="Normal 4 2 2 3 7 3" xfId="5957" xr:uid="{00000000-0005-0000-0000-00008B120000}"/>
    <cellStyle name="Normal 4 2 2 3 7 3 2" xfId="22840" xr:uid="{CF848759-46F0-4A0C-996F-24E0E2C52C1D}"/>
    <cellStyle name="Normal 4 2 2 3 7 3 3" xfId="31286" xr:uid="{0AD03F61-4FAD-4294-AEB2-0745EEE6D88D}"/>
    <cellStyle name="Normal 4 2 2 3 7 3 4" xfId="14399" xr:uid="{E0F7B6A4-4C67-47EE-B9AE-7A2067948B86}"/>
    <cellStyle name="Normal 4 2 2 3 7 4" xfId="18622" xr:uid="{6DC3E1A7-56E9-4F89-A735-EF967E7108FA}"/>
    <cellStyle name="Normal 4 2 2 3 7 5" xfId="27067" xr:uid="{52D6B284-2040-4C86-966C-D432ED3C839E}"/>
    <cellStyle name="Normal 4 2 2 3 7 6" xfId="10181" xr:uid="{1D15F1DB-FE20-4884-920E-408A6DEFE8D1}"/>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25398" xr:uid="{41B75C52-9293-4066-8F76-0579B127ED7D}"/>
    <cellStyle name="Normal 4 2 2 3 8 2 2 3" xfId="33844" xr:uid="{9BDC2FAF-8B36-4553-AA4B-B8ECEA4AA2BC}"/>
    <cellStyle name="Normal 4 2 2 3 8 2 2 4" xfId="16957" xr:uid="{69E6F1DF-A034-4E4C-B2D0-C47B364D0326}"/>
    <cellStyle name="Normal 4 2 2 3 8 2 3" xfId="21180" xr:uid="{2CD7DF0A-57AF-4DAC-A975-E9E7103BBED8}"/>
    <cellStyle name="Normal 4 2 2 3 8 2 4" xfId="29627" xr:uid="{FF2D0C41-EEC8-43B6-818F-38A7AB2D60A9}"/>
    <cellStyle name="Normal 4 2 2 3 8 2 5" xfId="12739" xr:uid="{5FAB71D8-AFC1-4A5B-8BA6-AC3AC2AD29E0}"/>
    <cellStyle name="Normal 4 2 2 3 8 3" xfId="6370" xr:uid="{00000000-0005-0000-0000-00008F120000}"/>
    <cellStyle name="Normal 4 2 2 3 8 3 2" xfId="23253" xr:uid="{F06F7556-7011-4EE3-9F6D-05C0942B299D}"/>
    <cellStyle name="Normal 4 2 2 3 8 3 3" xfId="31699" xr:uid="{49F9CBBC-4A81-4AF9-A046-CC3CA90F4483}"/>
    <cellStyle name="Normal 4 2 2 3 8 3 4" xfId="14812" xr:uid="{32004CE2-F822-43A0-ADDF-4A43C6505F4D}"/>
    <cellStyle name="Normal 4 2 2 3 8 4" xfId="19035" xr:uid="{AA8828A4-C69B-4483-99DA-B6E11C511E73}"/>
    <cellStyle name="Normal 4 2 2 3 8 5" xfId="27480" xr:uid="{B6C34047-034F-4418-832F-7F8430903DA4}"/>
    <cellStyle name="Normal 4 2 2 3 8 6" xfId="10594" xr:uid="{D3CCBC89-9B6E-4F19-8829-0EADF8E16E9B}"/>
    <cellStyle name="Normal 4 2 2 3 9" xfId="2499" xr:uid="{00000000-0005-0000-0000-000090120000}"/>
    <cellStyle name="Normal 4 2 2 3 9 2" xfId="6783" xr:uid="{00000000-0005-0000-0000-000091120000}"/>
    <cellStyle name="Normal 4 2 2 3 9 2 2" xfId="23666" xr:uid="{76E620EA-0534-4F3F-A2FE-B737EA3FD9A2}"/>
    <cellStyle name="Normal 4 2 2 3 9 2 3" xfId="32112" xr:uid="{D3CC2632-F159-44CB-8DF6-D8D7D2BD44B9}"/>
    <cellStyle name="Normal 4 2 2 3 9 2 4" xfId="15225" xr:uid="{190399E1-1190-46DF-BC99-ECE5224CFB37}"/>
    <cellStyle name="Normal 4 2 2 3 9 3" xfId="19448" xr:uid="{CDEC888D-418F-40D0-88A0-3A5E4A19E4AE}"/>
    <cellStyle name="Normal 4 2 2 3 9 4" xfId="27893" xr:uid="{7737A65C-64F9-4D07-8FB7-E2566645094F}"/>
    <cellStyle name="Normal 4 2 2 3 9 5" xfId="11007" xr:uid="{FD9E4465-CAAB-4EA4-81A9-F6C18245BC14}"/>
    <cellStyle name="Normal 4 2 2 4" xfId="347" xr:uid="{00000000-0005-0000-0000-000092120000}"/>
    <cellStyle name="Normal 4 2 2 4 10" xfId="17391" xr:uid="{BACE8A62-EF77-4596-8771-18F5DF4B57D4}"/>
    <cellStyle name="Normal 4 2 2 4 11" xfId="25835" xr:uid="{503863B5-CCC1-472B-BAE3-FFFCE8DF8041}"/>
    <cellStyle name="Normal 4 2 2 4 12" xfId="8950" xr:uid="{9E515DA7-7295-4B87-B2F2-74530EF4F1A6}"/>
    <cellStyle name="Normal 4 2 2 4 2" xfId="348" xr:uid="{00000000-0005-0000-0000-000093120000}"/>
    <cellStyle name="Normal 4 2 2 4 2 10" xfId="25836" xr:uid="{6385F706-3E61-4759-9FEF-FBA0DA0589A1}"/>
    <cellStyle name="Normal 4 2 2 4 2 11" xfId="8951" xr:uid="{38A854C9-976E-4114-B455-61E04721632C}"/>
    <cellStyle name="Normal 4 2 2 4 2 2" xfId="349" xr:uid="{00000000-0005-0000-0000-000094120000}"/>
    <cellStyle name="Normal 4 2 2 4 2 2 10" xfId="8952" xr:uid="{15E64A65-5D0C-4142-B7F6-A7A93987BF37}"/>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24169" xr:uid="{D9B39174-B5DC-4E8E-95C9-112041F82141}"/>
    <cellStyle name="Normal 4 2 2 4 2 2 2 2 2 3" xfId="32615" xr:uid="{679DF455-EC28-4176-90E4-8257731ADFCB}"/>
    <cellStyle name="Normal 4 2 2 4 2 2 2 2 2 4" xfId="15728" xr:uid="{77F34CF3-BE33-4763-88CD-CEDBC60F8C64}"/>
    <cellStyle name="Normal 4 2 2 4 2 2 2 2 3" xfId="19951" xr:uid="{45CF9FB3-9412-4389-A97D-AA5A86AF704E}"/>
    <cellStyle name="Normal 4 2 2 4 2 2 2 2 4" xfId="28398" xr:uid="{CD489BDB-4E5D-4A69-8E63-9D45F595F925}"/>
    <cellStyle name="Normal 4 2 2 4 2 2 2 2 5" xfId="11510" xr:uid="{7C1B80AE-39FC-4BF7-89BA-0E17175F3CC5}"/>
    <cellStyle name="Normal 4 2 2 4 2 2 2 3" xfId="5141" xr:uid="{00000000-0005-0000-0000-000098120000}"/>
    <cellStyle name="Normal 4 2 2 4 2 2 2 3 2" xfId="22024" xr:uid="{8ED1D555-4932-4AED-ABBB-E27B94C1196B}"/>
    <cellStyle name="Normal 4 2 2 4 2 2 2 3 3" xfId="30470" xr:uid="{A659AC84-D068-4D93-9C73-61D9C517885F}"/>
    <cellStyle name="Normal 4 2 2 4 2 2 2 3 4" xfId="13583" xr:uid="{614258C5-160E-4C4B-9B14-3A0DBBC1E109}"/>
    <cellStyle name="Normal 4 2 2 4 2 2 2 4" xfId="17806" xr:uid="{2B885C9E-C146-4A6D-9EE0-5786FAC408E9}"/>
    <cellStyle name="Normal 4 2 2 4 2 2 2 5" xfId="26251" xr:uid="{A07B5D45-C724-47A8-A6D7-0E4A4D5708DC}"/>
    <cellStyle name="Normal 4 2 2 4 2 2 2 6" xfId="9365" xr:uid="{92EFCAF5-3E30-4CC9-8452-48E9BD233426}"/>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24582" xr:uid="{98AB1326-B39F-4C03-BBD5-D083A7959D23}"/>
    <cellStyle name="Normal 4 2 2 4 2 2 3 2 2 3" xfId="33028" xr:uid="{0BDAEE40-A524-4B16-97C7-82E947A44A39}"/>
    <cellStyle name="Normal 4 2 2 4 2 2 3 2 2 4" xfId="16141" xr:uid="{142E4836-69DE-4DA3-B499-23C12C3AE990}"/>
    <cellStyle name="Normal 4 2 2 4 2 2 3 2 3" xfId="20364" xr:uid="{202D2E74-664D-421B-9A2A-DC1BB5ABED82}"/>
    <cellStyle name="Normal 4 2 2 4 2 2 3 2 4" xfId="28811" xr:uid="{37C8C7A8-5182-443C-B23D-5C31A1BFE485}"/>
    <cellStyle name="Normal 4 2 2 4 2 2 3 2 5" xfId="11923" xr:uid="{972CCE4D-523F-4AC2-A9F8-DD7004E27929}"/>
    <cellStyle name="Normal 4 2 2 4 2 2 3 3" xfId="5554" xr:uid="{00000000-0005-0000-0000-00009C120000}"/>
    <cellStyle name="Normal 4 2 2 4 2 2 3 3 2" xfId="22437" xr:uid="{03EE3BE1-3675-4133-8958-59F44D122FC8}"/>
    <cellStyle name="Normal 4 2 2 4 2 2 3 3 3" xfId="30883" xr:uid="{8D963100-0EDA-4526-A863-2A98AAA4AF12}"/>
    <cellStyle name="Normal 4 2 2 4 2 2 3 3 4" xfId="13996" xr:uid="{21BA8E8D-ED74-468E-A855-DE4F4E475C70}"/>
    <cellStyle name="Normal 4 2 2 4 2 2 3 4" xfId="18219" xr:uid="{6E9E7070-3D9F-49C0-BAC0-293C9BB7B6F9}"/>
    <cellStyle name="Normal 4 2 2 4 2 2 3 5" xfId="26664" xr:uid="{37D17AE4-203C-4928-9AF9-7D2AC730B0F4}"/>
    <cellStyle name="Normal 4 2 2 4 2 2 3 6" xfId="9778" xr:uid="{1AC49BED-5262-4052-AA6E-F8CE2F8E6A07}"/>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24995" xr:uid="{DF130F66-B367-456C-8A56-60A3BC570D7E}"/>
    <cellStyle name="Normal 4 2 2 4 2 2 4 2 2 3" xfId="33441" xr:uid="{631796AA-B903-4E9C-9F88-CBFA2485D8CF}"/>
    <cellStyle name="Normal 4 2 2 4 2 2 4 2 2 4" xfId="16554" xr:uid="{2ACE5B5C-32C3-458D-9F07-C0BAAC86CB73}"/>
    <cellStyle name="Normal 4 2 2 4 2 2 4 2 3" xfId="20777" xr:uid="{5D62D577-01C4-455D-915A-E34A68108E8C}"/>
    <cellStyle name="Normal 4 2 2 4 2 2 4 2 4" xfId="29224" xr:uid="{61A4EFA5-DED3-4F48-9945-FB1878C6CD32}"/>
    <cellStyle name="Normal 4 2 2 4 2 2 4 2 5" xfId="12336" xr:uid="{C92FC4EB-889D-4551-A772-91CBE4473CF1}"/>
    <cellStyle name="Normal 4 2 2 4 2 2 4 3" xfId="5967" xr:uid="{00000000-0005-0000-0000-0000A0120000}"/>
    <cellStyle name="Normal 4 2 2 4 2 2 4 3 2" xfId="22850" xr:uid="{3AFA206A-8F9C-4713-9217-625C689F02CD}"/>
    <cellStyle name="Normal 4 2 2 4 2 2 4 3 3" xfId="31296" xr:uid="{FC7908C9-40FA-4094-91AD-630DC409CC32}"/>
    <cellStyle name="Normal 4 2 2 4 2 2 4 3 4" xfId="14409" xr:uid="{9E78CFE9-A4C6-4162-8F68-ABD9E93E3029}"/>
    <cellStyle name="Normal 4 2 2 4 2 2 4 4" xfId="18632" xr:uid="{635B8A78-20B6-4F9D-970D-168AA3D28BAB}"/>
    <cellStyle name="Normal 4 2 2 4 2 2 4 5" xfId="27077" xr:uid="{326DF851-22DD-4266-9D3C-12E53D5C947D}"/>
    <cellStyle name="Normal 4 2 2 4 2 2 4 6" xfId="10191" xr:uid="{0DDB55CC-E206-4E25-9C6A-91A0001709E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25408" xr:uid="{999F95C0-A63B-48D9-AD5C-4692F5E01FEB}"/>
    <cellStyle name="Normal 4 2 2 4 2 2 5 2 2 3" xfId="33854" xr:uid="{3F77A76E-E4D4-49DD-9415-3A60DCF1BD51}"/>
    <cellStyle name="Normal 4 2 2 4 2 2 5 2 2 4" xfId="16967" xr:uid="{0646A7CF-D26F-4425-8433-F97A52398403}"/>
    <cellStyle name="Normal 4 2 2 4 2 2 5 2 3" xfId="21190" xr:uid="{0E722D33-8121-4A9E-B440-51F63505CEA2}"/>
    <cellStyle name="Normal 4 2 2 4 2 2 5 2 4" xfId="29637" xr:uid="{9AF0E95D-04D9-46F0-A230-99C515FF55C8}"/>
    <cellStyle name="Normal 4 2 2 4 2 2 5 2 5" xfId="12749" xr:uid="{AB04D93B-9592-482E-9C18-539A3541384E}"/>
    <cellStyle name="Normal 4 2 2 4 2 2 5 3" xfId="6380" xr:uid="{00000000-0005-0000-0000-0000A4120000}"/>
    <cellStyle name="Normal 4 2 2 4 2 2 5 3 2" xfId="23263" xr:uid="{11F621DE-56B0-4731-A55C-81A103DA33BE}"/>
    <cellStyle name="Normal 4 2 2 4 2 2 5 3 3" xfId="31709" xr:uid="{91318DC0-B7B3-4D68-BB57-8050836C1008}"/>
    <cellStyle name="Normal 4 2 2 4 2 2 5 3 4" xfId="14822" xr:uid="{6896DB70-6C7A-4A90-8863-124D147139C6}"/>
    <cellStyle name="Normal 4 2 2 4 2 2 5 4" xfId="19045" xr:uid="{D379D187-036F-4E56-85AD-AD7C6F3A47BC}"/>
    <cellStyle name="Normal 4 2 2 4 2 2 5 5" xfId="27490" xr:uid="{9F0B88B5-1691-4243-A8D0-0C4075C8D06F}"/>
    <cellStyle name="Normal 4 2 2 4 2 2 5 6" xfId="10604" xr:uid="{93CC09AC-9E24-4A61-8DBC-901FD6F893AC}"/>
    <cellStyle name="Normal 4 2 2 4 2 2 6" xfId="2509" xr:uid="{00000000-0005-0000-0000-0000A5120000}"/>
    <cellStyle name="Normal 4 2 2 4 2 2 6 2" xfId="6793" xr:uid="{00000000-0005-0000-0000-0000A6120000}"/>
    <cellStyle name="Normal 4 2 2 4 2 2 6 2 2" xfId="23676" xr:uid="{C818DED7-36C5-4B57-B0CF-262D7B8FB309}"/>
    <cellStyle name="Normal 4 2 2 4 2 2 6 2 3" xfId="32122" xr:uid="{ADC5D574-DF89-44E2-A605-3DEF0A594C25}"/>
    <cellStyle name="Normal 4 2 2 4 2 2 6 2 4" xfId="15235" xr:uid="{D9E37251-FBA4-4073-928C-31A4ECBFF15B}"/>
    <cellStyle name="Normal 4 2 2 4 2 2 6 3" xfId="19458" xr:uid="{D18DAF6D-D873-4C2D-98D1-7C919A65B3AA}"/>
    <cellStyle name="Normal 4 2 2 4 2 2 6 4" xfId="27903" xr:uid="{5D43CE1E-016A-47B3-B295-C6B3BC458777}"/>
    <cellStyle name="Normal 4 2 2 4 2 2 6 5" xfId="11017" xr:uid="{2222007D-327C-4A64-99EA-785F64641865}"/>
    <cellStyle name="Normal 4 2 2 4 2 2 7" xfId="4728" xr:uid="{00000000-0005-0000-0000-0000A7120000}"/>
    <cellStyle name="Normal 4 2 2 4 2 2 7 2" xfId="21611" xr:uid="{A85EAAA7-4744-4770-88CB-02C5C7BB318D}"/>
    <cellStyle name="Normal 4 2 2 4 2 2 7 3" xfId="30057" xr:uid="{2F04FF46-702F-4614-B4A9-3E1E0947B420}"/>
    <cellStyle name="Normal 4 2 2 4 2 2 7 4" xfId="13170" xr:uid="{C56885B8-98CE-49C7-9968-8FDFE1607886}"/>
    <cellStyle name="Normal 4 2 2 4 2 2 8" xfId="17393" xr:uid="{13E2BA59-F7F0-406D-A694-586521CEEFB2}"/>
    <cellStyle name="Normal 4 2 2 4 2 2 9" xfId="25837" xr:uid="{FBAB814D-EBA1-438F-BD55-01A1DD37E328}"/>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24168" xr:uid="{81DE0FE5-9996-41AF-8AA9-2D8302D24B15}"/>
    <cellStyle name="Normal 4 2 2 4 2 3 2 2 3" xfId="32614" xr:uid="{AE3419B5-5ACA-4F38-9E42-F7B97AED1434}"/>
    <cellStyle name="Normal 4 2 2 4 2 3 2 2 4" xfId="15727" xr:uid="{3999B449-9517-4EFF-BD3B-4EF683BB9323}"/>
    <cellStyle name="Normal 4 2 2 4 2 3 2 3" xfId="19950" xr:uid="{B8352ABD-9C92-412F-91F3-B9A27C1BF858}"/>
    <cellStyle name="Normal 4 2 2 4 2 3 2 4" xfId="28397" xr:uid="{6DC852B2-EFA0-4DB2-B836-2ABCD3A75D84}"/>
    <cellStyle name="Normal 4 2 2 4 2 3 2 5" xfId="11509" xr:uid="{20140B83-0E9F-4E89-8D2B-C6EB01AB4C21}"/>
    <cellStyle name="Normal 4 2 2 4 2 3 3" xfId="5140" xr:uid="{00000000-0005-0000-0000-0000AB120000}"/>
    <cellStyle name="Normal 4 2 2 4 2 3 3 2" xfId="22023" xr:uid="{082B311E-FD68-4ACD-AC62-F8F04BD519EC}"/>
    <cellStyle name="Normal 4 2 2 4 2 3 3 3" xfId="30469" xr:uid="{48C92BC8-4D74-433F-86E9-8793DEA9BAD4}"/>
    <cellStyle name="Normal 4 2 2 4 2 3 3 4" xfId="13582" xr:uid="{3A09C729-2F89-480F-BC62-4F3BAB53FA8A}"/>
    <cellStyle name="Normal 4 2 2 4 2 3 4" xfId="17805" xr:uid="{8743297A-43DE-4F73-A3BF-BBA8FC7C8DB5}"/>
    <cellStyle name="Normal 4 2 2 4 2 3 5" xfId="26250" xr:uid="{DE8D04ED-9305-480C-A83C-E3CBE560A487}"/>
    <cellStyle name="Normal 4 2 2 4 2 3 6" xfId="9364" xr:uid="{8706C5E1-7862-44CD-A414-A35DEFD9FCA4}"/>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24581" xr:uid="{EA7DFE9D-7740-4D33-AB67-D3BBB8DBDA5A}"/>
    <cellStyle name="Normal 4 2 2 4 2 4 2 2 3" xfId="33027" xr:uid="{561B0D52-BE61-4FEE-BEDF-DC6C06EE190A}"/>
    <cellStyle name="Normal 4 2 2 4 2 4 2 2 4" xfId="16140" xr:uid="{47EEEB36-6FB7-4911-9CC8-64CCF27D6326}"/>
    <cellStyle name="Normal 4 2 2 4 2 4 2 3" xfId="20363" xr:uid="{921CC460-F75F-43EA-BCC4-8B6A2BE561CC}"/>
    <cellStyle name="Normal 4 2 2 4 2 4 2 4" xfId="28810" xr:uid="{7C13625A-3B06-4AD4-A7E3-9E298E739D4D}"/>
    <cellStyle name="Normal 4 2 2 4 2 4 2 5" xfId="11922" xr:uid="{8C99A40D-AE25-4DE8-8D7C-7DB391EA0BAD}"/>
    <cellStyle name="Normal 4 2 2 4 2 4 3" xfId="5553" xr:uid="{00000000-0005-0000-0000-0000AF120000}"/>
    <cellStyle name="Normal 4 2 2 4 2 4 3 2" xfId="22436" xr:uid="{F3CD3804-2D25-412D-A13A-B3ED71A3663B}"/>
    <cellStyle name="Normal 4 2 2 4 2 4 3 3" xfId="30882" xr:uid="{F71DE2A7-A9A8-4F75-BD48-0F4799BEFA72}"/>
    <cellStyle name="Normal 4 2 2 4 2 4 3 4" xfId="13995" xr:uid="{0CED2D25-87C2-4469-AE3F-759932B8EFED}"/>
    <cellStyle name="Normal 4 2 2 4 2 4 4" xfId="18218" xr:uid="{501E8E6A-C6F5-44B3-A964-46D812655865}"/>
    <cellStyle name="Normal 4 2 2 4 2 4 5" xfId="26663" xr:uid="{BDB534A4-0AC3-4BBE-A60A-C866446343B3}"/>
    <cellStyle name="Normal 4 2 2 4 2 4 6" xfId="9777" xr:uid="{D6EF0BF4-AAB4-4D08-9F8B-F47D27E433FE}"/>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24994" xr:uid="{F0E9B133-3CBF-41BE-8B7C-0C927D10470E}"/>
    <cellStyle name="Normal 4 2 2 4 2 5 2 2 3" xfId="33440" xr:uid="{38725D57-4296-4C62-8292-A755930A53F7}"/>
    <cellStyle name="Normal 4 2 2 4 2 5 2 2 4" xfId="16553" xr:uid="{D003DECF-54E3-438D-B0D3-2A526A2A4774}"/>
    <cellStyle name="Normal 4 2 2 4 2 5 2 3" xfId="20776" xr:uid="{9078513A-F4B7-47DB-A973-FCD3D9BE9219}"/>
    <cellStyle name="Normal 4 2 2 4 2 5 2 4" xfId="29223" xr:uid="{7AEC4E2C-9DDF-4F94-80AA-D43669B1DB77}"/>
    <cellStyle name="Normal 4 2 2 4 2 5 2 5" xfId="12335" xr:uid="{50768737-2648-4ABD-87E0-580C021BCF62}"/>
    <cellStyle name="Normal 4 2 2 4 2 5 3" xfId="5966" xr:uid="{00000000-0005-0000-0000-0000B3120000}"/>
    <cellStyle name="Normal 4 2 2 4 2 5 3 2" xfId="22849" xr:uid="{9CA57CC3-E673-415C-A830-7597C43C7FD7}"/>
    <cellStyle name="Normal 4 2 2 4 2 5 3 3" xfId="31295" xr:uid="{4E409BA6-6A95-4BFD-9B22-E0AEFC91EAF7}"/>
    <cellStyle name="Normal 4 2 2 4 2 5 3 4" xfId="14408" xr:uid="{39E94528-DF95-4EE1-A59F-275D7761F737}"/>
    <cellStyle name="Normal 4 2 2 4 2 5 4" xfId="18631" xr:uid="{16F00165-4D5B-4B7E-ADAE-FC49C935F954}"/>
    <cellStyle name="Normal 4 2 2 4 2 5 5" xfId="27076" xr:uid="{62FDF4A7-5E4C-43A2-94D4-ED9D6A7655C1}"/>
    <cellStyle name="Normal 4 2 2 4 2 5 6" xfId="10190" xr:uid="{EF661830-9029-46F1-B0BC-29199058061D}"/>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25407" xr:uid="{9ADACD2A-BE74-48ED-9970-866C16D4C59E}"/>
    <cellStyle name="Normal 4 2 2 4 2 6 2 2 3" xfId="33853" xr:uid="{C48DBD5E-0B26-48DC-91BE-6FBC4F15A6B6}"/>
    <cellStyle name="Normal 4 2 2 4 2 6 2 2 4" xfId="16966" xr:uid="{8B9A4917-22D8-4D24-B2F8-6EB9560C7909}"/>
    <cellStyle name="Normal 4 2 2 4 2 6 2 3" xfId="21189" xr:uid="{886B7DBB-85BB-4C59-86F1-E81A6C19D631}"/>
    <cellStyle name="Normal 4 2 2 4 2 6 2 4" xfId="29636" xr:uid="{9C839314-8599-4EB9-AA41-F7803B4CB62F}"/>
    <cellStyle name="Normal 4 2 2 4 2 6 2 5" xfId="12748" xr:uid="{162BC2CF-7E83-437F-A1DF-29A0EBA515E3}"/>
    <cellStyle name="Normal 4 2 2 4 2 6 3" xfId="6379" xr:uid="{00000000-0005-0000-0000-0000B7120000}"/>
    <cellStyle name="Normal 4 2 2 4 2 6 3 2" xfId="23262" xr:uid="{79DA929B-6939-4D3E-88BF-EEBABEBA4D1D}"/>
    <cellStyle name="Normal 4 2 2 4 2 6 3 3" xfId="31708" xr:uid="{E305D551-3113-414D-B096-A7DAD08915EF}"/>
    <cellStyle name="Normal 4 2 2 4 2 6 3 4" xfId="14821" xr:uid="{091D1FCD-260E-4C57-9CBC-8EBB05DB1057}"/>
    <cellStyle name="Normal 4 2 2 4 2 6 4" xfId="19044" xr:uid="{673CF9E1-451D-4D6C-AF9E-E40ED44E28E4}"/>
    <cellStyle name="Normal 4 2 2 4 2 6 5" xfId="27489" xr:uid="{7441AFE9-B630-4954-B2C5-E0F3721C6FC3}"/>
    <cellStyle name="Normal 4 2 2 4 2 6 6" xfId="10603" xr:uid="{E8C52613-E9AE-452E-82E2-A5BF706BBCD9}"/>
    <cellStyle name="Normal 4 2 2 4 2 7" xfId="2508" xr:uid="{00000000-0005-0000-0000-0000B8120000}"/>
    <cellStyle name="Normal 4 2 2 4 2 7 2" xfId="6792" xr:uid="{00000000-0005-0000-0000-0000B9120000}"/>
    <cellStyle name="Normal 4 2 2 4 2 7 2 2" xfId="23675" xr:uid="{2D974F78-3D27-499B-9AFA-C4DDE730F82B}"/>
    <cellStyle name="Normal 4 2 2 4 2 7 2 3" xfId="32121" xr:uid="{DEF5D473-A120-4CF3-B4C3-A5E4E6F79299}"/>
    <cellStyle name="Normal 4 2 2 4 2 7 2 4" xfId="15234" xr:uid="{56B54592-4BAB-4DDD-A2B3-67CBB899D8F5}"/>
    <cellStyle name="Normal 4 2 2 4 2 7 3" xfId="19457" xr:uid="{57839B1F-1EBA-4948-A39E-1C16E3D55CFF}"/>
    <cellStyle name="Normal 4 2 2 4 2 7 4" xfId="27902" xr:uid="{EE90F386-85F3-4612-8E57-0B157B066183}"/>
    <cellStyle name="Normal 4 2 2 4 2 7 5" xfId="11016" xr:uid="{D2FDF7DB-361B-4C12-9917-7C323D9BC3FA}"/>
    <cellStyle name="Normal 4 2 2 4 2 8" xfId="4727" xr:uid="{00000000-0005-0000-0000-0000BA120000}"/>
    <cellStyle name="Normal 4 2 2 4 2 8 2" xfId="21610" xr:uid="{05F93A70-7180-41A8-BC4D-BE58E71BC5CD}"/>
    <cellStyle name="Normal 4 2 2 4 2 8 3" xfId="30056" xr:uid="{2BF2F4A2-CD8E-4003-807E-4C106AD408CD}"/>
    <cellStyle name="Normal 4 2 2 4 2 8 4" xfId="13169" xr:uid="{9C7E5B5C-C96F-44FF-BCBA-490D2AE18952}"/>
    <cellStyle name="Normal 4 2 2 4 2 9" xfId="17392" xr:uid="{749397EB-9396-43EF-AB9D-C3FB30EFC61F}"/>
    <cellStyle name="Normal 4 2 2 4 3" xfId="350" xr:uid="{00000000-0005-0000-0000-0000BB120000}"/>
    <cellStyle name="Normal 4 2 2 4 3 10" xfId="8953" xr:uid="{72617668-4AD5-4B79-AA9C-8D3E27BE3E9D}"/>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24170" xr:uid="{58E44F82-9FAE-467B-8C52-4D99AF750971}"/>
    <cellStyle name="Normal 4 2 2 4 3 2 2 2 3" xfId="32616" xr:uid="{225F00F8-F9D8-4E85-8B91-ED2FAF089574}"/>
    <cellStyle name="Normal 4 2 2 4 3 2 2 2 4" xfId="15729" xr:uid="{056869F2-6619-4F00-9B3C-E9EE76D0C927}"/>
    <cellStyle name="Normal 4 2 2 4 3 2 2 3" xfId="19952" xr:uid="{A42E68D4-57CB-4A0B-85B7-431EB5753ECF}"/>
    <cellStyle name="Normal 4 2 2 4 3 2 2 4" xfId="28399" xr:uid="{1E30A3EA-8679-4453-B161-20BAB444FBDC}"/>
    <cellStyle name="Normal 4 2 2 4 3 2 2 5" xfId="11511" xr:uid="{938C47CC-A2A7-46AF-93B9-6CFDB3537BC7}"/>
    <cellStyle name="Normal 4 2 2 4 3 2 3" xfId="5142" xr:uid="{00000000-0005-0000-0000-0000BF120000}"/>
    <cellStyle name="Normal 4 2 2 4 3 2 3 2" xfId="22025" xr:uid="{B013C2AB-6633-4D60-A617-28111D5AF5CE}"/>
    <cellStyle name="Normal 4 2 2 4 3 2 3 3" xfId="30471" xr:uid="{27122779-F817-4026-9ACC-F7860F8E988C}"/>
    <cellStyle name="Normal 4 2 2 4 3 2 3 4" xfId="13584" xr:uid="{C66774BC-BB83-41BD-ACDD-4181B3CD6298}"/>
    <cellStyle name="Normal 4 2 2 4 3 2 4" xfId="17807" xr:uid="{5FF5D04C-813E-4668-94CA-E73363899B90}"/>
    <cellStyle name="Normal 4 2 2 4 3 2 5" xfId="26252" xr:uid="{7DB53DE9-A0CD-4FEC-A94B-3D975DA53A37}"/>
    <cellStyle name="Normal 4 2 2 4 3 2 6" xfId="9366" xr:uid="{EAA13F45-05E8-4F77-BB99-2B5C612197F9}"/>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24583" xr:uid="{DDC03191-B7CB-4D45-8AC9-30B6C41F7A26}"/>
    <cellStyle name="Normal 4 2 2 4 3 3 2 2 3" xfId="33029" xr:uid="{AE8E61D5-25E0-4A92-B5D7-708AADE60D8F}"/>
    <cellStyle name="Normal 4 2 2 4 3 3 2 2 4" xfId="16142" xr:uid="{D258F3DC-0B03-4CBF-9AAF-39E6CBDC54CA}"/>
    <cellStyle name="Normal 4 2 2 4 3 3 2 3" xfId="20365" xr:uid="{40DEE294-DD43-4F49-B5CC-723BCF995B3D}"/>
    <cellStyle name="Normal 4 2 2 4 3 3 2 4" xfId="28812" xr:uid="{AFFBFF0C-96F1-4C71-95A1-A85D19A61ECA}"/>
    <cellStyle name="Normal 4 2 2 4 3 3 2 5" xfId="11924" xr:uid="{3D18303B-6AC2-4E06-82C8-FB019AE621AF}"/>
    <cellStyle name="Normal 4 2 2 4 3 3 3" xfId="5555" xr:uid="{00000000-0005-0000-0000-0000C3120000}"/>
    <cellStyle name="Normal 4 2 2 4 3 3 3 2" xfId="22438" xr:uid="{A49FCBC0-DD38-4C53-AE56-49E986F521BF}"/>
    <cellStyle name="Normal 4 2 2 4 3 3 3 3" xfId="30884" xr:uid="{31EDF311-AC4A-43D9-AB97-25316E156026}"/>
    <cellStyle name="Normal 4 2 2 4 3 3 3 4" xfId="13997" xr:uid="{3F08AEE1-A0A1-46A8-8B4F-EA0EC5FD056D}"/>
    <cellStyle name="Normal 4 2 2 4 3 3 4" xfId="18220" xr:uid="{8F32F39D-5B6A-4C90-ADB7-D53E9010D43C}"/>
    <cellStyle name="Normal 4 2 2 4 3 3 5" xfId="26665" xr:uid="{F0134422-EA38-49A1-B295-6DA7C043CAC5}"/>
    <cellStyle name="Normal 4 2 2 4 3 3 6" xfId="9779" xr:uid="{24ABE3B3-6141-4797-BFAC-4F308FD0C27F}"/>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24996" xr:uid="{B84EFAD0-20AA-4AC1-8A3A-8F25ABAE8A47}"/>
    <cellStyle name="Normal 4 2 2 4 3 4 2 2 3" xfId="33442" xr:uid="{88FA6187-3777-4C28-AD11-DB62E8A715A6}"/>
    <cellStyle name="Normal 4 2 2 4 3 4 2 2 4" xfId="16555" xr:uid="{C8CD312C-D6B0-4FD9-A980-08E168C86460}"/>
    <cellStyle name="Normal 4 2 2 4 3 4 2 3" xfId="20778" xr:uid="{3933FAD7-50AB-49AC-B95C-558778DA7259}"/>
    <cellStyle name="Normal 4 2 2 4 3 4 2 4" xfId="29225" xr:uid="{C2DE82CE-E75B-4043-A0E1-8DE54C9799DF}"/>
    <cellStyle name="Normal 4 2 2 4 3 4 2 5" xfId="12337" xr:uid="{21A08BA9-C64C-451A-B774-30DD498D19ED}"/>
    <cellStyle name="Normal 4 2 2 4 3 4 3" xfId="5968" xr:uid="{00000000-0005-0000-0000-0000C7120000}"/>
    <cellStyle name="Normal 4 2 2 4 3 4 3 2" xfId="22851" xr:uid="{508F4B41-D92A-442C-9480-EAC27ABA2E5B}"/>
    <cellStyle name="Normal 4 2 2 4 3 4 3 3" xfId="31297" xr:uid="{E8C9E31F-A8C2-41DC-95A6-7B73492DA4F6}"/>
    <cellStyle name="Normal 4 2 2 4 3 4 3 4" xfId="14410" xr:uid="{4298CA01-A57D-4EB3-9E45-61FAE8C16C3E}"/>
    <cellStyle name="Normal 4 2 2 4 3 4 4" xfId="18633" xr:uid="{A076FA7C-F18F-407A-8C8E-B76E903B15A2}"/>
    <cellStyle name="Normal 4 2 2 4 3 4 5" xfId="27078" xr:uid="{2EF995A0-CB06-4EFB-ABEC-3A04CE7B5B63}"/>
    <cellStyle name="Normal 4 2 2 4 3 4 6" xfId="10192" xr:uid="{9BDEA173-E28B-4509-84C8-47C3E191630C}"/>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25409" xr:uid="{562567A8-8CC2-4898-9E20-21D06AE8AA66}"/>
    <cellStyle name="Normal 4 2 2 4 3 5 2 2 3" xfId="33855" xr:uid="{03A9260F-B22F-4982-9039-FAC489BDBC9D}"/>
    <cellStyle name="Normal 4 2 2 4 3 5 2 2 4" xfId="16968" xr:uid="{799E07B8-FF38-4813-8CAC-219803D0634C}"/>
    <cellStyle name="Normal 4 2 2 4 3 5 2 3" xfId="21191" xr:uid="{135AA77B-501A-4653-8C27-563DCF7A26A1}"/>
    <cellStyle name="Normal 4 2 2 4 3 5 2 4" xfId="29638" xr:uid="{AE9D7327-AACC-45C9-9FC1-98F9A26C3969}"/>
    <cellStyle name="Normal 4 2 2 4 3 5 2 5" xfId="12750" xr:uid="{2EA05D5C-4CFC-40A7-B827-33C66E0F4A3E}"/>
    <cellStyle name="Normal 4 2 2 4 3 5 3" xfId="6381" xr:uid="{00000000-0005-0000-0000-0000CB120000}"/>
    <cellStyle name="Normal 4 2 2 4 3 5 3 2" xfId="23264" xr:uid="{6CA87E17-D9BC-414A-B82F-58B8CA38D9E7}"/>
    <cellStyle name="Normal 4 2 2 4 3 5 3 3" xfId="31710" xr:uid="{E586C790-E0F8-454A-A0A0-F3F2160E9DAB}"/>
    <cellStyle name="Normal 4 2 2 4 3 5 3 4" xfId="14823" xr:uid="{6A5BA9C8-7695-4EF4-8974-DB759AF11205}"/>
    <cellStyle name="Normal 4 2 2 4 3 5 4" xfId="19046" xr:uid="{A4BFF124-15EF-406A-8E20-2EB30BE4E22D}"/>
    <cellStyle name="Normal 4 2 2 4 3 5 5" xfId="27491" xr:uid="{8B64169E-F572-4E56-A5EA-E5B938E961FF}"/>
    <cellStyle name="Normal 4 2 2 4 3 5 6" xfId="10605" xr:uid="{4CD5E800-9094-45C6-9509-8368697CE660}"/>
    <cellStyle name="Normal 4 2 2 4 3 6" xfId="2510" xr:uid="{00000000-0005-0000-0000-0000CC120000}"/>
    <cellStyle name="Normal 4 2 2 4 3 6 2" xfId="6794" xr:uid="{00000000-0005-0000-0000-0000CD120000}"/>
    <cellStyle name="Normal 4 2 2 4 3 6 2 2" xfId="23677" xr:uid="{41551D8A-CF1F-4436-9974-C59EFD36E0A6}"/>
    <cellStyle name="Normal 4 2 2 4 3 6 2 3" xfId="32123" xr:uid="{1B242190-735A-4904-BA86-97B0E36B813F}"/>
    <cellStyle name="Normal 4 2 2 4 3 6 2 4" xfId="15236" xr:uid="{21BA47BC-1AA3-4C55-8EB6-EE601874E27E}"/>
    <cellStyle name="Normal 4 2 2 4 3 6 3" xfId="19459" xr:uid="{DF5335E5-11F0-4BCA-992A-E304F3E37CA8}"/>
    <cellStyle name="Normal 4 2 2 4 3 6 4" xfId="27904" xr:uid="{C77CE4CE-F2FD-4E50-AA94-AAB29930062F}"/>
    <cellStyle name="Normal 4 2 2 4 3 6 5" xfId="11018" xr:uid="{E1C5CE51-3222-4C12-8699-35A81E0AF6D9}"/>
    <cellStyle name="Normal 4 2 2 4 3 7" xfId="4729" xr:uid="{00000000-0005-0000-0000-0000CE120000}"/>
    <cellStyle name="Normal 4 2 2 4 3 7 2" xfId="21612" xr:uid="{C1435226-6BD2-413F-9576-C39B9A8387DB}"/>
    <cellStyle name="Normal 4 2 2 4 3 7 3" xfId="30058" xr:uid="{6AE61938-DB71-4417-9555-DF2DDE9FCD28}"/>
    <cellStyle name="Normal 4 2 2 4 3 7 4" xfId="13171" xr:uid="{2E8F6F1E-F0D1-443F-8564-AB45F3126DEE}"/>
    <cellStyle name="Normal 4 2 2 4 3 8" xfId="17394" xr:uid="{8EAAD931-8557-4299-A6A7-14B6720FFCB0}"/>
    <cellStyle name="Normal 4 2 2 4 3 9" xfId="25838" xr:uid="{92C49AD6-A39E-4BFE-B0E2-4A96164A1D87}"/>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24167" xr:uid="{74A6F0BB-6FB0-4145-BE6C-83FDA911341D}"/>
    <cellStyle name="Normal 4 2 2 4 4 2 2 3" xfId="32613" xr:uid="{FC6AB780-8E61-4110-A0C4-3BAC6E7CA37D}"/>
    <cellStyle name="Normal 4 2 2 4 4 2 2 4" xfId="15726" xr:uid="{25931571-08B8-462E-AA82-49C0F9CBB29D}"/>
    <cellStyle name="Normal 4 2 2 4 4 2 3" xfId="19949" xr:uid="{5D8C0634-FD69-4CBA-8586-4019908248C2}"/>
    <cellStyle name="Normal 4 2 2 4 4 2 4" xfId="28396" xr:uid="{E1AF818E-E013-4AD0-B9EB-FAFCDA5DD18D}"/>
    <cellStyle name="Normal 4 2 2 4 4 2 5" xfId="11508" xr:uid="{8C344DDD-ECDD-45D4-903C-0154EF2E9D6D}"/>
    <cellStyle name="Normal 4 2 2 4 4 3" xfId="5139" xr:uid="{00000000-0005-0000-0000-0000D2120000}"/>
    <cellStyle name="Normal 4 2 2 4 4 3 2" xfId="22022" xr:uid="{70CAAF92-10FB-4926-A1A9-D7144CC72017}"/>
    <cellStyle name="Normal 4 2 2 4 4 3 3" xfId="30468" xr:uid="{8F20967A-4E9A-42BF-91E0-693FB76E5D71}"/>
    <cellStyle name="Normal 4 2 2 4 4 3 4" xfId="13581" xr:uid="{00A90BBB-EF9D-4BE5-8AD9-F7D2A30076A6}"/>
    <cellStyle name="Normal 4 2 2 4 4 4" xfId="17804" xr:uid="{D302C413-60D7-4E8A-9684-080D2FD9674D}"/>
    <cellStyle name="Normal 4 2 2 4 4 5" xfId="26249" xr:uid="{908EEC98-3A47-4A1F-BC45-01344E84955C}"/>
    <cellStyle name="Normal 4 2 2 4 4 6" xfId="9363" xr:uid="{15694965-620B-4EDF-8FF3-E562B6D70D07}"/>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24580" xr:uid="{72FEE12F-A1DF-4BFB-A122-A76BB3AE2787}"/>
    <cellStyle name="Normal 4 2 2 4 5 2 2 3" xfId="33026" xr:uid="{F0635DC5-53AB-4E1C-8DF8-5AEA0C53F4DE}"/>
    <cellStyle name="Normal 4 2 2 4 5 2 2 4" xfId="16139" xr:uid="{236C3864-C0B8-4595-8D47-850E4005058F}"/>
    <cellStyle name="Normal 4 2 2 4 5 2 3" xfId="20362" xr:uid="{2BA994DE-0225-4539-BC1D-03B922191ADB}"/>
    <cellStyle name="Normal 4 2 2 4 5 2 4" xfId="28809" xr:uid="{29BB79CA-223B-45A1-A5DC-87ADCC7C70BB}"/>
    <cellStyle name="Normal 4 2 2 4 5 2 5" xfId="11921" xr:uid="{AF28421E-CE78-4DA5-B138-5044F5081E4F}"/>
    <cellStyle name="Normal 4 2 2 4 5 3" xfId="5552" xr:uid="{00000000-0005-0000-0000-0000D6120000}"/>
    <cellStyle name="Normal 4 2 2 4 5 3 2" xfId="22435" xr:uid="{AECF49A4-CACB-4C21-911E-59E705CB0AE2}"/>
    <cellStyle name="Normal 4 2 2 4 5 3 3" xfId="30881" xr:uid="{2CAB92D1-3F5D-4B89-B142-ECF6158D1CFE}"/>
    <cellStyle name="Normal 4 2 2 4 5 3 4" xfId="13994" xr:uid="{259D2B8B-9869-42E8-810B-78097F116EFE}"/>
    <cellStyle name="Normal 4 2 2 4 5 4" xfId="18217" xr:uid="{1D208FA8-DE77-4C4A-937A-D91C6C54CDBF}"/>
    <cellStyle name="Normal 4 2 2 4 5 5" xfId="26662" xr:uid="{B29F0028-A2E8-4D6D-B27A-7BFDF3EE0563}"/>
    <cellStyle name="Normal 4 2 2 4 5 6" xfId="9776" xr:uid="{4B71EBF0-419E-4047-A9E5-3B76F029CEC2}"/>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24993" xr:uid="{1B2F32BB-F3E1-4057-AF67-A056CE6D7445}"/>
    <cellStyle name="Normal 4 2 2 4 6 2 2 3" xfId="33439" xr:uid="{4A9A0F09-982F-48C3-BF52-12299B24C11A}"/>
    <cellStyle name="Normal 4 2 2 4 6 2 2 4" xfId="16552" xr:uid="{3A6E6576-DA7A-4C52-8D40-2B1A1F188CE2}"/>
    <cellStyle name="Normal 4 2 2 4 6 2 3" xfId="20775" xr:uid="{C478FA22-E5AC-4201-B834-2CBC7625ACA4}"/>
    <cellStyle name="Normal 4 2 2 4 6 2 4" xfId="29222" xr:uid="{B23F70AB-A91B-4291-8F3D-00D69D62A062}"/>
    <cellStyle name="Normal 4 2 2 4 6 2 5" xfId="12334" xr:uid="{EF8F018A-E167-4E73-A270-88A464B44CD4}"/>
    <cellStyle name="Normal 4 2 2 4 6 3" xfId="5965" xr:uid="{00000000-0005-0000-0000-0000DA120000}"/>
    <cellStyle name="Normal 4 2 2 4 6 3 2" xfId="22848" xr:uid="{B401F9E9-7B78-44F6-BB8D-9929BCF93E19}"/>
    <cellStyle name="Normal 4 2 2 4 6 3 3" xfId="31294" xr:uid="{8BC2BEFE-00ED-4ACE-8DEB-550C281D1843}"/>
    <cellStyle name="Normal 4 2 2 4 6 3 4" xfId="14407" xr:uid="{A47B019F-BDEF-4093-BDFB-696896784F88}"/>
    <cellStyle name="Normal 4 2 2 4 6 4" xfId="18630" xr:uid="{4A8CD1E2-7358-41DA-9E22-12FB5B7FC0D1}"/>
    <cellStyle name="Normal 4 2 2 4 6 5" xfId="27075" xr:uid="{84634683-E544-4FB4-BAC0-D8BD06E4171A}"/>
    <cellStyle name="Normal 4 2 2 4 6 6" xfId="10189" xr:uid="{DAEE6546-05E3-4616-AB15-CD97534E3115}"/>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25406" xr:uid="{F926C68A-FC73-4754-8A90-CECA39469524}"/>
    <cellStyle name="Normal 4 2 2 4 7 2 2 3" xfId="33852" xr:uid="{23AB169F-564C-45B4-A9D4-8F2A89F8B80D}"/>
    <cellStyle name="Normal 4 2 2 4 7 2 2 4" xfId="16965" xr:uid="{1C7D213A-8B72-41B4-A7FC-658455690415}"/>
    <cellStyle name="Normal 4 2 2 4 7 2 3" xfId="21188" xr:uid="{750F1F40-D4D7-4B2C-9D12-4D5D08AAD100}"/>
    <cellStyle name="Normal 4 2 2 4 7 2 4" xfId="29635" xr:uid="{5E49F55E-EA3C-44A9-8D89-B398C00A4836}"/>
    <cellStyle name="Normal 4 2 2 4 7 2 5" xfId="12747" xr:uid="{9D8CB96E-FDE8-4BEE-916D-644AAD7EF62B}"/>
    <cellStyle name="Normal 4 2 2 4 7 3" xfId="6378" xr:uid="{00000000-0005-0000-0000-0000DE120000}"/>
    <cellStyle name="Normal 4 2 2 4 7 3 2" xfId="23261" xr:uid="{FAC78AE9-F1B9-41B8-B2F3-06DB35BF5CDB}"/>
    <cellStyle name="Normal 4 2 2 4 7 3 3" xfId="31707" xr:uid="{81D5AE48-DFF0-44AE-A5CB-0B4B73A016CE}"/>
    <cellStyle name="Normal 4 2 2 4 7 3 4" xfId="14820" xr:uid="{62B62957-9747-4EE8-942E-020867660384}"/>
    <cellStyle name="Normal 4 2 2 4 7 4" xfId="19043" xr:uid="{122D5B1D-E91B-4F0E-98C7-DC6562465208}"/>
    <cellStyle name="Normal 4 2 2 4 7 5" xfId="27488" xr:uid="{CA1EAB96-BA98-4D8D-90F5-DF6974DD9A4F}"/>
    <cellStyle name="Normal 4 2 2 4 7 6" xfId="10602" xr:uid="{84C8DD26-F4A5-4661-9F41-5C6965812375}"/>
    <cellStyle name="Normal 4 2 2 4 8" xfId="2507" xr:uid="{00000000-0005-0000-0000-0000DF120000}"/>
    <cellStyle name="Normal 4 2 2 4 8 2" xfId="6791" xr:uid="{00000000-0005-0000-0000-0000E0120000}"/>
    <cellStyle name="Normal 4 2 2 4 8 2 2" xfId="23674" xr:uid="{1B112C0B-54C4-40C4-AD74-A2B99B76F429}"/>
    <cellStyle name="Normal 4 2 2 4 8 2 3" xfId="32120" xr:uid="{9D097B74-AC4B-41F7-BFC6-E2B452DD851A}"/>
    <cellStyle name="Normal 4 2 2 4 8 2 4" xfId="15233" xr:uid="{DA69DDF3-B137-4614-B376-0CD7796E139A}"/>
    <cellStyle name="Normal 4 2 2 4 8 3" xfId="19456" xr:uid="{0B6B00E1-9C8D-4593-A7AA-2B00D2DD3B94}"/>
    <cellStyle name="Normal 4 2 2 4 8 4" xfId="27901" xr:uid="{9E5262FA-F40A-4E81-9138-3589B1D0F8BF}"/>
    <cellStyle name="Normal 4 2 2 4 8 5" xfId="11015" xr:uid="{8E752D74-3732-4BAA-BEFD-CD9EF877B04D}"/>
    <cellStyle name="Normal 4 2 2 4 9" xfId="4726" xr:uid="{00000000-0005-0000-0000-0000E1120000}"/>
    <cellStyle name="Normal 4 2 2 4 9 2" xfId="21609" xr:uid="{64EC6321-AD7F-4112-BC21-0D11AD56CD33}"/>
    <cellStyle name="Normal 4 2 2 4 9 3" xfId="30055" xr:uid="{1FDD4E26-5E75-4C0E-B837-7AE95C758E02}"/>
    <cellStyle name="Normal 4 2 2 4 9 4" xfId="13168" xr:uid="{F7089648-18E3-4524-B7E3-B20F0C5385D0}"/>
    <cellStyle name="Normal 4 2 2 5" xfId="351" xr:uid="{00000000-0005-0000-0000-0000E2120000}"/>
    <cellStyle name="Normal 4 2 2 5 10" xfId="25839" xr:uid="{1E334D90-CBA1-48A6-A8BE-B8223788165A}"/>
    <cellStyle name="Normal 4 2 2 5 11" xfId="8954" xr:uid="{4CBD0FA3-CCAC-416B-92B3-616DA758A18D}"/>
    <cellStyle name="Normal 4 2 2 5 2" xfId="352" xr:uid="{00000000-0005-0000-0000-0000E3120000}"/>
    <cellStyle name="Normal 4 2 2 5 2 10" xfId="8955" xr:uid="{7F8C2900-4738-42C2-B20C-C26BD0CBB92F}"/>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24172" xr:uid="{AACB7B6C-3D35-47CF-9405-B26BFEDAB955}"/>
    <cellStyle name="Normal 4 2 2 5 2 2 2 2 3" xfId="32618" xr:uid="{FBEDD9D0-9EE7-4A2E-9BD0-E3B9C17E6B03}"/>
    <cellStyle name="Normal 4 2 2 5 2 2 2 2 4" xfId="15731" xr:uid="{A2C2F841-CE15-4B67-84EE-A52278FC54F7}"/>
    <cellStyle name="Normal 4 2 2 5 2 2 2 3" xfId="19954" xr:uid="{C079E380-49D5-4175-9AA8-52BC11909CCD}"/>
    <cellStyle name="Normal 4 2 2 5 2 2 2 4" xfId="28401" xr:uid="{1F80CAFA-37F9-49AC-A40D-96F1E2F1A441}"/>
    <cellStyle name="Normal 4 2 2 5 2 2 2 5" xfId="11513" xr:uid="{9E811B33-D51D-4F0E-9CE7-252A6A903364}"/>
    <cellStyle name="Normal 4 2 2 5 2 2 3" xfId="5144" xr:uid="{00000000-0005-0000-0000-0000E7120000}"/>
    <cellStyle name="Normal 4 2 2 5 2 2 3 2" xfId="22027" xr:uid="{E4AC5A06-FF61-4656-A8BF-A7003F7DDC4E}"/>
    <cellStyle name="Normal 4 2 2 5 2 2 3 3" xfId="30473" xr:uid="{BB4C20FD-5AD3-4177-8012-F08FD185168F}"/>
    <cellStyle name="Normal 4 2 2 5 2 2 3 4" xfId="13586" xr:uid="{37EF1FAC-844A-46DF-900A-F42E83C2371F}"/>
    <cellStyle name="Normal 4 2 2 5 2 2 4" xfId="17809" xr:uid="{5AE8840C-9EF8-4AD7-934A-70D500AEB750}"/>
    <cellStyle name="Normal 4 2 2 5 2 2 5" xfId="26254" xr:uid="{AD694EC1-F7FB-45DA-8478-94D962EBA837}"/>
    <cellStyle name="Normal 4 2 2 5 2 2 6" xfId="9368" xr:uid="{E463646F-8126-413A-85E0-C94027ADE7E8}"/>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24585" xr:uid="{18D34BEA-25C0-4044-A6E7-5AABA1FA33B4}"/>
    <cellStyle name="Normal 4 2 2 5 2 3 2 2 3" xfId="33031" xr:uid="{FCCD8036-443D-4A40-9C08-81C4EE9DD6FE}"/>
    <cellStyle name="Normal 4 2 2 5 2 3 2 2 4" xfId="16144" xr:uid="{F01B5280-9AFC-49FC-B631-F03B702D5880}"/>
    <cellStyle name="Normal 4 2 2 5 2 3 2 3" xfId="20367" xr:uid="{F0A9171F-6A1E-4FD7-B4A4-105E73D030FB}"/>
    <cellStyle name="Normal 4 2 2 5 2 3 2 4" xfId="28814" xr:uid="{51BABF1C-F41F-4924-BF29-18EF759EA897}"/>
    <cellStyle name="Normal 4 2 2 5 2 3 2 5" xfId="11926" xr:uid="{AC4F8592-E9BE-4DD2-9DB2-2851125874B6}"/>
    <cellStyle name="Normal 4 2 2 5 2 3 3" xfId="5557" xr:uid="{00000000-0005-0000-0000-0000EB120000}"/>
    <cellStyle name="Normal 4 2 2 5 2 3 3 2" xfId="22440" xr:uid="{A739FECD-2514-4929-9905-F8CF9E290469}"/>
    <cellStyle name="Normal 4 2 2 5 2 3 3 3" xfId="30886" xr:uid="{0895BE99-6D4E-4AFE-904E-E748C994C6E9}"/>
    <cellStyle name="Normal 4 2 2 5 2 3 3 4" xfId="13999" xr:uid="{38C07878-AAFC-463D-A880-8DB3F3F99649}"/>
    <cellStyle name="Normal 4 2 2 5 2 3 4" xfId="18222" xr:uid="{EB61C004-5019-4667-9161-E1AF72337EB4}"/>
    <cellStyle name="Normal 4 2 2 5 2 3 5" xfId="26667" xr:uid="{1B76F46E-0F57-43FA-8193-E2F5BD02E371}"/>
    <cellStyle name="Normal 4 2 2 5 2 3 6" xfId="9781" xr:uid="{1D6CEE14-A9AD-4963-803E-DA640CDC81E7}"/>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24998" xr:uid="{752A2ECA-279C-4D66-AFC4-F79A3B98A0C9}"/>
    <cellStyle name="Normal 4 2 2 5 2 4 2 2 3" xfId="33444" xr:uid="{8E93FFE7-8D29-4B79-89A2-DAC0DDF27B29}"/>
    <cellStyle name="Normal 4 2 2 5 2 4 2 2 4" xfId="16557" xr:uid="{324AF2C9-1273-423F-A401-241B929CCEBC}"/>
    <cellStyle name="Normal 4 2 2 5 2 4 2 3" xfId="20780" xr:uid="{C343206C-7DB4-4270-83C6-94AAB0DDBDC7}"/>
    <cellStyle name="Normal 4 2 2 5 2 4 2 4" xfId="29227" xr:uid="{F2C11DC6-15BA-4812-8BC9-DC0665CD9CAC}"/>
    <cellStyle name="Normal 4 2 2 5 2 4 2 5" xfId="12339" xr:uid="{BC8BFA67-95C0-44BF-8570-DC0B8ABD0B3D}"/>
    <cellStyle name="Normal 4 2 2 5 2 4 3" xfId="5970" xr:uid="{00000000-0005-0000-0000-0000EF120000}"/>
    <cellStyle name="Normal 4 2 2 5 2 4 3 2" xfId="22853" xr:uid="{2266366F-0BE7-4B2E-8172-D3C635B06908}"/>
    <cellStyle name="Normal 4 2 2 5 2 4 3 3" xfId="31299" xr:uid="{D01A2757-6ADF-49B1-8885-956F6B884816}"/>
    <cellStyle name="Normal 4 2 2 5 2 4 3 4" xfId="14412" xr:uid="{63D2F4D0-69B1-4549-B2A5-B36C386A1469}"/>
    <cellStyle name="Normal 4 2 2 5 2 4 4" xfId="18635" xr:uid="{8A3D5637-0493-43D9-8C90-5F36EDC1D3A6}"/>
    <cellStyle name="Normal 4 2 2 5 2 4 5" xfId="27080" xr:uid="{7E0AC279-E3F9-4E4F-B3B3-421587BFBF58}"/>
    <cellStyle name="Normal 4 2 2 5 2 4 6" xfId="10194" xr:uid="{B372B0C4-68C7-4521-A6B0-B7FA2DA35834}"/>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25411" xr:uid="{FE9CD492-5440-4FF0-8F29-20C7A1011321}"/>
    <cellStyle name="Normal 4 2 2 5 2 5 2 2 3" xfId="33857" xr:uid="{22CD18E1-49B5-4D4C-BE36-D4F869CCC1C6}"/>
    <cellStyle name="Normal 4 2 2 5 2 5 2 2 4" xfId="16970" xr:uid="{1C88BD14-A44F-4A04-9CAA-AC7891EA8EB5}"/>
    <cellStyle name="Normal 4 2 2 5 2 5 2 3" xfId="21193" xr:uid="{281313A6-2403-4EB4-A70E-802611C3A4F9}"/>
    <cellStyle name="Normal 4 2 2 5 2 5 2 4" xfId="29640" xr:uid="{8ADF7CDD-3DB7-42F0-A725-197D471F0654}"/>
    <cellStyle name="Normal 4 2 2 5 2 5 2 5" xfId="12752" xr:uid="{50BC52E5-946E-4F70-90E6-799B13F5D0E3}"/>
    <cellStyle name="Normal 4 2 2 5 2 5 3" xfId="6383" xr:uid="{00000000-0005-0000-0000-0000F3120000}"/>
    <cellStyle name="Normal 4 2 2 5 2 5 3 2" xfId="23266" xr:uid="{EBAD4E31-9B27-41C0-B39E-17E4B45C5B3B}"/>
    <cellStyle name="Normal 4 2 2 5 2 5 3 3" xfId="31712" xr:uid="{64CE36F7-9C18-409E-BEAC-C0C6899B9807}"/>
    <cellStyle name="Normal 4 2 2 5 2 5 3 4" xfId="14825" xr:uid="{DF371685-2F8C-4D8F-87F8-CB3CE6266DFD}"/>
    <cellStyle name="Normal 4 2 2 5 2 5 4" xfId="19048" xr:uid="{D8F9C8EB-67DF-43FB-81A1-603593675720}"/>
    <cellStyle name="Normal 4 2 2 5 2 5 5" xfId="27493" xr:uid="{3DCF769D-6ED5-42B5-A1CF-F478C9AA6C5A}"/>
    <cellStyle name="Normal 4 2 2 5 2 5 6" xfId="10607" xr:uid="{F91B365A-5850-4322-9AEC-324FCDBEFC51}"/>
    <cellStyle name="Normal 4 2 2 5 2 6" xfId="2512" xr:uid="{00000000-0005-0000-0000-0000F4120000}"/>
    <cellStyle name="Normal 4 2 2 5 2 6 2" xfId="6796" xr:uid="{00000000-0005-0000-0000-0000F5120000}"/>
    <cellStyle name="Normal 4 2 2 5 2 6 2 2" xfId="23679" xr:uid="{5049A373-7812-449E-9C88-8F1C3125BE3A}"/>
    <cellStyle name="Normal 4 2 2 5 2 6 2 3" xfId="32125" xr:uid="{0104D697-2264-4181-9527-A6478A36CFEF}"/>
    <cellStyle name="Normal 4 2 2 5 2 6 2 4" xfId="15238" xr:uid="{4E54A734-F04E-45A2-8B42-4F7B8A7F80D0}"/>
    <cellStyle name="Normal 4 2 2 5 2 6 3" xfId="19461" xr:uid="{1DDB4158-784D-41ED-BE97-C6CB6D8426FC}"/>
    <cellStyle name="Normal 4 2 2 5 2 6 4" xfId="27906" xr:uid="{2D6A9B0B-F736-4D20-ABB6-22DC50D83093}"/>
    <cellStyle name="Normal 4 2 2 5 2 6 5" xfId="11020" xr:uid="{E0901C65-6F6B-49B0-A459-B2F4ECDA6180}"/>
    <cellStyle name="Normal 4 2 2 5 2 7" xfId="4731" xr:uid="{00000000-0005-0000-0000-0000F6120000}"/>
    <cellStyle name="Normal 4 2 2 5 2 7 2" xfId="21614" xr:uid="{14FB7CA6-A169-4262-BBA0-D30B197631E1}"/>
    <cellStyle name="Normal 4 2 2 5 2 7 3" xfId="30060" xr:uid="{1B741CCB-4B46-4ADF-A558-DC1501DBF6EE}"/>
    <cellStyle name="Normal 4 2 2 5 2 7 4" xfId="13173" xr:uid="{B40CFA57-76B4-43A7-803C-26EA036FC2A5}"/>
    <cellStyle name="Normal 4 2 2 5 2 8" xfId="17396" xr:uid="{1D94684A-7071-49D4-9CF5-35B4D9F7D902}"/>
    <cellStyle name="Normal 4 2 2 5 2 9" xfId="25840" xr:uid="{96985108-604C-4168-8558-9844ACBE6E4B}"/>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24171" xr:uid="{2715A1B9-EF1A-480C-8664-F9E47B054D21}"/>
    <cellStyle name="Normal 4 2 2 5 3 2 2 3" xfId="32617" xr:uid="{70F4CDF1-7054-4148-9D74-14DCA36F608C}"/>
    <cellStyle name="Normal 4 2 2 5 3 2 2 4" xfId="15730" xr:uid="{A22C28DF-D908-4DC4-AF4D-3E043616D34E}"/>
    <cellStyle name="Normal 4 2 2 5 3 2 3" xfId="19953" xr:uid="{EFF3BF19-14DD-4835-B42A-B7B40A049CBD}"/>
    <cellStyle name="Normal 4 2 2 5 3 2 4" xfId="28400" xr:uid="{DBA122C7-86DE-47B2-970A-AE633D7BB3EB}"/>
    <cellStyle name="Normal 4 2 2 5 3 2 5" xfId="11512" xr:uid="{AD008AC8-EEDD-4165-94DD-266EFE1E0F62}"/>
    <cellStyle name="Normal 4 2 2 5 3 3" xfId="5143" xr:uid="{00000000-0005-0000-0000-0000FA120000}"/>
    <cellStyle name="Normal 4 2 2 5 3 3 2" xfId="22026" xr:uid="{97E7C78D-1554-45D1-ABBD-B42601B3F341}"/>
    <cellStyle name="Normal 4 2 2 5 3 3 3" xfId="30472" xr:uid="{3AEEFF7E-CC70-40AD-A4B6-4047EB2B185B}"/>
    <cellStyle name="Normal 4 2 2 5 3 3 4" xfId="13585" xr:uid="{B1E43DD5-ED25-4FFC-BFA1-DEB61C32E574}"/>
    <cellStyle name="Normal 4 2 2 5 3 4" xfId="17808" xr:uid="{22A52134-44B9-442A-8E32-EA0776AAAA01}"/>
    <cellStyle name="Normal 4 2 2 5 3 5" xfId="26253" xr:uid="{0E3D830C-1CC5-40B3-9B3B-32CC9B4A7A5A}"/>
    <cellStyle name="Normal 4 2 2 5 3 6" xfId="9367" xr:uid="{75A23B39-5BF8-4503-ACD9-424A603940CF}"/>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24584" xr:uid="{CA6067B9-B817-4A11-BCCD-514FB2CC65AF}"/>
    <cellStyle name="Normal 4 2 2 5 4 2 2 3" xfId="33030" xr:uid="{F46E9C29-CCDB-4EB1-8F4B-A9251AD6ED6C}"/>
    <cellStyle name="Normal 4 2 2 5 4 2 2 4" xfId="16143" xr:uid="{DE6E3181-D9B1-4396-BF66-2826317DE212}"/>
    <cellStyle name="Normal 4 2 2 5 4 2 3" xfId="20366" xr:uid="{D4DAB7DB-475F-4DC0-8CAE-4B0775B53130}"/>
    <cellStyle name="Normal 4 2 2 5 4 2 4" xfId="28813" xr:uid="{84A37972-852B-45A0-9833-BE75B741CACB}"/>
    <cellStyle name="Normal 4 2 2 5 4 2 5" xfId="11925" xr:uid="{83A3D397-FCB2-417E-969C-EF511840554E}"/>
    <cellStyle name="Normal 4 2 2 5 4 3" xfId="5556" xr:uid="{00000000-0005-0000-0000-0000FE120000}"/>
    <cellStyle name="Normal 4 2 2 5 4 3 2" xfId="22439" xr:uid="{1973019A-B9F1-46D8-85C2-39FAE897B695}"/>
    <cellStyle name="Normal 4 2 2 5 4 3 3" xfId="30885" xr:uid="{36565A68-D2B3-4882-942E-4AC8F0AE799C}"/>
    <cellStyle name="Normal 4 2 2 5 4 3 4" xfId="13998" xr:uid="{DE5DD1E7-92C4-4E76-AD31-3A336860F0DD}"/>
    <cellStyle name="Normal 4 2 2 5 4 4" xfId="18221" xr:uid="{7A25CE58-DD25-4A09-B382-F10D82B84A31}"/>
    <cellStyle name="Normal 4 2 2 5 4 5" xfId="26666" xr:uid="{AA3F72D0-EE47-45E2-BA30-299EC10B6EDC}"/>
    <cellStyle name="Normal 4 2 2 5 4 6" xfId="9780" xr:uid="{97DF3232-AC85-476E-B061-E431D8D234DC}"/>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24997" xr:uid="{4550492A-8D30-46EA-8157-4801A31CF272}"/>
    <cellStyle name="Normal 4 2 2 5 5 2 2 3" xfId="33443" xr:uid="{2D769045-337A-43E8-8C64-3467F6EBA44A}"/>
    <cellStyle name="Normal 4 2 2 5 5 2 2 4" xfId="16556" xr:uid="{FDD57051-7C9F-417C-8EEF-455CD8AEAAA5}"/>
    <cellStyle name="Normal 4 2 2 5 5 2 3" xfId="20779" xr:uid="{6C5539FA-615B-406E-8C1F-AED9D303F19B}"/>
    <cellStyle name="Normal 4 2 2 5 5 2 4" xfId="29226" xr:uid="{E63E96C2-7CF8-41AA-A84A-7AED54C03FB8}"/>
    <cellStyle name="Normal 4 2 2 5 5 2 5" xfId="12338" xr:uid="{3C2291B7-01CE-4FC9-B426-212D9625371D}"/>
    <cellStyle name="Normal 4 2 2 5 5 3" xfId="5969" xr:uid="{00000000-0005-0000-0000-000002130000}"/>
    <cellStyle name="Normal 4 2 2 5 5 3 2" xfId="22852" xr:uid="{94E56BD5-22A3-45D7-9597-2518E4EDE17F}"/>
    <cellStyle name="Normal 4 2 2 5 5 3 3" xfId="31298" xr:uid="{A6273E62-2AAB-45A2-AE7C-2309357F7F2D}"/>
    <cellStyle name="Normal 4 2 2 5 5 3 4" xfId="14411" xr:uid="{3FD43450-F697-487E-AB42-84DB6FA61FE1}"/>
    <cellStyle name="Normal 4 2 2 5 5 4" xfId="18634" xr:uid="{2DF20E63-1486-4CF9-9F25-78C514AB3786}"/>
    <cellStyle name="Normal 4 2 2 5 5 5" xfId="27079" xr:uid="{019E402B-0A93-42AD-8F83-97EE9B2A8053}"/>
    <cellStyle name="Normal 4 2 2 5 5 6" xfId="10193" xr:uid="{34C7719A-A7E1-49B0-9C4E-C2441D319F1F}"/>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25410" xr:uid="{04AAD597-9C33-41D0-BAD5-8DC94DF2FB5C}"/>
    <cellStyle name="Normal 4 2 2 5 6 2 2 3" xfId="33856" xr:uid="{2C2CF858-655D-4AD2-8B25-03691631C43C}"/>
    <cellStyle name="Normal 4 2 2 5 6 2 2 4" xfId="16969" xr:uid="{3B3EB762-847E-4CD6-8AD9-8F3CDC5ACC83}"/>
    <cellStyle name="Normal 4 2 2 5 6 2 3" xfId="21192" xr:uid="{6CA5F91D-8FA1-4092-880F-47DB3A075970}"/>
    <cellStyle name="Normal 4 2 2 5 6 2 4" xfId="29639" xr:uid="{C0C6B9FF-A299-4998-AFF5-C623C99393BC}"/>
    <cellStyle name="Normal 4 2 2 5 6 2 5" xfId="12751" xr:uid="{354F91BD-7AEE-43DB-B88D-FD83B8D619AC}"/>
    <cellStyle name="Normal 4 2 2 5 6 3" xfId="6382" xr:uid="{00000000-0005-0000-0000-000006130000}"/>
    <cellStyle name="Normal 4 2 2 5 6 3 2" xfId="23265" xr:uid="{A6D431DA-E776-4B4B-9ACF-4B210A279BB4}"/>
    <cellStyle name="Normal 4 2 2 5 6 3 3" xfId="31711" xr:uid="{A43797D2-24CC-446F-94AF-0199060FC6F8}"/>
    <cellStyle name="Normal 4 2 2 5 6 3 4" xfId="14824" xr:uid="{D5C8CE59-CF18-482C-A061-CABB2177E79F}"/>
    <cellStyle name="Normal 4 2 2 5 6 4" xfId="19047" xr:uid="{4DE0133A-EE75-4D6D-A7C4-4C62E10A2910}"/>
    <cellStyle name="Normal 4 2 2 5 6 5" xfId="27492" xr:uid="{F13AABAF-BBBE-4668-878F-70CDD66EAF64}"/>
    <cellStyle name="Normal 4 2 2 5 6 6" xfId="10606" xr:uid="{2BF778C3-AC73-4A65-8A93-92C9E6CEEAFA}"/>
    <cellStyle name="Normal 4 2 2 5 7" xfId="2511" xr:uid="{00000000-0005-0000-0000-000007130000}"/>
    <cellStyle name="Normal 4 2 2 5 7 2" xfId="6795" xr:uid="{00000000-0005-0000-0000-000008130000}"/>
    <cellStyle name="Normal 4 2 2 5 7 2 2" xfId="23678" xr:uid="{DF5A2FBF-4969-49F9-B5D7-EAFBCC3EF38A}"/>
    <cellStyle name="Normal 4 2 2 5 7 2 3" xfId="32124" xr:uid="{C39E9153-483B-405B-B8C8-E412A833D10B}"/>
    <cellStyle name="Normal 4 2 2 5 7 2 4" xfId="15237" xr:uid="{B7534D71-7B53-4C24-998C-EEF41860FC4C}"/>
    <cellStyle name="Normal 4 2 2 5 7 3" xfId="19460" xr:uid="{CD981154-9294-4FA6-8101-17D7030031AD}"/>
    <cellStyle name="Normal 4 2 2 5 7 4" xfId="27905" xr:uid="{DDA4E588-6EC1-45ED-8967-884BA7CD14BA}"/>
    <cellStyle name="Normal 4 2 2 5 7 5" xfId="11019" xr:uid="{6FC73437-7A23-47F2-BAE0-F57A9B7EF126}"/>
    <cellStyle name="Normal 4 2 2 5 8" xfId="4730" xr:uid="{00000000-0005-0000-0000-000009130000}"/>
    <cellStyle name="Normal 4 2 2 5 8 2" xfId="21613" xr:uid="{569D7F3E-3B08-475D-809E-DAF6902ECA48}"/>
    <cellStyle name="Normal 4 2 2 5 8 3" xfId="30059" xr:uid="{1C677FE0-BA5D-4E2E-AFBE-5134CBFA8212}"/>
    <cellStyle name="Normal 4 2 2 5 8 4" xfId="13172" xr:uid="{844FB819-79F8-41BE-89B3-0AD460DDBC71}"/>
    <cellStyle name="Normal 4 2 2 5 9" xfId="17395" xr:uid="{FB38C7BF-976B-4B47-8950-5D863D17C6CB}"/>
    <cellStyle name="Normal 4 2 2 6" xfId="353" xr:uid="{00000000-0005-0000-0000-00000A130000}"/>
    <cellStyle name="Normal 4 2 2 6 10" xfId="8956" xr:uid="{C576E745-1C20-43B9-8C93-CF11F72C7635}"/>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24173" xr:uid="{C7A35D9C-EAA3-42AF-8589-DFC080C4E2E9}"/>
    <cellStyle name="Normal 4 2 2 6 2 2 2 3" xfId="32619" xr:uid="{AC131BE8-E445-44D5-8F82-852ACF756276}"/>
    <cellStyle name="Normal 4 2 2 6 2 2 2 4" xfId="15732" xr:uid="{4626E9FB-5CBC-4068-8B80-15E6F4090C76}"/>
    <cellStyle name="Normal 4 2 2 6 2 2 3" xfId="19955" xr:uid="{36D950F4-D413-4E2E-AF9A-BA1995B09863}"/>
    <cellStyle name="Normal 4 2 2 6 2 2 4" xfId="28402" xr:uid="{26F80234-8FF9-4330-844C-41AAD6414F2A}"/>
    <cellStyle name="Normal 4 2 2 6 2 2 5" xfId="11514" xr:uid="{F8F92D46-4519-47C0-B9BF-1AC98BD98958}"/>
    <cellStyle name="Normal 4 2 2 6 2 3" xfId="5145" xr:uid="{00000000-0005-0000-0000-00000E130000}"/>
    <cellStyle name="Normal 4 2 2 6 2 3 2" xfId="22028" xr:uid="{310F8CB4-D39A-4D97-8287-089FAB620B36}"/>
    <cellStyle name="Normal 4 2 2 6 2 3 3" xfId="30474" xr:uid="{6771B918-CA6C-4F8E-917B-856A585F85B4}"/>
    <cellStyle name="Normal 4 2 2 6 2 3 4" xfId="13587" xr:uid="{470C9766-5135-4102-B944-3557047E339F}"/>
    <cellStyle name="Normal 4 2 2 6 2 4" xfId="17810" xr:uid="{2E203A42-0471-450C-B805-DD11D38BEED8}"/>
    <cellStyle name="Normal 4 2 2 6 2 5" xfId="26255" xr:uid="{AE99456E-EE17-428C-BBD5-438F6F69BE7A}"/>
    <cellStyle name="Normal 4 2 2 6 2 6" xfId="9369" xr:uid="{067E9DF9-5AD3-4439-9696-0F3406B6956F}"/>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24586" xr:uid="{B8FF5B0A-5D9F-48B3-87C3-EB7C6C03B417}"/>
    <cellStyle name="Normal 4 2 2 6 3 2 2 3" xfId="33032" xr:uid="{F87DAA50-80FA-411F-BF3D-9FD0BE8E0864}"/>
    <cellStyle name="Normal 4 2 2 6 3 2 2 4" xfId="16145" xr:uid="{1D4101BD-F88B-4EDF-B180-D817B4D746F9}"/>
    <cellStyle name="Normal 4 2 2 6 3 2 3" xfId="20368" xr:uid="{069AEAAF-903E-4A54-BE98-C2B017C00799}"/>
    <cellStyle name="Normal 4 2 2 6 3 2 4" xfId="28815" xr:uid="{B7EBA239-3547-4CE4-A4E6-C37AEF96CB5C}"/>
    <cellStyle name="Normal 4 2 2 6 3 2 5" xfId="11927" xr:uid="{9C1447AA-38DB-4E42-A298-EA1A8730AAD1}"/>
    <cellStyle name="Normal 4 2 2 6 3 3" xfId="5558" xr:uid="{00000000-0005-0000-0000-000012130000}"/>
    <cellStyle name="Normal 4 2 2 6 3 3 2" xfId="22441" xr:uid="{8E9A4738-57D1-4289-9DFD-91DF5C6391B0}"/>
    <cellStyle name="Normal 4 2 2 6 3 3 3" xfId="30887" xr:uid="{232B7785-F138-4AFB-ADE6-572DF8F524B6}"/>
    <cellStyle name="Normal 4 2 2 6 3 3 4" xfId="14000" xr:uid="{80B853C2-F8EE-41A2-8FCF-5F7373C744EA}"/>
    <cellStyle name="Normal 4 2 2 6 3 4" xfId="18223" xr:uid="{822B4DCB-31E5-4353-B2F7-8394D2C5017E}"/>
    <cellStyle name="Normal 4 2 2 6 3 5" xfId="26668" xr:uid="{E9B902EC-48EF-4632-8724-66C2EE86FEA0}"/>
    <cellStyle name="Normal 4 2 2 6 3 6" xfId="9782" xr:uid="{5397C9FC-D44E-4C4C-A7C6-9DC81BFE640C}"/>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24999" xr:uid="{ED90EDD4-B8D2-4776-BAE8-F08D11BE4C8C}"/>
    <cellStyle name="Normal 4 2 2 6 4 2 2 3" xfId="33445" xr:uid="{3A6F496A-6A5F-4B8D-B8BC-5253AA158D83}"/>
    <cellStyle name="Normal 4 2 2 6 4 2 2 4" xfId="16558" xr:uid="{BA6B5E21-6826-485E-A1A5-A9E70C332C56}"/>
    <cellStyle name="Normal 4 2 2 6 4 2 3" xfId="20781" xr:uid="{085A3A01-09DA-46ED-9DA0-035C5DA0422C}"/>
    <cellStyle name="Normal 4 2 2 6 4 2 4" xfId="29228" xr:uid="{3485E9D1-63D1-467A-8873-C05DE99216C6}"/>
    <cellStyle name="Normal 4 2 2 6 4 2 5" xfId="12340" xr:uid="{789186D6-1CE6-4840-852B-877994855A4F}"/>
    <cellStyle name="Normal 4 2 2 6 4 3" xfId="5971" xr:uid="{00000000-0005-0000-0000-000016130000}"/>
    <cellStyle name="Normal 4 2 2 6 4 3 2" xfId="22854" xr:uid="{6C648F1B-D5A9-4A45-906F-D7198FDBF219}"/>
    <cellStyle name="Normal 4 2 2 6 4 3 3" xfId="31300" xr:uid="{1385FA8B-216B-437A-8131-7602E478F505}"/>
    <cellStyle name="Normal 4 2 2 6 4 3 4" xfId="14413" xr:uid="{73339A96-36F5-466C-81F9-6735A10E4B16}"/>
    <cellStyle name="Normal 4 2 2 6 4 4" xfId="18636" xr:uid="{61E60412-9BA8-4753-9BC1-418AA2367642}"/>
    <cellStyle name="Normal 4 2 2 6 4 5" xfId="27081" xr:uid="{57A68A16-57AC-4D42-B4EB-35B04AA9FABA}"/>
    <cellStyle name="Normal 4 2 2 6 4 6" xfId="10195" xr:uid="{66125167-CA42-4E8E-BD9D-8A315F7025CC}"/>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25412" xr:uid="{DDB3D6F2-BD60-43B1-B4E4-E4BFB12A4A25}"/>
    <cellStyle name="Normal 4 2 2 6 5 2 2 3" xfId="33858" xr:uid="{AE10C4B1-C64D-4F9C-86DF-E5AFDD7FB698}"/>
    <cellStyle name="Normal 4 2 2 6 5 2 2 4" xfId="16971" xr:uid="{DA889E8E-31C9-44A6-9A7D-1127EBF6C13E}"/>
    <cellStyle name="Normal 4 2 2 6 5 2 3" xfId="21194" xr:uid="{E66BD495-E7C9-42C9-90C3-96CC7F7F07D4}"/>
    <cellStyle name="Normal 4 2 2 6 5 2 4" xfId="29641" xr:uid="{18CDC829-06CA-4B59-B8A8-3A9D310E9612}"/>
    <cellStyle name="Normal 4 2 2 6 5 2 5" xfId="12753" xr:uid="{07EDE164-CD9C-4867-B049-6AEFAED1C9A3}"/>
    <cellStyle name="Normal 4 2 2 6 5 3" xfId="6384" xr:uid="{00000000-0005-0000-0000-00001A130000}"/>
    <cellStyle name="Normal 4 2 2 6 5 3 2" xfId="23267" xr:uid="{10EB9917-8BA4-46EF-841A-C447DCB86A47}"/>
    <cellStyle name="Normal 4 2 2 6 5 3 3" xfId="31713" xr:uid="{3E9AE306-810A-4E5C-B002-CAA94409F5BA}"/>
    <cellStyle name="Normal 4 2 2 6 5 3 4" xfId="14826" xr:uid="{17934C1A-BDBA-4144-9A33-BADD43823CC2}"/>
    <cellStyle name="Normal 4 2 2 6 5 4" xfId="19049" xr:uid="{B8649207-2288-40BF-9B63-52F246B81801}"/>
    <cellStyle name="Normal 4 2 2 6 5 5" xfId="27494" xr:uid="{D61FC6B5-4B90-45E5-B1CB-E4951C1B3AD7}"/>
    <cellStyle name="Normal 4 2 2 6 5 6" xfId="10608" xr:uid="{C8D444DC-0D5B-471C-8523-995AF0563E64}"/>
    <cellStyle name="Normal 4 2 2 6 6" xfId="2513" xr:uid="{00000000-0005-0000-0000-00001B130000}"/>
    <cellStyle name="Normal 4 2 2 6 6 2" xfId="6797" xr:uid="{00000000-0005-0000-0000-00001C130000}"/>
    <cellStyle name="Normal 4 2 2 6 6 2 2" xfId="23680" xr:uid="{0FF41900-6819-4D03-83A6-FF1FFFE19CFC}"/>
    <cellStyle name="Normal 4 2 2 6 6 2 3" xfId="32126" xr:uid="{50DA04C3-3A99-4828-BA62-0E5C8B5B3C8F}"/>
    <cellStyle name="Normal 4 2 2 6 6 2 4" xfId="15239" xr:uid="{C2A630ED-7C18-4C25-9CCE-6A056AB1689A}"/>
    <cellStyle name="Normal 4 2 2 6 6 3" xfId="19462" xr:uid="{E3F1E21D-7B44-466B-9912-B714C277165E}"/>
    <cellStyle name="Normal 4 2 2 6 6 4" xfId="27907" xr:uid="{FD498964-3F7B-40B5-B461-2F186F9E4AA7}"/>
    <cellStyle name="Normal 4 2 2 6 6 5" xfId="11021" xr:uid="{0D307D3F-C306-46E5-91AD-E965C6B3E21C}"/>
    <cellStyle name="Normal 4 2 2 6 7" xfId="4732" xr:uid="{00000000-0005-0000-0000-00001D130000}"/>
    <cellStyle name="Normal 4 2 2 6 7 2" xfId="21615" xr:uid="{BEE4E321-D8AE-4F01-870B-CCAB79044762}"/>
    <cellStyle name="Normal 4 2 2 6 7 3" xfId="30061" xr:uid="{F912C461-9B33-4A0A-A155-36338EE3A11C}"/>
    <cellStyle name="Normal 4 2 2 6 7 4" xfId="13174" xr:uid="{51A1CAB2-0D30-4AB5-8CB2-DDD2CA205EA3}"/>
    <cellStyle name="Normal 4 2 2 6 8" xfId="17397" xr:uid="{32C8D965-6B10-4AEA-9224-A7AB7643EEFB}"/>
    <cellStyle name="Normal 4 2 2 6 9" xfId="25841" xr:uid="{948FA6AE-BF97-41FD-A785-758CBED3B1AD}"/>
    <cellStyle name="Normal 4 2 2 7" xfId="815" xr:uid="{00000000-0005-0000-0000-00001E130000}"/>
    <cellStyle name="Normal 4 2 2 7 2" xfId="3052" xr:uid="{00000000-0005-0000-0000-00001F130000}"/>
    <cellStyle name="Normal 4 2 2 7 2 2" xfId="7275" xr:uid="{00000000-0005-0000-0000-000020130000}"/>
    <cellStyle name="Normal 4 2 2 7 2 2 2" xfId="24158" xr:uid="{62407846-C232-43C4-814E-38CCF7D880F7}"/>
    <cellStyle name="Normal 4 2 2 7 2 2 3" xfId="32604" xr:uid="{EFE68946-A9DC-4E1D-8379-E42DFCA8E2E0}"/>
    <cellStyle name="Normal 4 2 2 7 2 2 4" xfId="15717" xr:uid="{10175006-CAAC-4625-B07D-0EEC9EF0564B}"/>
    <cellStyle name="Normal 4 2 2 7 2 3" xfId="19940" xr:uid="{001C4250-2182-4CF7-AEB3-BAE052436A48}"/>
    <cellStyle name="Normal 4 2 2 7 2 4" xfId="28387" xr:uid="{1829EFB9-8E1B-4F82-BF3A-5CB3A6F101C9}"/>
    <cellStyle name="Normal 4 2 2 7 2 5" xfId="11499" xr:uid="{F9A899E8-939B-42D6-B972-1450AEA77B44}"/>
    <cellStyle name="Normal 4 2 2 7 3" xfId="5130" xr:uid="{00000000-0005-0000-0000-000021130000}"/>
    <cellStyle name="Normal 4 2 2 7 3 2" xfId="22013" xr:uid="{B6B102EA-E539-41B0-918D-D2DECED97580}"/>
    <cellStyle name="Normal 4 2 2 7 3 3" xfId="30459" xr:uid="{EDAEFF54-5780-4558-897F-A7B1B91AEA2A}"/>
    <cellStyle name="Normal 4 2 2 7 3 4" xfId="13572" xr:uid="{D69EF033-525C-439A-B88F-27248F680F24}"/>
    <cellStyle name="Normal 4 2 2 7 4" xfId="17795" xr:uid="{8BA8174D-3690-436A-B44E-32CDAC2669BE}"/>
    <cellStyle name="Normal 4 2 2 7 5" xfId="26240" xr:uid="{911F0389-AA3C-4CB9-830B-F264A3F891A7}"/>
    <cellStyle name="Normal 4 2 2 7 6" xfId="9354" xr:uid="{434FF513-6743-460F-8227-67A75A789C28}"/>
    <cellStyle name="Normal 4 2 2 8" xfId="1235" xr:uid="{00000000-0005-0000-0000-000022130000}"/>
    <cellStyle name="Normal 4 2 2 8 2" xfId="3465" xr:uid="{00000000-0005-0000-0000-000023130000}"/>
    <cellStyle name="Normal 4 2 2 8 2 2" xfId="7688" xr:uid="{00000000-0005-0000-0000-000024130000}"/>
    <cellStyle name="Normal 4 2 2 8 2 2 2" xfId="24571" xr:uid="{8C0DFF2E-0BB0-41CF-BEC9-2EA199A56EE9}"/>
    <cellStyle name="Normal 4 2 2 8 2 2 3" xfId="33017" xr:uid="{AE22045E-1CB0-4FFE-ABD1-DEEE84ED23A0}"/>
    <cellStyle name="Normal 4 2 2 8 2 2 4" xfId="16130" xr:uid="{1CDAB645-E976-48A8-A1ED-96096A73CDCF}"/>
    <cellStyle name="Normal 4 2 2 8 2 3" xfId="20353" xr:uid="{F3CFE8CC-438F-4D55-BD8F-186FC15343F3}"/>
    <cellStyle name="Normal 4 2 2 8 2 4" xfId="28800" xr:uid="{A4DB4518-1752-4885-9C1C-F60EC5E07950}"/>
    <cellStyle name="Normal 4 2 2 8 2 5" xfId="11912" xr:uid="{25F9643C-98C8-402D-BD1F-2D0B7B678C53}"/>
    <cellStyle name="Normal 4 2 2 8 3" xfId="5543" xr:uid="{00000000-0005-0000-0000-000025130000}"/>
    <cellStyle name="Normal 4 2 2 8 3 2" xfId="22426" xr:uid="{C553BEA4-9DF3-4E2F-A6E4-8E4180A97EB4}"/>
    <cellStyle name="Normal 4 2 2 8 3 3" xfId="30872" xr:uid="{983FCD53-BAF2-41FE-A883-2376AF58F840}"/>
    <cellStyle name="Normal 4 2 2 8 3 4" xfId="13985" xr:uid="{9A1C6136-8B9C-4488-8926-3C32282DB00F}"/>
    <cellStyle name="Normal 4 2 2 8 4" xfId="18208" xr:uid="{715EB068-EC0E-44CF-9674-930627C0309F}"/>
    <cellStyle name="Normal 4 2 2 8 5" xfId="26653" xr:uid="{21E66286-E6C2-49F9-9F15-CD8F0F480244}"/>
    <cellStyle name="Normal 4 2 2 8 6" xfId="9767" xr:uid="{BE768016-B552-4D20-8392-638FC2EE1D1D}"/>
    <cellStyle name="Normal 4 2 2 9" xfId="1648" xr:uid="{00000000-0005-0000-0000-000026130000}"/>
    <cellStyle name="Normal 4 2 2 9 2" xfId="3878" xr:uid="{00000000-0005-0000-0000-000027130000}"/>
    <cellStyle name="Normal 4 2 2 9 2 2" xfId="8101" xr:uid="{00000000-0005-0000-0000-000028130000}"/>
    <cellStyle name="Normal 4 2 2 9 2 2 2" xfId="24984" xr:uid="{23DAAE53-50B9-4FFD-9F76-1162FFDC49E1}"/>
    <cellStyle name="Normal 4 2 2 9 2 2 3" xfId="33430" xr:uid="{E611BB01-AF5B-4650-AA07-503C3C94215B}"/>
    <cellStyle name="Normal 4 2 2 9 2 2 4" xfId="16543" xr:uid="{CCA18559-ABDA-4E20-9EAA-C165748F632E}"/>
    <cellStyle name="Normal 4 2 2 9 2 3" xfId="20766" xr:uid="{64F5DFD1-23D3-48BE-800F-26834CF8F5DC}"/>
    <cellStyle name="Normal 4 2 2 9 2 4" xfId="29213" xr:uid="{12AA125D-8D16-404D-91CD-1A7D9449C23F}"/>
    <cellStyle name="Normal 4 2 2 9 2 5" xfId="12325" xr:uid="{457527A8-A377-4CE7-88FF-D8DF80033DFB}"/>
    <cellStyle name="Normal 4 2 2 9 3" xfId="5956" xr:uid="{00000000-0005-0000-0000-000029130000}"/>
    <cellStyle name="Normal 4 2 2 9 3 2" xfId="22839" xr:uid="{B14FC307-3735-4EE0-91DD-6B90DB7C09FD}"/>
    <cellStyle name="Normal 4 2 2 9 3 3" xfId="31285" xr:uid="{5CC3C9BE-5CFC-404D-AF6C-0122AC1E0C1C}"/>
    <cellStyle name="Normal 4 2 2 9 3 4" xfId="14398" xr:uid="{616B2643-D30A-4916-B57A-3D6F52B68741}"/>
    <cellStyle name="Normal 4 2 2 9 4" xfId="18621" xr:uid="{D6C659F4-B84C-46B9-8123-495AB6B4CC5C}"/>
    <cellStyle name="Normal 4 2 2 9 5" xfId="27066" xr:uid="{5B4C3041-7C00-499D-9872-C6275FDDE2ED}"/>
    <cellStyle name="Normal 4 2 2 9 6" xfId="10180" xr:uid="{BCD2F954-E7A7-4A4F-86E0-BF12EBD58BD3}"/>
    <cellStyle name="Normal 4 2 3" xfId="354" xr:uid="{00000000-0005-0000-0000-00002A130000}"/>
    <cellStyle name="Normal 4 2 3 2" xfId="34091" xr:uid="{1F64D490-F3BF-4B35-9D0F-141F02758CF1}"/>
    <cellStyle name="Normal 4 2 3 3" xfId="34156" xr:uid="{339D2D11-F022-4A38-87E8-6146236847D2}"/>
    <cellStyle name="Normal 4 2 3 4" xfId="34141" xr:uid="{5A688012-B712-467E-BEA0-92AE246BCBFB}"/>
    <cellStyle name="Normal 4 2 3_Dropdowns" xfId="34148" xr:uid="{446B5DBB-A8AC-403F-BB9F-69B94825803E}"/>
    <cellStyle name="Normal 4 2 4" xfId="355" xr:uid="{00000000-0005-0000-0000-00002B130000}"/>
    <cellStyle name="Normal 4 2 4 10" xfId="4733" xr:uid="{00000000-0005-0000-0000-00002C130000}"/>
    <cellStyle name="Normal 4 2 4 10 2" xfId="21616" xr:uid="{F54EE083-5C93-4369-B4E2-5050AA016BFA}"/>
    <cellStyle name="Normal 4 2 4 10 3" xfId="30062" xr:uid="{014E598D-77CB-4CE2-9B13-41B96E1A45D5}"/>
    <cellStyle name="Normal 4 2 4 10 4" xfId="13175" xr:uid="{5E0E58DA-C571-42AF-84DF-D584C0EE595E}"/>
    <cellStyle name="Normal 4 2 4 11" xfId="17398" xr:uid="{2C017295-94AD-4B7D-AC1E-DBC29CBD9778}"/>
    <cellStyle name="Normal 4 2 4 12" xfId="25842" xr:uid="{B0B90A4A-ED3C-4BDA-83EF-05C43DA9D850}"/>
    <cellStyle name="Normal 4 2 4 13" xfId="34135" xr:uid="{969687D1-AB86-49CC-AA9D-A44BBF48069B}"/>
    <cellStyle name="Normal 4 2 4 14" xfId="8957" xr:uid="{908FECF6-338A-461A-AE92-F1459C3BD213}"/>
    <cellStyle name="Normal 4 2 4 2" xfId="356" xr:uid="{00000000-0005-0000-0000-00002D130000}"/>
    <cellStyle name="Normal 4 2 4 2 10" xfId="17399" xr:uid="{9B2B15F1-7EFB-4805-BFB3-F55124079197}"/>
    <cellStyle name="Normal 4 2 4 2 11" xfId="25843" xr:uid="{09FFF8B6-D9A7-4022-ACD2-5FB49CCD0730}"/>
    <cellStyle name="Normal 4 2 4 2 12" xfId="8958" xr:uid="{CAE3A874-A445-4716-B6CC-ED132B59AE3B}"/>
    <cellStyle name="Normal 4 2 4 2 2" xfId="357" xr:uid="{00000000-0005-0000-0000-00002E130000}"/>
    <cellStyle name="Normal 4 2 4 2 2 10" xfId="25844" xr:uid="{56F79684-D897-408B-A111-51F18486E392}"/>
    <cellStyle name="Normal 4 2 4 2 2 11" xfId="8959" xr:uid="{39723FAC-EB7A-4282-BB66-D72F96EB3FFC}"/>
    <cellStyle name="Normal 4 2 4 2 2 2" xfId="358" xr:uid="{00000000-0005-0000-0000-00002F130000}"/>
    <cellStyle name="Normal 4 2 4 2 2 2 10" xfId="8960" xr:uid="{3D9D3995-4D7B-4DD6-AFAE-59E02DCECDC7}"/>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24177" xr:uid="{B3F163D3-DA75-44D6-A469-6CB12EDE0666}"/>
    <cellStyle name="Normal 4 2 4 2 2 2 2 2 2 3" xfId="32623" xr:uid="{C38DA3CC-32DA-4658-AD03-483187C59AC5}"/>
    <cellStyle name="Normal 4 2 4 2 2 2 2 2 2 4" xfId="15736" xr:uid="{90172393-04C5-41EC-80C6-9F0D1DF6BB77}"/>
    <cellStyle name="Normal 4 2 4 2 2 2 2 2 3" xfId="19959" xr:uid="{20808183-CB35-4AC1-AA7D-4CD329BABC59}"/>
    <cellStyle name="Normal 4 2 4 2 2 2 2 2 4" xfId="28406" xr:uid="{B917FA30-F08B-4306-9CC6-D4D092292B74}"/>
    <cellStyle name="Normal 4 2 4 2 2 2 2 2 5" xfId="11518" xr:uid="{F1B2C84C-43A9-4B15-BDE7-90EB3BE0F061}"/>
    <cellStyle name="Normal 4 2 4 2 2 2 2 3" xfId="5149" xr:uid="{00000000-0005-0000-0000-000033130000}"/>
    <cellStyle name="Normal 4 2 4 2 2 2 2 3 2" xfId="22032" xr:uid="{1437E012-A507-482B-92D3-642532C186AB}"/>
    <cellStyle name="Normal 4 2 4 2 2 2 2 3 3" xfId="30478" xr:uid="{B109C793-C042-4345-AFA2-4BC36C34A521}"/>
    <cellStyle name="Normal 4 2 4 2 2 2 2 3 4" xfId="13591" xr:uid="{57E4512A-95BF-4F07-B49F-1A4495B8BDCF}"/>
    <cellStyle name="Normal 4 2 4 2 2 2 2 4" xfId="17814" xr:uid="{60F7129F-94EC-487A-8FC6-2531358CCF80}"/>
    <cellStyle name="Normal 4 2 4 2 2 2 2 5" xfId="26259" xr:uid="{D42761E9-85E5-4FE8-A128-F470257F3805}"/>
    <cellStyle name="Normal 4 2 4 2 2 2 2 6" xfId="9373" xr:uid="{E2003E85-7078-4C17-89D3-749447D60A33}"/>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24590" xr:uid="{72A0B8FB-2CCD-43B1-8F0C-9E997C98DB47}"/>
    <cellStyle name="Normal 4 2 4 2 2 2 3 2 2 3" xfId="33036" xr:uid="{4DBFDF3A-8B94-4F72-9AA0-33EEA1F4FF6A}"/>
    <cellStyle name="Normal 4 2 4 2 2 2 3 2 2 4" xfId="16149" xr:uid="{5603C1D2-5197-46F1-A093-C633CFDD581F}"/>
    <cellStyle name="Normal 4 2 4 2 2 2 3 2 3" xfId="20372" xr:uid="{75534FD4-DE4E-4411-AEF7-FE41ABEC2DE7}"/>
    <cellStyle name="Normal 4 2 4 2 2 2 3 2 4" xfId="28819" xr:uid="{0A070F88-C057-4652-BAAB-517A92324EC4}"/>
    <cellStyle name="Normal 4 2 4 2 2 2 3 2 5" xfId="11931" xr:uid="{16AFFFED-483A-4F96-A8A8-A44049C7B2CB}"/>
    <cellStyle name="Normal 4 2 4 2 2 2 3 3" xfId="5562" xr:uid="{00000000-0005-0000-0000-000037130000}"/>
    <cellStyle name="Normal 4 2 4 2 2 2 3 3 2" xfId="22445" xr:uid="{1F9E6613-C287-4E1F-883B-4B63AD59E01D}"/>
    <cellStyle name="Normal 4 2 4 2 2 2 3 3 3" xfId="30891" xr:uid="{D809C30F-979A-468F-9713-01B1CFA18897}"/>
    <cellStyle name="Normal 4 2 4 2 2 2 3 3 4" xfId="14004" xr:uid="{3DAA9A5A-C784-4E95-998F-56175CF5E151}"/>
    <cellStyle name="Normal 4 2 4 2 2 2 3 4" xfId="18227" xr:uid="{29934AE0-658A-4317-84BA-E9D7BB7E0977}"/>
    <cellStyle name="Normal 4 2 4 2 2 2 3 5" xfId="26672" xr:uid="{E9EA3A78-ACF6-4DE5-85FE-E0CB8365F83C}"/>
    <cellStyle name="Normal 4 2 4 2 2 2 3 6" xfId="9786" xr:uid="{996E4C5E-2E55-4057-8D29-A212A1F051FC}"/>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25003" xr:uid="{57E074E1-7C1D-4AC3-8FA6-29AF63751F11}"/>
    <cellStyle name="Normal 4 2 4 2 2 2 4 2 2 3" xfId="33449" xr:uid="{C9D27CB1-9986-4892-8D07-1C62A3397892}"/>
    <cellStyle name="Normal 4 2 4 2 2 2 4 2 2 4" xfId="16562" xr:uid="{533D4B17-2918-41CA-A14C-7B71B33F369C}"/>
    <cellStyle name="Normal 4 2 4 2 2 2 4 2 3" xfId="20785" xr:uid="{9B5C6F0C-4F4A-4C4A-92A1-DF9454396743}"/>
    <cellStyle name="Normal 4 2 4 2 2 2 4 2 4" xfId="29232" xr:uid="{725E4AE5-D646-4797-99B8-B719151B77B7}"/>
    <cellStyle name="Normal 4 2 4 2 2 2 4 2 5" xfId="12344" xr:uid="{FD66DD80-144F-4EF9-B5DF-0CF0637BC30C}"/>
    <cellStyle name="Normal 4 2 4 2 2 2 4 3" xfId="5975" xr:uid="{00000000-0005-0000-0000-00003B130000}"/>
    <cellStyle name="Normal 4 2 4 2 2 2 4 3 2" xfId="22858" xr:uid="{D72F0164-66A4-4BF0-B710-3E1B1103D80C}"/>
    <cellStyle name="Normal 4 2 4 2 2 2 4 3 3" xfId="31304" xr:uid="{A27FA483-A154-4504-8EBA-74FB4553066D}"/>
    <cellStyle name="Normal 4 2 4 2 2 2 4 3 4" xfId="14417" xr:uid="{26C7FB83-2C4E-43F5-AF42-5CFBF010E4F3}"/>
    <cellStyle name="Normal 4 2 4 2 2 2 4 4" xfId="18640" xr:uid="{9C6C2AEC-BE18-480F-9ECF-68D6A99E3761}"/>
    <cellStyle name="Normal 4 2 4 2 2 2 4 5" xfId="27085" xr:uid="{3CEC8380-4939-4980-AE6A-6266E115F4E3}"/>
    <cellStyle name="Normal 4 2 4 2 2 2 4 6" xfId="10199" xr:uid="{F98B715B-81E7-4B7F-B40E-929FC887207A}"/>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25416" xr:uid="{A275A9FD-1FE1-44DA-87F0-125AFFC885E1}"/>
    <cellStyle name="Normal 4 2 4 2 2 2 5 2 2 3" xfId="33862" xr:uid="{37BCB6CF-C227-4FB1-AA2D-9C268FFC7739}"/>
    <cellStyle name="Normal 4 2 4 2 2 2 5 2 2 4" xfId="16975" xr:uid="{2B2A680D-73EB-41B3-A09E-A3C6E7298BCB}"/>
    <cellStyle name="Normal 4 2 4 2 2 2 5 2 3" xfId="21198" xr:uid="{71A3698E-45D0-40BB-9F0A-E08BF851485A}"/>
    <cellStyle name="Normal 4 2 4 2 2 2 5 2 4" xfId="29645" xr:uid="{E6E135E2-5C93-4C64-B053-4602976441BF}"/>
    <cellStyle name="Normal 4 2 4 2 2 2 5 2 5" xfId="12757" xr:uid="{4540BB63-359C-45E1-BCD0-20D3C6BEB48C}"/>
    <cellStyle name="Normal 4 2 4 2 2 2 5 3" xfId="6388" xr:uid="{00000000-0005-0000-0000-00003F130000}"/>
    <cellStyle name="Normal 4 2 4 2 2 2 5 3 2" xfId="23271" xr:uid="{F9AF3CCE-3350-4EEA-A0D7-D2C66DBCF0D9}"/>
    <cellStyle name="Normal 4 2 4 2 2 2 5 3 3" xfId="31717" xr:uid="{C9BDD847-0B52-4309-9A01-5C8CE8207BA3}"/>
    <cellStyle name="Normal 4 2 4 2 2 2 5 3 4" xfId="14830" xr:uid="{36E30C38-E29C-4681-AFE3-C8403EE246BB}"/>
    <cellStyle name="Normal 4 2 4 2 2 2 5 4" xfId="19053" xr:uid="{27FFAD97-B447-4859-8F1F-3E894832D23A}"/>
    <cellStyle name="Normal 4 2 4 2 2 2 5 5" xfId="27498" xr:uid="{DC83D179-1D33-4BEE-9966-D323E7A23D0E}"/>
    <cellStyle name="Normal 4 2 4 2 2 2 5 6" xfId="10612" xr:uid="{F2DA23DB-85E6-424D-B2D3-AF82BE265C5C}"/>
    <cellStyle name="Normal 4 2 4 2 2 2 6" xfId="2517" xr:uid="{00000000-0005-0000-0000-000040130000}"/>
    <cellStyle name="Normal 4 2 4 2 2 2 6 2" xfId="6801" xr:uid="{00000000-0005-0000-0000-000041130000}"/>
    <cellStyle name="Normal 4 2 4 2 2 2 6 2 2" xfId="23684" xr:uid="{B03C5958-E38D-4610-8C9C-B38B0A3E55D0}"/>
    <cellStyle name="Normal 4 2 4 2 2 2 6 2 3" xfId="32130" xr:uid="{DD3152F9-E794-4EC9-8804-AFBEFAF2CDE4}"/>
    <cellStyle name="Normal 4 2 4 2 2 2 6 2 4" xfId="15243" xr:uid="{1C3AA724-9C8E-4501-AFCB-71AAA293D484}"/>
    <cellStyle name="Normal 4 2 4 2 2 2 6 3" xfId="19466" xr:uid="{5546BC88-D2D1-42E9-B2A9-3FA8EECC6E53}"/>
    <cellStyle name="Normal 4 2 4 2 2 2 6 4" xfId="27911" xr:uid="{BD414868-22E6-4812-A5B2-AD52D164AAD8}"/>
    <cellStyle name="Normal 4 2 4 2 2 2 6 5" xfId="11025" xr:uid="{00A7190B-BA38-411D-BDD2-8504AE784054}"/>
    <cellStyle name="Normal 4 2 4 2 2 2 7" xfId="4736" xr:uid="{00000000-0005-0000-0000-000042130000}"/>
    <cellStyle name="Normal 4 2 4 2 2 2 7 2" xfId="21619" xr:uid="{6A58F070-3E88-4E69-AEA0-D185C0DD42DF}"/>
    <cellStyle name="Normal 4 2 4 2 2 2 7 3" xfId="30065" xr:uid="{D71E580C-57E6-443F-8B94-BA8D9B8453B6}"/>
    <cellStyle name="Normal 4 2 4 2 2 2 7 4" xfId="13178" xr:uid="{22496EE0-4292-492F-AF9A-B9E4A7B56C35}"/>
    <cellStyle name="Normal 4 2 4 2 2 2 8" xfId="17401" xr:uid="{33AA0171-404A-4E73-94EA-5F63CA35985C}"/>
    <cellStyle name="Normal 4 2 4 2 2 2 9" xfId="25845" xr:uid="{6A11BCC8-C0A1-466B-97BB-2F8D7E70DB14}"/>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24176" xr:uid="{FCFCFE20-84FC-458D-801E-3E4378404B78}"/>
    <cellStyle name="Normal 4 2 4 2 2 3 2 2 3" xfId="32622" xr:uid="{C13B6E95-88FD-42FD-AE18-4D7472A5FFFD}"/>
    <cellStyle name="Normal 4 2 4 2 2 3 2 2 4" xfId="15735" xr:uid="{2E14C72C-3D06-4505-B75C-AF3174F69349}"/>
    <cellStyle name="Normal 4 2 4 2 2 3 2 3" xfId="19958" xr:uid="{1E406431-D273-4E24-9905-649F5F052307}"/>
    <cellStyle name="Normal 4 2 4 2 2 3 2 4" xfId="28405" xr:uid="{9B353609-F3BC-490D-B38A-8FC1AF3ACE70}"/>
    <cellStyle name="Normal 4 2 4 2 2 3 2 5" xfId="11517" xr:uid="{BD516F39-D898-4A84-BCA2-9F19251CEE69}"/>
    <cellStyle name="Normal 4 2 4 2 2 3 3" xfId="5148" xr:uid="{00000000-0005-0000-0000-000046130000}"/>
    <cellStyle name="Normal 4 2 4 2 2 3 3 2" xfId="22031" xr:uid="{1D3CE74B-B60F-457E-80EA-9A9171DB35D6}"/>
    <cellStyle name="Normal 4 2 4 2 2 3 3 3" xfId="30477" xr:uid="{EB57713B-1A16-4715-9317-14AD13AEBB13}"/>
    <cellStyle name="Normal 4 2 4 2 2 3 3 4" xfId="13590" xr:uid="{AF1166F9-7ED7-432C-9E2A-7EF5057A509C}"/>
    <cellStyle name="Normal 4 2 4 2 2 3 4" xfId="17813" xr:uid="{20B3EF75-1567-45EC-B9A7-F5AE64C37D97}"/>
    <cellStyle name="Normal 4 2 4 2 2 3 5" xfId="26258" xr:uid="{265F6DD6-5E7A-404D-867D-C556D37E0C48}"/>
    <cellStyle name="Normal 4 2 4 2 2 3 6" xfId="9372" xr:uid="{703EED53-F55B-4B1C-AC2B-809597D321F4}"/>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24589" xr:uid="{84E0566B-5031-498F-B51A-53D844F96FD4}"/>
    <cellStyle name="Normal 4 2 4 2 2 4 2 2 3" xfId="33035" xr:uid="{CD64B533-8132-467B-8180-4BA50ABE979B}"/>
    <cellStyle name="Normal 4 2 4 2 2 4 2 2 4" xfId="16148" xr:uid="{B3ED0DD6-48A1-4B5E-B00D-04B548C9D3C3}"/>
    <cellStyle name="Normal 4 2 4 2 2 4 2 3" xfId="20371" xr:uid="{E22CA107-E16C-40E5-B126-656CA5457DB8}"/>
    <cellStyle name="Normal 4 2 4 2 2 4 2 4" xfId="28818" xr:uid="{40FD84F2-798F-4D1B-8D08-0B52469F5467}"/>
    <cellStyle name="Normal 4 2 4 2 2 4 2 5" xfId="11930" xr:uid="{8373D221-63D7-4014-AE05-CAFC9D4847B5}"/>
    <cellStyle name="Normal 4 2 4 2 2 4 3" xfId="5561" xr:uid="{00000000-0005-0000-0000-00004A130000}"/>
    <cellStyle name="Normal 4 2 4 2 2 4 3 2" xfId="22444" xr:uid="{81B9BD81-5190-4B88-83E5-6B37A0FCE2EE}"/>
    <cellStyle name="Normal 4 2 4 2 2 4 3 3" xfId="30890" xr:uid="{9BA60A41-8873-41E3-AE2B-C0068AEA77CB}"/>
    <cellStyle name="Normal 4 2 4 2 2 4 3 4" xfId="14003" xr:uid="{0F4AD729-4062-4791-92CC-0B673183EB7F}"/>
    <cellStyle name="Normal 4 2 4 2 2 4 4" xfId="18226" xr:uid="{04EEC376-B121-41ED-8466-31153D59469A}"/>
    <cellStyle name="Normal 4 2 4 2 2 4 5" xfId="26671" xr:uid="{29EEFE83-32DC-4418-99CA-2D6EEDE549C3}"/>
    <cellStyle name="Normal 4 2 4 2 2 4 6" xfId="9785" xr:uid="{4862451E-FEB9-4D01-B4E4-5912DD0EF2FD}"/>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25002" xr:uid="{85999CD5-A7AD-41E3-BC0D-68B9B3B69E86}"/>
    <cellStyle name="Normal 4 2 4 2 2 5 2 2 3" xfId="33448" xr:uid="{A0A679DF-42BC-4F43-B17E-C51CCDEC30C7}"/>
    <cellStyle name="Normal 4 2 4 2 2 5 2 2 4" xfId="16561" xr:uid="{D705D451-E64D-49B8-BCC0-359F78E4434F}"/>
    <cellStyle name="Normal 4 2 4 2 2 5 2 3" xfId="20784" xr:uid="{FE1CAB55-840E-433F-8F02-883117D4DC73}"/>
    <cellStyle name="Normal 4 2 4 2 2 5 2 4" xfId="29231" xr:uid="{074EC4FD-CD97-4236-A4DD-6D85A256C7F1}"/>
    <cellStyle name="Normal 4 2 4 2 2 5 2 5" xfId="12343" xr:uid="{65166F60-5AFB-4351-B871-7A41499521CD}"/>
    <cellStyle name="Normal 4 2 4 2 2 5 3" xfId="5974" xr:uid="{00000000-0005-0000-0000-00004E130000}"/>
    <cellStyle name="Normal 4 2 4 2 2 5 3 2" xfId="22857" xr:uid="{79D4A5A6-9295-4C43-B7A9-5EF8B453CD48}"/>
    <cellStyle name="Normal 4 2 4 2 2 5 3 3" xfId="31303" xr:uid="{D93CDA9D-2BF9-44CE-B883-3E0B6698766B}"/>
    <cellStyle name="Normal 4 2 4 2 2 5 3 4" xfId="14416" xr:uid="{4099E3D1-9B87-4C7C-94E1-0E608C6CC1B0}"/>
    <cellStyle name="Normal 4 2 4 2 2 5 4" xfId="18639" xr:uid="{494FEF44-003D-4DEE-B0BB-8379CCDC0DEE}"/>
    <cellStyle name="Normal 4 2 4 2 2 5 5" xfId="27084" xr:uid="{79B85CA5-8971-4EA2-A6B2-834AB8EDBED4}"/>
    <cellStyle name="Normal 4 2 4 2 2 5 6" xfId="10198" xr:uid="{816B813B-DDED-4863-8E64-2C13DF5D7EB8}"/>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25415" xr:uid="{D5A6A51A-E248-470D-8E11-5D5DAD9AB470}"/>
    <cellStyle name="Normal 4 2 4 2 2 6 2 2 3" xfId="33861" xr:uid="{439C7A62-FA23-40C7-B0D1-311A5EAC7C51}"/>
    <cellStyle name="Normal 4 2 4 2 2 6 2 2 4" xfId="16974" xr:uid="{05F90392-C1F9-4A25-AA8D-BE887A2380C2}"/>
    <cellStyle name="Normal 4 2 4 2 2 6 2 3" xfId="21197" xr:uid="{24F56F8F-EFB9-4A77-AD1E-1293D8E008B3}"/>
    <cellStyle name="Normal 4 2 4 2 2 6 2 4" xfId="29644" xr:uid="{B59F74EA-DD74-4A01-A61D-4C163593071D}"/>
    <cellStyle name="Normal 4 2 4 2 2 6 2 5" xfId="12756" xr:uid="{DF9B53AA-DD84-4EA5-81EB-77A69A7828DC}"/>
    <cellStyle name="Normal 4 2 4 2 2 6 3" xfId="6387" xr:uid="{00000000-0005-0000-0000-000052130000}"/>
    <cellStyle name="Normal 4 2 4 2 2 6 3 2" xfId="23270" xr:uid="{08197CBF-3C8F-42BD-A6C2-741787235C11}"/>
    <cellStyle name="Normal 4 2 4 2 2 6 3 3" xfId="31716" xr:uid="{AD9CA96F-C08D-4040-8F50-1A4A77F15226}"/>
    <cellStyle name="Normal 4 2 4 2 2 6 3 4" xfId="14829" xr:uid="{8C5990F6-359A-45D7-B7FF-196FAE318E4E}"/>
    <cellStyle name="Normal 4 2 4 2 2 6 4" xfId="19052" xr:uid="{2F77D337-B5AB-4184-9104-7EA15ABC93FB}"/>
    <cellStyle name="Normal 4 2 4 2 2 6 5" xfId="27497" xr:uid="{6B2A2F7F-444E-4D78-8F67-C55A4A780C2E}"/>
    <cellStyle name="Normal 4 2 4 2 2 6 6" xfId="10611" xr:uid="{E37E0EA7-3C3B-4C45-AD39-AD929548392A}"/>
    <cellStyle name="Normal 4 2 4 2 2 7" xfId="2516" xr:uid="{00000000-0005-0000-0000-000053130000}"/>
    <cellStyle name="Normal 4 2 4 2 2 7 2" xfId="6800" xr:uid="{00000000-0005-0000-0000-000054130000}"/>
    <cellStyle name="Normal 4 2 4 2 2 7 2 2" xfId="23683" xr:uid="{BA86ABA7-8C11-47D4-A417-A0F9171D8C02}"/>
    <cellStyle name="Normal 4 2 4 2 2 7 2 3" xfId="32129" xr:uid="{C7C3F7A5-850E-43AA-A91A-98CAFD42DD20}"/>
    <cellStyle name="Normal 4 2 4 2 2 7 2 4" xfId="15242" xr:uid="{890A85EC-3A29-4CA5-973A-4F64990E6B2A}"/>
    <cellStyle name="Normal 4 2 4 2 2 7 3" xfId="19465" xr:uid="{BE3A8CE0-7C95-4EE8-B011-3C7EE74B533D}"/>
    <cellStyle name="Normal 4 2 4 2 2 7 4" xfId="27910" xr:uid="{BDBE9FEA-E4DA-4BC3-B471-226726382E95}"/>
    <cellStyle name="Normal 4 2 4 2 2 7 5" xfId="11024" xr:uid="{25080887-960D-4EA1-AD45-B8F40E994245}"/>
    <cellStyle name="Normal 4 2 4 2 2 8" xfId="4735" xr:uid="{00000000-0005-0000-0000-000055130000}"/>
    <cellStyle name="Normal 4 2 4 2 2 8 2" xfId="21618" xr:uid="{AD7D4705-99D2-45E0-9DEE-5A32BBEA25F8}"/>
    <cellStyle name="Normal 4 2 4 2 2 8 3" xfId="30064" xr:uid="{A932A29B-D092-42FA-BB1F-70AAC5D62088}"/>
    <cellStyle name="Normal 4 2 4 2 2 8 4" xfId="13177" xr:uid="{595130DA-3B3B-4167-AB27-529476826ABA}"/>
    <cellStyle name="Normal 4 2 4 2 2 9" xfId="17400" xr:uid="{6AB429C3-5AFF-4B62-AC33-86EC80FC6084}"/>
    <cellStyle name="Normal 4 2 4 2 3" xfId="359" xr:uid="{00000000-0005-0000-0000-000056130000}"/>
    <cellStyle name="Normal 4 2 4 2 3 10" xfId="8961" xr:uid="{E9217E30-5B9F-4101-BA25-E28B4F90DC66}"/>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24178" xr:uid="{37C9EECD-3C84-430D-9DE7-722E3D9AF2CC}"/>
    <cellStyle name="Normal 4 2 4 2 3 2 2 2 3" xfId="32624" xr:uid="{6CC68601-A8B5-4BAB-8F2B-2BFCBB6A7920}"/>
    <cellStyle name="Normal 4 2 4 2 3 2 2 2 4" xfId="15737" xr:uid="{665C2C16-D69C-4560-9BFA-C730152BB544}"/>
    <cellStyle name="Normal 4 2 4 2 3 2 2 3" xfId="19960" xr:uid="{42A053CC-2EE9-4AFB-A73D-98FA948EE770}"/>
    <cellStyle name="Normal 4 2 4 2 3 2 2 4" xfId="28407" xr:uid="{326BC6DD-0886-44E1-8F63-3FAA2D76C7FF}"/>
    <cellStyle name="Normal 4 2 4 2 3 2 2 5" xfId="11519" xr:uid="{C9F09631-81B4-48C0-88F7-65792BA1C8CC}"/>
    <cellStyle name="Normal 4 2 4 2 3 2 3" xfId="5150" xr:uid="{00000000-0005-0000-0000-00005A130000}"/>
    <cellStyle name="Normal 4 2 4 2 3 2 3 2" xfId="22033" xr:uid="{517F3C80-AB34-4B37-B14D-BD63757A0B60}"/>
    <cellStyle name="Normal 4 2 4 2 3 2 3 3" xfId="30479" xr:uid="{7E2571ED-9A9A-4FA5-839F-F762DB6E2290}"/>
    <cellStyle name="Normal 4 2 4 2 3 2 3 4" xfId="13592" xr:uid="{FBBF2331-A0D8-4D12-9C82-03919509732C}"/>
    <cellStyle name="Normal 4 2 4 2 3 2 4" xfId="17815" xr:uid="{8052A412-585A-4625-B100-21FA950A12A9}"/>
    <cellStyle name="Normal 4 2 4 2 3 2 5" xfId="26260" xr:uid="{8452041D-0E47-42C9-92A7-AEDBA5244B56}"/>
    <cellStyle name="Normal 4 2 4 2 3 2 6" xfId="9374" xr:uid="{9DD4A40E-5194-43CF-AB8D-53748356A754}"/>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24591" xr:uid="{58998584-C8C4-4569-85EC-CD73BA3F7411}"/>
    <cellStyle name="Normal 4 2 4 2 3 3 2 2 3" xfId="33037" xr:uid="{AE2EE038-F425-4B7F-86F0-7BA07D0956EE}"/>
    <cellStyle name="Normal 4 2 4 2 3 3 2 2 4" xfId="16150" xr:uid="{E9B1EDD3-0231-48C4-AFE5-846D3DDC1B54}"/>
    <cellStyle name="Normal 4 2 4 2 3 3 2 3" xfId="20373" xr:uid="{7E6159CD-2F5C-4DF8-9DBC-68049D3FA828}"/>
    <cellStyle name="Normal 4 2 4 2 3 3 2 4" xfId="28820" xr:uid="{EAABFE6D-4F7A-4BC4-B5ED-11BB952FC17B}"/>
    <cellStyle name="Normal 4 2 4 2 3 3 2 5" xfId="11932" xr:uid="{928EFA68-673E-48B5-9CA1-681CD6E63AEA}"/>
    <cellStyle name="Normal 4 2 4 2 3 3 3" xfId="5563" xr:uid="{00000000-0005-0000-0000-00005E130000}"/>
    <cellStyle name="Normal 4 2 4 2 3 3 3 2" xfId="22446" xr:uid="{9D295F8E-2395-462C-B58A-DF634514F7E6}"/>
    <cellStyle name="Normal 4 2 4 2 3 3 3 3" xfId="30892" xr:uid="{7391B957-F6FF-439E-87EC-0B43C3707F03}"/>
    <cellStyle name="Normal 4 2 4 2 3 3 3 4" xfId="14005" xr:uid="{8318A42C-373B-4A2B-A25E-5700860D480A}"/>
    <cellStyle name="Normal 4 2 4 2 3 3 4" xfId="18228" xr:uid="{9A0B711B-34C1-4A06-A0E4-1DC53FDB4732}"/>
    <cellStyle name="Normal 4 2 4 2 3 3 5" xfId="26673" xr:uid="{E341AFBA-889E-4B3C-B750-171BD0549426}"/>
    <cellStyle name="Normal 4 2 4 2 3 3 6" xfId="9787" xr:uid="{2D144422-EC0B-4BC4-A17A-B26DBC664013}"/>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25004" xr:uid="{ED296758-CCC8-46D8-AA20-8A0EC6294717}"/>
    <cellStyle name="Normal 4 2 4 2 3 4 2 2 3" xfId="33450" xr:uid="{DB411456-34E3-469E-B604-58B6DD5E519F}"/>
    <cellStyle name="Normal 4 2 4 2 3 4 2 2 4" xfId="16563" xr:uid="{BDFC512C-818E-438A-8681-A2881B7A8B99}"/>
    <cellStyle name="Normal 4 2 4 2 3 4 2 3" xfId="20786" xr:uid="{9CE30D40-6E72-4FD2-AD0C-3211AA4BC1EF}"/>
    <cellStyle name="Normal 4 2 4 2 3 4 2 4" xfId="29233" xr:uid="{7C5E8312-E762-49A7-8AB6-5FD279B967D0}"/>
    <cellStyle name="Normal 4 2 4 2 3 4 2 5" xfId="12345" xr:uid="{4BCBEE4F-3119-48EB-8A83-3B48BBB584D3}"/>
    <cellStyle name="Normal 4 2 4 2 3 4 3" xfId="5976" xr:uid="{00000000-0005-0000-0000-000062130000}"/>
    <cellStyle name="Normal 4 2 4 2 3 4 3 2" xfId="22859" xr:uid="{6877D605-F0FF-42CF-89DA-1BEB7F5A6D00}"/>
    <cellStyle name="Normal 4 2 4 2 3 4 3 3" xfId="31305" xr:uid="{7CB20560-F8CA-412D-BF18-EFF83DB80CBE}"/>
    <cellStyle name="Normal 4 2 4 2 3 4 3 4" xfId="14418" xr:uid="{119C9070-36DC-46D1-8E19-191A1CEA5FE8}"/>
    <cellStyle name="Normal 4 2 4 2 3 4 4" xfId="18641" xr:uid="{3D4352CB-BFA2-4D80-9AB3-4044527EBC73}"/>
    <cellStyle name="Normal 4 2 4 2 3 4 5" xfId="27086" xr:uid="{EC524BDE-6652-472F-A38A-2F6247C3CCEF}"/>
    <cellStyle name="Normal 4 2 4 2 3 4 6" xfId="10200" xr:uid="{ED63757F-43D5-4AED-B13C-25E472C5BE69}"/>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25417" xr:uid="{D0964B20-9821-463A-8F8C-FBB697411967}"/>
    <cellStyle name="Normal 4 2 4 2 3 5 2 2 3" xfId="33863" xr:uid="{53EA73C7-214F-40E4-9169-60467518B668}"/>
    <cellStyle name="Normal 4 2 4 2 3 5 2 2 4" xfId="16976" xr:uid="{EAAC15EB-E161-4F25-B53F-A2D8150CC6C0}"/>
    <cellStyle name="Normal 4 2 4 2 3 5 2 3" xfId="21199" xr:uid="{B70534E1-5519-40EE-8642-4B7DA7D40201}"/>
    <cellStyle name="Normal 4 2 4 2 3 5 2 4" xfId="29646" xr:uid="{DF1BFDE3-BBA2-408F-9591-B5D525AE0775}"/>
    <cellStyle name="Normal 4 2 4 2 3 5 2 5" xfId="12758" xr:uid="{8AE3FBAD-1C07-4AB7-A120-E6BD90F980C9}"/>
    <cellStyle name="Normal 4 2 4 2 3 5 3" xfId="6389" xr:uid="{00000000-0005-0000-0000-000066130000}"/>
    <cellStyle name="Normal 4 2 4 2 3 5 3 2" xfId="23272" xr:uid="{669906BF-D508-4E81-956E-79657F3E210B}"/>
    <cellStyle name="Normal 4 2 4 2 3 5 3 3" xfId="31718" xr:uid="{9B476839-9441-4222-A2E4-D8B2565EB7DB}"/>
    <cellStyle name="Normal 4 2 4 2 3 5 3 4" xfId="14831" xr:uid="{0E37A07E-E26A-44AD-B8C8-9B04FB4E6F92}"/>
    <cellStyle name="Normal 4 2 4 2 3 5 4" xfId="19054" xr:uid="{69313BC0-5026-48D1-BD6E-1DB1DDD46FF7}"/>
    <cellStyle name="Normal 4 2 4 2 3 5 5" xfId="27499" xr:uid="{C76A7AC0-EC57-4185-AFE6-5A976FFD19AC}"/>
    <cellStyle name="Normal 4 2 4 2 3 5 6" xfId="10613" xr:uid="{1AA289AC-8AB9-4186-92EC-DEDADF150E41}"/>
    <cellStyle name="Normal 4 2 4 2 3 6" xfId="2518" xr:uid="{00000000-0005-0000-0000-000067130000}"/>
    <cellStyle name="Normal 4 2 4 2 3 6 2" xfId="6802" xr:uid="{00000000-0005-0000-0000-000068130000}"/>
    <cellStyle name="Normal 4 2 4 2 3 6 2 2" xfId="23685" xr:uid="{517E13BA-F2BD-4ADD-B735-C0FD88E25C18}"/>
    <cellStyle name="Normal 4 2 4 2 3 6 2 3" xfId="32131" xr:uid="{92AD636A-2B64-402C-B57D-0FBEADE96132}"/>
    <cellStyle name="Normal 4 2 4 2 3 6 2 4" xfId="15244" xr:uid="{143C9932-67FA-48A9-9067-71F92095A7A3}"/>
    <cellStyle name="Normal 4 2 4 2 3 6 3" xfId="19467" xr:uid="{103E6129-56AB-4C6D-A493-FC5C25FE4018}"/>
    <cellStyle name="Normal 4 2 4 2 3 6 4" xfId="27912" xr:uid="{6DBD8C17-2D24-4225-90F5-E034CF8C2D76}"/>
    <cellStyle name="Normal 4 2 4 2 3 6 5" xfId="11026" xr:uid="{32D49BF9-FFB8-4825-ADC2-0D52F638C811}"/>
    <cellStyle name="Normal 4 2 4 2 3 7" xfId="4737" xr:uid="{00000000-0005-0000-0000-000069130000}"/>
    <cellStyle name="Normal 4 2 4 2 3 7 2" xfId="21620" xr:uid="{3D09D243-4B58-48E5-AF8A-ADF33758125B}"/>
    <cellStyle name="Normal 4 2 4 2 3 7 3" xfId="30066" xr:uid="{A4EB7654-F91D-4930-ABC5-283183D8E81B}"/>
    <cellStyle name="Normal 4 2 4 2 3 7 4" xfId="13179" xr:uid="{17F91742-996B-44D6-A639-E33A61BD50DD}"/>
    <cellStyle name="Normal 4 2 4 2 3 8" xfId="17402" xr:uid="{98026EC1-D27C-4A9D-9680-EC55917D3F1F}"/>
    <cellStyle name="Normal 4 2 4 2 3 9" xfId="25846" xr:uid="{57DEB0C1-04AE-420D-B3DE-D75D38378132}"/>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24175" xr:uid="{FD46363E-8405-4CB8-962E-2204C25C4126}"/>
    <cellStyle name="Normal 4 2 4 2 4 2 2 3" xfId="32621" xr:uid="{17FC46FD-3F40-436C-B38D-BD6B978A123E}"/>
    <cellStyle name="Normal 4 2 4 2 4 2 2 4" xfId="15734" xr:uid="{14686B31-7DB3-4F0A-A561-4F33BCDD1580}"/>
    <cellStyle name="Normal 4 2 4 2 4 2 3" xfId="19957" xr:uid="{409BCA90-8D4F-49BF-88CD-EE94D7F1880A}"/>
    <cellStyle name="Normal 4 2 4 2 4 2 4" xfId="28404" xr:uid="{A5D9CBAD-F85E-4C70-91E5-F20494DC9F50}"/>
    <cellStyle name="Normal 4 2 4 2 4 2 5" xfId="11516" xr:uid="{DD6C8395-88AA-4CE7-94A2-7E87A27B7212}"/>
    <cellStyle name="Normal 4 2 4 2 4 3" xfId="5147" xr:uid="{00000000-0005-0000-0000-00006D130000}"/>
    <cellStyle name="Normal 4 2 4 2 4 3 2" xfId="22030" xr:uid="{69ACEB23-FF6A-4118-9C83-038664D2A2B0}"/>
    <cellStyle name="Normal 4 2 4 2 4 3 3" xfId="30476" xr:uid="{B2BF4432-4F46-458A-BA1D-17372BEA973F}"/>
    <cellStyle name="Normal 4 2 4 2 4 3 4" xfId="13589" xr:uid="{56D75031-DE56-445E-953B-E26858E0592B}"/>
    <cellStyle name="Normal 4 2 4 2 4 4" xfId="17812" xr:uid="{B83A3BA2-E1AE-4BE8-91BF-6D9F15D35D58}"/>
    <cellStyle name="Normal 4 2 4 2 4 5" xfId="26257" xr:uid="{17C447E0-0CAA-45CF-8E1A-27606B2271B3}"/>
    <cellStyle name="Normal 4 2 4 2 4 6" xfId="9371" xr:uid="{C691FFF6-B8F9-461E-8FFA-8A29119D189C}"/>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24588" xr:uid="{4E9D89CC-4A9A-484D-A1D3-62A79D2FAA62}"/>
    <cellStyle name="Normal 4 2 4 2 5 2 2 3" xfId="33034" xr:uid="{CF2E6D21-624A-478F-9FBA-C5801F3583C0}"/>
    <cellStyle name="Normal 4 2 4 2 5 2 2 4" xfId="16147" xr:uid="{5BD34FC3-0DD9-4C3F-B687-EBB07E6B651C}"/>
    <cellStyle name="Normal 4 2 4 2 5 2 3" xfId="20370" xr:uid="{53B83590-3A17-484F-AD2A-A5F738DFE3E6}"/>
    <cellStyle name="Normal 4 2 4 2 5 2 4" xfId="28817" xr:uid="{65AE3484-74AE-4601-A54D-9F7DF03DE46D}"/>
    <cellStyle name="Normal 4 2 4 2 5 2 5" xfId="11929" xr:uid="{1A30381C-24DA-4BFF-B353-49D85CC5C284}"/>
    <cellStyle name="Normal 4 2 4 2 5 3" xfId="5560" xr:uid="{00000000-0005-0000-0000-000071130000}"/>
    <cellStyle name="Normal 4 2 4 2 5 3 2" xfId="22443" xr:uid="{DBFCB2DB-982C-4A90-8DBC-6945A6D093AD}"/>
    <cellStyle name="Normal 4 2 4 2 5 3 3" xfId="30889" xr:uid="{7DC9053A-A15F-4333-A567-E81423F82092}"/>
    <cellStyle name="Normal 4 2 4 2 5 3 4" xfId="14002" xr:uid="{117D1DAA-5B62-4F42-88EF-274FCC680CC7}"/>
    <cellStyle name="Normal 4 2 4 2 5 4" xfId="18225" xr:uid="{99CB7E06-72D9-4FE7-A96E-A8E47F2B5982}"/>
    <cellStyle name="Normal 4 2 4 2 5 5" xfId="26670" xr:uid="{CFB669FD-61F6-48EE-9BB1-647B5046583B}"/>
    <cellStyle name="Normal 4 2 4 2 5 6" xfId="9784" xr:uid="{54E3DB04-F831-4BA0-868B-063BDA931610}"/>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25001" xr:uid="{557CA211-9F48-43A3-A86A-589638A0F668}"/>
    <cellStyle name="Normal 4 2 4 2 6 2 2 3" xfId="33447" xr:uid="{EB48903E-CE12-4902-A972-707ACE269E67}"/>
    <cellStyle name="Normal 4 2 4 2 6 2 2 4" xfId="16560" xr:uid="{72B7A2A0-6A7B-47B1-B884-742A6E6D0F6A}"/>
    <cellStyle name="Normal 4 2 4 2 6 2 3" xfId="20783" xr:uid="{710862B8-C50A-4E5E-B71E-4BABD8149EA9}"/>
    <cellStyle name="Normal 4 2 4 2 6 2 4" xfId="29230" xr:uid="{6356D2C9-246C-45E9-9E96-DB7545A8CD83}"/>
    <cellStyle name="Normal 4 2 4 2 6 2 5" xfId="12342" xr:uid="{1B3CA9B4-1455-4513-B2AE-0FEFD7065F8E}"/>
    <cellStyle name="Normal 4 2 4 2 6 3" xfId="5973" xr:uid="{00000000-0005-0000-0000-000075130000}"/>
    <cellStyle name="Normal 4 2 4 2 6 3 2" xfId="22856" xr:uid="{2B332684-1033-497B-8A53-7CB15C7AF727}"/>
    <cellStyle name="Normal 4 2 4 2 6 3 3" xfId="31302" xr:uid="{F1059C72-D3C2-4A47-9502-D8CB61835526}"/>
    <cellStyle name="Normal 4 2 4 2 6 3 4" xfId="14415" xr:uid="{41DEA992-A830-441B-9F42-6A96F0CDBB3D}"/>
    <cellStyle name="Normal 4 2 4 2 6 4" xfId="18638" xr:uid="{95828EC0-428C-4E9F-B508-31D6E75A0E99}"/>
    <cellStyle name="Normal 4 2 4 2 6 5" xfId="27083" xr:uid="{5F8E55E5-D79B-4F11-BE2B-E604E3A757E9}"/>
    <cellStyle name="Normal 4 2 4 2 6 6" xfId="10197" xr:uid="{6292B830-B228-4E5B-B118-A7FEF480F8B3}"/>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25414" xr:uid="{E8610E50-0037-4BBF-9CB5-9DE2A0DB401F}"/>
    <cellStyle name="Normal 4 2 4 2 7 2 2 3" xfId="33860" xr:uid="{FD77741B-0DBE-4BD1-AD0C-D1184E3E79AB}"/>
    <cellStyle name="Normal 4 2 4 2 7 2 2 4" xfId="16973" xr:uid="{95B26030-3ABB-411E-ADE6-14E1B86A69C1}"/>
    <cellStyle name="Normal 4 2 4 2 7 2 3" xfId="21196" xr:uid="{34004A29-207C-4D59-9D94-F071684D7D7A}"/>
    <cellStyle name="Normal 4 2 4 2 7 2 4" xfId="29643" xr:uid="{5D41E4A8-B1D0-4E52-B8B9-05B05725F6DF}"/>
    <cellStyle name="Normal 4 2 4 2 7 2 5" xfId="12755" xr:uid="{12DC86DC-DE63-4931-A657-C30B58FD4622}"/>
    <cellStyle name="Normal 4 2 4 2 7 3" xfId="6386" xr:uid="{00000000-0005-0000-0000-000079130000}"/>
    <cellStyle name="Normal 4 2 4 2 7 3 2" xfId="23269" xr:uid="{A57DA83A-B27B-490F-912F-CF06C4D0DA60}"/>
    <cellStyle name="Normal 4 2 4 2 7 3 3" xfId="31715" xr:uid="{5A7E590A-8007-4B10-8420-9F3E5D51AA15}"/>
    <cellStyle name="Normal 4 2 4 2 7 3 4" xfId="14828" xr:uid="{EDAD39AB-1316-41E8-86F7-7B8FDCCE4658}"/>
    <cellStyle name="Normal 4 2 4 2 7 4" xfId="19051" xr:uid="{663E1422-52BA-4ACE-9FFB-520CB0329544}"/>
    <cellStyle name="Normal 4 2 4 2 7 5" xfId="27496" xr:uid="{C400F796-CF2F-4576-8AE8-BB788B3D0B5D}"/>
    <cellStyle name="Normal 4 2 4 2 7 6" xfId="10610" xr:uid="{AED5BA06-5B01-43ED-92E1-199764427170}"/>
    <cellStyle name="Normal 4 2 4 2 8" xfId="2515" xr:uid="{00000000-0005-0000-0000-00007A130000}"/>
    <cellStyle name="Normal 4 2 4 2 8 2" xfId="6799" xr:uid="{00000000-0005-0000-0000-00007B130000}"/>
    <cellStyle name="Normal 4 2 4 2 8 2 2" xfId="23682" xr:uid="{DF6F6831-7D61-41FE-B943-BDC5BA30526E}"/>
    <cellStyle name="Normal 4 2 4 2 8 2 3" xfId="32128" xr:uid="{69C53595-AFE8-412D-926C-A654A5EC1596}"/>
    <cellStyle name="Normal 4 2 4 2 8 2 4" xfId="15241" xr:uid="{FE14E4DE-6719-4D5E-B459-45BE186831C0}"/>
    <cellStyle name="Normal 4 2 4 2 8 3" xfId="19464" xr:uid="{D8584D2A-9D67-4CEA-B60A-2307968F6D2C}"/>
    <cellStyle name="Normal 4 2 4 2 8 4" xfId="27909" xr:uid="{E5E4B42E-8A29-4C29-AF27-672967592C0D}"/>
    <cellStyle name="Normal 4 2 4 2 8 5" xfId="11023" xr:uid="{FE1708B2-4C1D-4968-A794-9425E59C1AAA}"/>
    <cellStyle name="Normal 4 2 4 2 9" xfId="4734" xr:uid="{00000000-0005-0000-0000-00007C130000}"/>
    <cellStyle name="Normal 4 2 4 2 9 2" xfId="21617" xr:uid="{14F74D90-3DEF-4127-8F5A-5490396ED90F}"/>
    <cellStyle name="Normal 4 2 4 2 9 3" xfId="30063" xr:uid="{AC118E60-32BA-4741-929D-97F7F79041D5}"/>
    <cellStyle name="Normal 4 2 4 2 9 4" xfId="13176" xr:uid="{547AA06B-873E-4927-8C4F-F29A99A9353B}"/>
    <cellStyle name="Normal 4 2 4 3" xfId="360" xr:uid="{00000000-0005-0000-0000-00007D130000}"/>
    <cellStyle name="Normal 4 2 4 3 10" xfId="25847" xr:uid="{D3393951-71D5-487F-816D-6E3AF6E77EC8}"/>
    <cellStyle name="Normal 4 2 4 3 11" xfId="8962" xr:uid="{594C6535-6287-4D41-B638-E7C1CB15D1C4}"/>
    <cellStyle name="Normal 4 2 4 3 2" xfId="361" xr:uid="{00000000-0005-0000-0000-00007E130000}"/>
    <cellStyle name="Normal 4 2 4 3 2 10" xfId="8963" xr:uid="{D0802EF2-46E0-47B9-A564-9CBB1BD24565}"/>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24180" xr:uid="{E45FD634-10A2-4E3E-81A6-B749A7117F03}"/>
    <cellStyle name="Normal 4 2 4 3 2 2 2 2 3" xfId="32626" xr:uid="{D22DB0FD-65D2-4DDF-AA18-BEA3253251D6}"/>
    <cellStyle name="Normal 4 2 4 3 2 2 2 2 4" xfId="15739" xr:uid="{478DEC0E-CE0A-4411-B3B9-7F2735F82643}"/>
    <cellStyle name="Normal 4 2 4 3 2 2 2 3" xfId="19962" xr:uid="{D6548B95-8E26-43C4-82B1-BF8AE98C4630}"/>
    <cellStyle name="Normal 4 2 4 3 2 2 2 4" xfId="28409" xr:uid="{8A40172A-026E-4060-B527-DFFAAFDAF4A3}"/>
    <cellStyle name="Normal 4 2 4 3 2 2 2 5" xfId="11521" xr:uid="{7357A1E7-3779-49F8-A121-9118D9C68B26}"/>
    <cellStyle name="Normal 4 2 4 3 2 2 3" xfId="5152" xr:uid="{00000000-0005-0000-0000-000082130000}"/>
    <cellStyle name="Normal 4 2 4 3 2 2 3 2" xfId="22035" xr:uid="{8FA8B8CE-7924-4C3E-BB70-6BA9CF2170EE}"/>
    <cellStyle name="Normal 4 2 4 3 2 2 3 3" xfId="30481" xr:uid="{30D8509E-1864-4FFE-83F6-DB03AF34718F}"/>
    <cellStyle name="Normal 4 2 4 3 2 2 3 4" xfId="13594" xr:uid="{12C5992C-910B-4964-964F-5A4BF4156E4F}"/>
    <cellStyle name="Normal 4 2 4 3 2 2 4" xfId="17817" xr:uid="{A85CB969-9689-465B-8C47-942A2BCAFF69}"/>
    <cellStyle name="Normal 4 2 4 3 2 2 5" xfId="26262" xr:uid="{3CE8E9E6-E88F-43AB-8BDF-4FFFFF32CBEE}"/>
    <cellStyle name="Normal 4 2 4 3 2 2 6" xfId="9376" xr:uid="{50A7EF93-A533-4B72-AEA9-9BF3E6C37C14}"/>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24593" xr:uid="{C855B4C7-AC47-40C5-BD00-48778B7CCB42}"/>
    <cellStyle name="Normal 4 2 4 3 2 3 2 2 3" xfId="33039" xr:uid="{601D0ECF-E974-42B4-8E8D-3684F0E791AD}"/>
    <cellStyle name="Normal 4 2 4 3 2 3 2 2 4" xfId="16152" xr:uid="{E526339C-DAC4-4CE1-9878-E78EC4AEC142}"/>
    <cellStyle name="Normal 4 2 4 3 2 3 2 3" xfId="20375" xr:uid="{E35412BD-3954-4C88-AA0E-7F4FF37EEF48}"/>
    <cellStyle name="Normal 4 2 4 3 2 3 2 4" xfId="28822" xr:uid="{45CDE227-CE14-41A0-A9FA-89408D874095}"/>
    <cellStyle name="Normal 4 2 4 3 2 3 2 5" xfId="11934" xr:uid="{E85B2A6C-5073-4AF8-9C15-07CEAD3AE623}"/>
    <cellStyle name="Normal 4 2 4 3 2 3 3" xfId="5565" xr:uid="{00000000-0005-0000-0000-000086130000}"/>
    <cellStyle name="Normal 4 2 4 3 2 3 3 2" xfId="22448" xr:uid="{F3DFC0E9-56D6-4193-8319-50D6B6010424}"/>
    <cellStyle name="Normal 4 2 4 3 2 3 3 3" xfId="30894" xr:uid="{0BF102A6-6C38-4FEF-AD2A-EEF018E8BE7F}"/>
    <cellStyle name="Normal 4 2 4 3 2 3 3 4" xfId="14007" xr:uid="{1952B5DD-5A1B-4EB1-B4CF-17C277848071}"/>
    <cellStyle name="Normal 4 2 4 3 2 3 4" xfId="18230" xr:uid="{F10ADAF8-89BA-4269-9541-E9B04D88CD59}"/>
    <cellStyle name="Normal 4 2 4 3 2 3 5" xfId="26675" xr:uid="{5E99A0B1-34D9-44A9-AFD7-88B46118F2A4}"/>
    <cellStyle name="Normal 4 2 4 3 2 3 6" xfId="9789" xr:uid="{AF84EE78-A558-4A4D-8123-F77E9B956B31}"/>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25006" xr:uid="{872A5D6E-A811-4E5D-A08F-78BEA3BF47D8}"/>
    <cellStyle name="Normal 4 2 4 3 2 4 2 2 3" xfId="33452" xr:uid="{9EAB874C-11B5-47EE-BE47-BE349777A02B}"/>
    <cellStyle name="Normal 4 2 4 3 2 4 2 2 4" xfId="16565" xr:uid="{C18D5A7C-590E-4897-A4BE-B4D877F3BAB6}"/>
    <cellStyle name="Normal 4 2 4 3 2 4 2 3" xfId="20788" xr:uid="{1AB09231-5C7F-4CFF-A161-442036712E99}"/>
    <cellStyle name="Normal 4 2 4 3 2 4 2 4" xfId="29235" xr:uid="{269E66DC-422B-4CCE-B545-AFE7F03FE857}"/>
    <cellStyle name="Normal 4 2 4 3 2 4 2 5" xfId="12347" xr:uid="{E2DEE694-39D9-4EFB-9985-7757485DF772}"/>
    <cellStyle name="Normal 4 2 4 3 2 4 3" xfId="5978" xr:uid="{00000000-0005-0000-0000-00008A130000}"/>
    <cellStyle name="Normal 4 2 4 3 2 4 3 2" xfId="22861" xr:uid="{3BF838C2-A06D-4D49-B7D7-449DC12E2987}"/>
    <cellStyle name="Normal 4 2 4 3 2 4 3 3" xfId="31307" xr:uid="{408E84A1-A222-4751-AD07-1E4707B53AE8}"/>
    <cellStyle name="Normal 4 2 4 3 2 4 3 4" xfId="14420" xr:uid="{8DC98E79-3C08-43A4-B086-0122B1AAFC34}"/>
    <cellStyle name="Normal 4 2 4 3 2 4 4" xfId="18643" xr:uid="{27780AE8-35A5-4856-8D61-F5218C4A6DE3}"/>
    <cellStyle name="Normal 4 2 4 3 2 4 5" xfId="27088" xr:uid="{3171917A-E5D7-4B32-AA2B-31FDAD18F9F5}"/>
    <cellStyle name="Normal 4 2 4 3 2 4 6" xfId="10202" xr:uid="{AABA9A1A-547F-415C-AB13-5739F94D5027}"/>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25419" xr:uid="{BE4CB613-290F-4F21-8FAB-1815CB0F76DB}"/>
    <cellStyle name="Normal 4 2 4 3 2 5 2 2 3" xfId="33865" xr:uid="{E85135D0-0E58-405A-9044-751C08AE186A}"/>
    <cellStyle name="Normal 4 2 4 3 2 5 2 2 4" xfId="16978" xr:uid="{A3FEC910-87B8-4E22-84D2-8847911CF357}"/>
    <cellStyle name="Normal 4 2 4 3 2 5 2 3" xfId="21201" xr:uid="{162646D6-2826-4D73-8D38-BD50ED9790E7}"/>
    <cellStyle name="Normal 4 2 4 3 2 5 2 4" xfId="29648" xr:uid="{988E2A73-A2F3-42E2-B964-C409AE747A19}"/>
    <cellStyle name="Normal 4 2 4 3 2 5 2 5" xfId="12760" xr:uid="{0A329BC3-E452-4CAA-8919-05E2FA0A401B}"/>
    <cellStyle name="Normal 4 2 4 3 2 5 3" xfId="6391" xr:uid="{00000000-0005-0000-0000-00008E130000}"/>
    <cellStyle name="Normal 4 2 4 3 2 5 3 2" xfId="23274" xr:uid="{45585CE7-B353-474A-8621-66CABBA4E14B}"/>
    <cellStyle name="Normal 4 2 4 3 2 5 3 3" xfId="31720" xr:uid="{3E3D28FD-8F8A-41B8-8436-3AF7C914A961}"/>
    <cellStyle name="Normal 4 2 4 3 2 5 3 4" xfId="14833" xr:uid="{F047FFE8-BC3D-42CC-999C-E9CF39D8DC70}"/>
    <cellStyle name="Normal 4 2 4 3 2 5 4" xfId="19056" xr:uid="{66AF1436-CE0D-4C2D-89B1-9EE5EF52B649}"/>
    <cellStyle name="Normal 4 2 4 3 2 5 5" xfId="27501" xr:uid="{F3FBC6B4-FF37-4FD4-9285-59AC5C4B772F}"/>
    <cellStyle name="Normal 4 2 4 3 2 5 6" xfId="10615" xr:uid="{365C6CB2-8AA2-477A-A8C6-0225E9140B23}"/>
    <cellStyle name="Normal 4 2 4 3 2 6" xfId="2520" xr:uid="{00000000-0005-0000-0000-00008F130000}"/>
    <cellStyle name="Normal 4 2 4 3 2 6 2" xfId="6804" xr:uid="{00000000-0005-0000-0000-000090130000}"/>
    <cellStyle name="Normal 4 2 4 3 2 6 2 2" xfId="23687" xr:uid="{D05870C4-7296-4146-B898-F12AACFBC31C}"/>
    <cellStyle name="Normal 4 2 4 3 2 6 2 3" xfId="32133" xr:uid="{0D0D14AF-2C20-4086-A32E-C7230202DE07}"/>
    <cellStyle name="Normal 4 2 4 3 2 6 2 4" xfId="15246" xr:uid="{A2BA54FB-9087-4AB9-8B66-A3E4D718D3A2}"/>
    <cellStyle name="Normal 4 2 4 3 2 6 3" xfId="19469" xr:uid="{1A59203E-D0BB-471F-A0D3-ACCD314539D1}"/>
    <cellStyle name="Normal 4 2 4 3 2 6 4" xfId="27914" xr:uid="{C6CC2B06-14E1-4A1B-97C3-41C52E0E079C}"/>
    <cellStyle name="Normal 4 2 4 3 2 6 5" xfId="11028" xr:uid="{B27FF99D-EDA1-41A1-A7D9-C488D503A21B}"/>
    <cellStyle name="Normal 4 2 4 3 2 7" xfId="4739" xr:uid="{00000000-0005-0000-0000-000091130000}"/>
    <cellStyle name="Normal 4 2 4 3 2 7 2" xfId="21622" xr:uid="{9F2F6481-3D5B-4F2B-94EB-88E3FC917F34}"/>
    <cellStyle name="Normal 4 2 4 3 2 7 3" xfId="30068" xr:uid="{4E3CF6D4-5AAD-496F-A1B2-B70DC49390AE}"/>
    <cellStyle name="Normal 4 2 4 3 2 7 4" xfId="13181" xr:uid="{48B40216-BC05-4C42-8B4C-109019CBCF17}"/>
    <cellStyle name="Normal 4 2 4 3 2 8" xfId="17404" xr:uid="{F87EE4AE-3040-45E5-B7A8-277C141BDBA0}"/>
    <cellStyle name="Normal 4 2 4 3 2 9" xfId="25848" xr:uid="{DEB2E489-23CB-4235-A303-26716B0F07C7}"/>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24179" xr:uid="{6AFDE6AC-FD05-42C7-AA53-8D9EE9FA9EBB}"/>
    <cellStyle name="Normal 4 2 4 3 3 2 2 3" xfId="32625" xr:uid="{506CE3F0-11BD-46E5-B8E7-53FA662D619F}"/>
    <cellStyle name="Normal 4 2 4 3 3 2 2 4" xfId="15738" xr:uid="{B34D2870-C9DC-4010-B5E7-54B1C36B5010}"/>
    <cellStyle name="Normal 4 2 4 3 3 2 3" xfId="19961" xr:uid="{0C0586E5-E225-4206-909C-6BD603AF8E33}"/>
    <cellStyle name="Normal 4 2 4 3 3 2 4" xfId="28408" xr:uid="{C51840B6-1CC9-4C6D-98B7-BBD5720C589E}"/>
    <cellStyle name="Normal 4 2 4 3 3 2 5" xfId="11520" xr:uid="{B7B4E98B-9F2B-4B76-B5DC-7DC3162DC84C}"/>
    <cellStyle name="Normal 4 2 4 3 3 3" xfId="5151" xr:uid="{00000000-0005-0000-0000-000095130000}"/>
    <cellStyle name="Normal 4 2 4 3 3 3 2" xfId="22034" xr:uid="{9C17BFD0-DBF4-48D1-B7C1-D06BC6B3CCDE}"/>
    <cellStyle name="Normal 4 2 4 3 3 3 3" xfId="30480" xr:uid="{C96C3AF4-5D1F-4414-A906-EA85E122B91C}"/>
    <cellStyle name="Normal 4 2 4 3 3 3 4" xfId="13593" xr:uid="{EED5528C-B433-4217-9289-B93295B47462}"/>
    <cellStyle name="Normal 4 2 4 3 3 4" xfId="17816" xr:uid="{A2A4FD57-4993-4A99-BA2F-C195FDD7FA94}"/>
    <cellStyle name="Normal 4 2 4 3 3 5" xfId="26261" xr:uid="{54F2B388-93F0-405F-80FB-005E61A0C75C}"/>
    <cellStyle name="Normal 4 2 4 3 3 6" xfId="9375" xr:uid="{B00F83F6-4763-420F-AC31-7362CD57FA92}"/>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24592" xr:uid="{686E4528-A9FF-4914-A90E-1B6F983F02C9}"/>
    <cellStyle name="Normal 4 2 4 3 4 2 2 3" xfId="33038" xr:uid="{322C891D-0EC4-4384-8A20-9AF097628626}"/>
    <cellStyle name="Normal 4 2 4 3 4 2 2 4" xfId="16151" xr:uid="{6B628237-62D2-4150-BA82-AE6F5489A1E0}"/>
    <cellStyle name="Normal 4 2 4 3 4 2 3" xfId="20374" xr:uid="{C6479102-2DB8-4789-8EDD-A6A1D4B5C3DC}"/>
    <cellStyle name="Normal 4 2 4 3 4 2 4" xfId="28821" xr:uid="{10FAEAD6-6B63-43C8-B244-B91E478B220E}"/>
    <cellStyle name="Normal 4 2 4 3 4 2 5" xfId="11933" xr:uid="{C557FCB5-0AA3-4004-BCE5-411B3067045D}"/>
    <cellStyle name="Normal 4 2 4 3 4 3" xfId="5564" xr:uid="{00000000-0005-0000-0000-000099130000}"/>
    <cellStyle name="Normal 4 2 4 3 4 3 2" xfId="22447" xr:uid="{F014CAA1-DE3A-4425-A01E-D146C6D203D1}"/>
    <cellStyle name="Normal 4 2 4 3 4 3 3" xfId="30893" xr:uid="{C58F25FA-7E1C-4903-BCB1-48FAFD816A6B}"/>
    <cellStyle name="Normal 4 2 4 3 4 3 4" xfId="14006" xr:uid="{51883C97-36C3-44B3-86BA-997B9F00D70F}"/>
    <cellStyle name="Normal 4 2 4 3 4 4" xfId="18229" xr:uid="{CF4F6D7E-7284-498F-9602-E37724DE55BA}"/>
    <cellStyle name="Normal 4 2 4 3 4 5" xfId="26674" xr:uid="{FC00947C-F608-470B-8AB2-E728A54084A4}"/>
    <cellStyle name="Normal 4 2 4 3 4 6" xfId="9788" xr:uid="{E3276611-AE1D-456B-B8C6-03277E33CDCC}"/>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25005" xr:uid="{03AF10E5-2CAB-4DDF-BECA-5076BB4BD6C8}"/>
    <cellStyle name="Normal 4 2 4 3 5 2 2 3" xfId="33451" xr:uid="{93BE1092-1D5B-4649-B873-D2D916FEE88B}"/>
    <cellStyle name="Normal 4 2 4 3 5 2 2 4" xfId="16564" xr:uid="{3F16F3C3-4218-469C-AA6D-DBC95E918D4C}"/>
    <cellStyle name="Normal 4 2 4 3 5 2 3" xfId="20787" xr:uid="{BC77F55B-E125-4100-8A86-AA58D347E5BB}"/>
    <cellStyle name="Normal 4 2 4 3 5 2 4" xfId="29234" xr:uid="{F3517F3B-8958-4189-B510-F541674F2484}"/>
    <cellStyle name="Normal 4 2 4 3 5 2 5" xfId="12346" xr:uid="{20D96E00-1DCE-400F-A5AB-5A4038045524}"/>
    <cellStyle name="Normal 4 2 4 3 5 3" xfId="5977" xr:uid="{00000000-0005-0000-0000-00009D130000}"/>
    <cellStyle name="Normal 4 2 4 3 5 3 2" xfId="22860" xr:uid="{41BCBCC3-1D93-4FCD-A44E-EE7793FAFC58}"/>
    <cellStyle name="Normal 4 2 4 3 5 3 3" xfId="31306" xr:uid="{55C1BB90-C2F8-47D1-94C4-DEFA4A511A63}"/>
    <cellStyle name="Normal 4 2 4 3 5 3 4" xfId="14419" xr:uid="{2754FA63-E944-4900-B7EE-96ABFA997237}"/>
    <cellStyle name="Normal 4 2 4 3 5 4" xfId="18642" xr:uid="{CE41AB89-13EA-4524-9C0F-69C93106F93B}"/>
    <cellStyle name="Normal 4 2 4 3 5 5" xfId="27087" xr:uid="{9EA6E076-0C94-4B40-9899-93D178AD559C}"/>
    <cellStyle name="Normal 4 2 4 3 5 6" xfId="10201" xr:uid="{6EAE291D-D4E2-44C8-BD7A-E29DFECB8C3F}"/>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25418" xr:uid="{D053476D-7E17-477A-A092-46746110778B}"/>
    <cellStyle name="Normal 4 2 4 3 6 2 2 3" xfId="33864" xr:uid="{6D713FF8-9AAC-46DD-8FF6-4ED383DCC3F0}"/>
    <cellStyle name="Normal 4 2 4 3 6 2 2 4" xfId="16977" xr:uid="{B51B77DD-AD1B-45E5-82D3-5A6763BF9A86}"/>
    <cellStyle name="Normal 4 2 4 3 6 2 3" xfId="21200" xr:uid="{93A8A43E-D123-4955-8D5E-AE67C797B57C}"/>
    <cellStyle name="Normal 4 2 4 3 6 2 4" xfId="29647" xr:uid="{50623652-411D-4BB5-9F81-69BB28B56039}"/>
    <cellStyle name="Normal 4 2 4 3 6 2 5" xfId="12759" xr:uid="{B100B30F-DDD5-41BC-B388-7E235E00D36F}"/>
    <cellStyle name="Normal 4 2 4 3 6 3" xfId="6390" xr:uid="{00000000-0005-0000-0000-0000A1130000}"/>
    <cellStyle name="Normal 4 2 4 3 6 3 2" xfId="23273" xr:uid="{4E2D07EA-C517-42AB-8177-CA90BF91139B}"/>
    <cellStyle name="Normal 4 2 4 3 6 3 3" xfId="31719" xr:uid="{51C4886C-7E5C-4CAA-AE29-746C5AABF331}"/>
    <cellStyle name="Normal 4 2 4 3 6 3 4" xfId="14832" xr:uid="{2DC1B1EF-99AE-406F-AA17-68A5B4311761}"/>
    <cellStyle name="Normal 4 2 4 3 6 4" xfId="19055" xr:uid="{A7725425-4405-432D-AE13-BA6F8307F753}"/>
    <cellStyle name="Normal 4 2 4 3 6 5" xfId="27500" xr:uid="{D8A88B60-EB6D-43B2-BB8D-5127DE1BFBC2}"/>
    <cellStyle name="Normal 4 2 4 3 6 6" xfId="10614" xr:uid="{42962374-6782-4363-835C-CDB72C880159}"/>
    <cellStyle name="Normal 4 2 4 3 7" xfId="2519" xr:uid="{00000000-0005-0000-0000-0000A2130000}"/>
    <cellStyle name="Normal 4 2 4 3 7 2" xfId="6803" xr:uid="{00000000-0005-0000-0000-0000A3130000}"/>
    <cellStyle name="Normal 4 2 4 3 7 2 2" xfId="23686" xr:uid="{3DDFB48D-8D10-476E-AC8E-1E0F7874441D}"/>
    <cellStyle name="Normal 4 2 4 3 7 2 3" xfId="32132" xr:uid="{86C42F10-806B-44D4-B3EB-83195C4938C6}"/>
    <cellStyle name="Normal 4 2 4 3 7 2 4" xfId="15245" xr:uid="{8CA22613-5E92-4432-8938-708667D23A70}"/>
    <cellStyle name="Normal 4 2 4 3 7 3" xfId="19468" xr:uid="{EE322C61-A9D9-463C-810C-8CE126855442}"/>
    <cellStyle name="Normal 4 2 4 3 7 4" xfId="27913" xr:uid="{469F7AC9-BA73-4CB1-8A08-1FC856B38E4D}"/>
    <cellStyle name="Normal 4 2 4 3 7 5" xfId="11027" xr:uid="{75F74902-7912-4599-8C15-0B2AA3208880}"/>
    <cellStyle name="Normal 4 2 4 3 8" xfId="4738" xr:uid="{00000000-0005-0000-0000-0000A4130000}"/>
    <cellStyle name="Normal 4 2 4 3 8 2" xfId="21621" xr:uid="{4C203C38-5609-43FD-A28B-5225AFA036A6}"/>
    <cellStyle name="Normal 4 2 4 3 8 3" xfId="30067" xr:uid="{1E32EA24-DFE2-425C-8768-D2F3354F35C4}"/>
    <cellStyle name="Normal 4 2 4 3 8 4" xfId="13180" xr:uid="{6253FD78-F623-40F6-B7AB-1AD6136227A1}"/>
    <cellStyle name="Normal 4 2 4 3 9" xfId="17403" xr:uid="{9B8957F4-C79B-4378-95F4-A8305F4FFB7C}"/>
    <cellStyle name="Normal 4 2 4 4" xfId="362" xr:uid="{00000000-0005-0000-0000-0000A5130000}"/>
    <cellStyle name="Normal 4 2 4 4 10" xfId="8964" xr:uid="{7028A4C2-EA63-43C0-9559-7844569253CA}"/>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24181" xr:uid="{F3122B2E-A147-42A1-9D8A-E13768840747}"/>
    <cellStyle name="Normal 4 2 4 4 2 2 2 3" xfId="32627" xr:uid="{AF1C9EC3-5276-4E1F-84E3-F723A403F8E0}"/>
    <cellStyle name="Normal 4 2 4 4 2 2 2 4" xfId="15740" xr:uid="{70E47E7E-4B38-4149-9748-7B58C55FAB63}"/>
    <cellStyle name="Normal 4 2 4 4 2 2 3" xfId="19963" xr:uid="{310F2C22-8AB0-4BDE-A343-6D60E7895BB0}"/>
    <cellStyle name="Normal 4 2 4 4 2 2 4" xfId="28410" xr:uid="{BF6D1CA4-01C3-4986-8E9C-5E32B21CF973}"/>
    <cellStyle name="Normal 4 2 4 4 2 2 5" xfId="11522" xr:uid="{62724C3E-C5BC-4512-BFD2-4201DBA59FD2}"/>
    <cellStyle name="Normal 4 2 4 4 2 3" xfId="5153" xr:uid="{00000000-0005-0000-0000-0000A9130000}"/>
    <cellStyle name="Normal 4 2 4 4 2 3 2" xfId="22036" xr:uid="{90460CFB-6CF3-4FC7-9625-00B5794F10E2}"/>
    <cellStyle name="Normal 4 2 4 4 2 3 3" xfId="30482" xr:uid="{C851FD17-15F3-4EE8-A12E-67E4D422E0B6}"/>
    <cellStyle name="Normal 4 2 4 4 2 3 4" xfId="13595" xr:uid="{84226BB8-5824-45B6-BA20-7E5C392F9E40}"/>
    <cellStyle name="Normal 4 2 4 4 2 4" xfId="17818" xr:uid="{5A149D5C-74A2-4CA1-A2F2-C54D7DDDF46D}"/>
    <cellStyle name="Normal 4 2 4 4 2 5" xfId="26263" xr:uid="{8DFE0279-7B9E-42D9-892A-47B19CF65BD9}"/>
    <cellStyle name="Normal 4 2 4 4 2 6" xfId="9377" xr:uid="{708CEE43-8ED1-47C0-8CB9-63C78D208A9A}"/>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24594" xr:uid="{EBC2E844-0C7D-42F6-BA63-F3574565AD16}"/>
    <cellStyle name="Normal 4 2 4 4 3 2 2 3" xfId="33040" xr:uid="{0CBDBF03-EE3B-4E1F-B41B-B5CD37F96FEA}"/>
    <cellStyle name="Normal 4 2 4 4 3 2 2 4" xfId="16153" xr:uid="{38A3F189-0E1C-46D8-816E-AF8F19FCCD46}"/>
    <cellStyle name="Normal 4 2 4 4 3 2 3" xfId="20376" xr:uid="{2707DFF6-68DE-4407-8A2A-1CF3B33AE45D}"/>
    <cellStyle name="Normal 4 2 4 4 3 2 4" xfId="28823" xr:uid="{0BAFB7F2-0112-42CB-A60B-D8C90C59958E}"/>
    <cellStyle name="Normal 4 2 4 4 3 2 5" xfId="11935" xr:uid="{75A5657E-6154-4B4D-A7C5-7C2A2B8E7979}"/>
    <cellStyle name="Normal 4 2 4 4 3 3" xfId="5566" xr:uid="{00000000-0005-0000-0000-0000AD130000}"/>
    <cellStyle name="Normal 4 2 4 4 3 3 2" xfId="22449" xr:uid="{C8AE1C96-0356-4F21-B80A-5208BF03A449}"/>
    <cellStyle name="Normal 4 2 4 4 3 3 3" xfId="30895" xr:uid="{7F497487-4173-418A-AC48-5DF222F28089}"/>
    <cellStyle name="Normal 4 2 4 4 3 3 4" xfId="14008" xr:uid="{659C26B8-4965-45C2-A59F-34C4C2148FC2}"/>
    <cellStyle name="Normal 4 2 4 4 3 4" xfId="18231" xr:uid="{DE0F9CAE-4229-4851-865D-8CFA11E76B84}"/>
    <cellStyle name="Normal 4 2 4 4 3 5" xfId="26676" xr:uid="{26F57F3A-81D6-4A5E-935F-E0126038607F}"/>
    <cellStyle name="Normal 4 2 4 4 3 6" xfId="9790" xr:uid="{5D9768E5-511C-49F5-BB0D-27B8DA6BE3DA}"/>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25007" xr:uid="{A82C313A-E580-4F7A-93FE-8864B022A8A6}"/>
    <cellStyle name="Normal 4 2 4 4 4 2 2 3" xfId="33453" xr:uid="{FDB2B82B-E947-4358-820A-8C9F30EA4ABB}"/>
    <cellStyle name="Normal 4 2 4 4 4 2 2 4" xfId="16566" xr:uid="{B5F93EB0-B128-439C-9387-957B60361176}"/>
    <cellStyle name="Normal 4 2 4 4 4 2 3" xfId="20789" xr:uid="{EAE39531-010B-4067-9E10-5DA55A304040}"/>
    <cellStyle name="Normal 4 2 4 4 4 2 4" xfId="29236" xr:uid="{ADE9BCCC-6008-443B-BF7F-A8617DF777F2}"/>
    <cellStyle name="Normal 4 2 4 4 4 2 5" xfId="12348" xr:uid="{144096A9-1138-4AD0-968B-21FC3A1A44D6}"/>
    <cellStyle name="Normal 4 2 4 4 4 3" xfId="5979" xr:uid="{00000000-0005-0000-0000-0000B1130000}"/>
    <cellStyle name="Normal 4 2 4 4 4 3 2" xfId="22862" xr:uid="{3A6BBF66-C384-4D8C-896D-4FFAFA1B9F3F}"/>
    <cellStyle name="Normal 4 2 4 4 4 3 3" xfId="31308" xr:uid="{1FBFDFDE-1A1A-460F-9758-6C4B272B451F}"/>
    <cellStyle name="Normal 4 2 4 4 4 3 4" xfId="14421" xr:uid="{AC4C679E-71C7-4EDA-AD55-B53C49F1B77E}"/>
    <cellStyle name="Normal 4 2 4 4 4 4" xfId="18644" xr:uid="{3E255BD4-FB62-494C-9528-5C52D8096EBE}"/>
    <cellStyle name="Normal 4 2 4 4 4 5" xfId="27089" xr:uid="{E74BBD13-1CD8-4778-8ACE-D47B5E84F2B2}"/>
    <cellStyle name="Normal 4 2 4 4 4 6" xfId="10203" xr:uid="{8DBB41B2-39EC-4FE8-A97E-4D6469216D59}"/>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25420" xr:uid="{AA4A1088-13DA-4D2C-8B82-AFE55FA74414}"/>
    <cellStyle name="Normal 4 2 4 4 5 2 2 3" xfId="33866" xr:uid="{4B758797-07DE-481C-B697-CE7309E1253C}"/>
    <cellStyle name="Normal 4 2 4 4 5 2 2 4" xfId="16979" xr:uid="{3A3D3845-8583-49D7-B984-9B0E11479A82}"/>
    <cellStyle name="Normal 4 2 4 4 5 2 3" xfId="21202" xr:uid="{660C3677-7ADA-4F69-B03B-186A24AE16F8}"/>
    <cellStyle name="Normal 4 2 4 4 5 2 4" xfId="29649" xr:uid="{6AAFC924-E89F-4FD8-B531-339BC6224073}"/>
    <cellStyle name="Normal 4 2 4 4 5 2 5" xfId="12761" xr:uid="{D0B97CC4-896E-4F7D-B601-C90EC08C5970}"/>
    <cellStyle name="Normal 4 2 4 4 5 3" xfId="6392" xr:uid="{00000000-0005-0000-0000-0000B5130000}"/>
    <cellStyle name="Normal 4 2 4 4 5 3 2" xfId="23275" xr:uid="{7A1099E3-5957-4C13-BB9B-B65115153FAE}"/>
    <cellStyle name="Normal 4 2 4 4 5 3 3" xfId="31721" xr:uid="{DFC712A4-92E5-4F99-BDD0-A797E67876A0}"/>
    <cellStyle name="Normal 4 2 4 4 5 3 4" xfId="14834" xr:uid="{B8151D77-C5C6-4C57-85C2-8F4258FD63B0}"/>
    <cellStyle name="Normal 4 2 4 4 5 4" xfId="19057" xr:uid="{3DE03B6D-8C57-4CC5-8A3F-CB3099B813BD}"/>
    <cellStyle name="Normal 4 2 4 4 5 5" xfId="27502" xr:uid="{0A0E9240-0116-4879-B4C2-2C2AD64CD55A}"/>
    <cellStyle name="Normal 4 2 4 4 5 6" xfId="10616" xr:uid="{BAF81535-9DFA-4F90-8BDF-4157C2C3260F}"/>
    <cellStyle name="Normal 4 2 4 4 6" xfId="2521" xr:uid="{00000000-0005-0000-0000-0000B6130000}"/>
    <cellStyle name="Normal 4 2 4 4 6 2" xfId="6805" xr:uid="{00000000-0005-0000-0000-0000B7130000}"/>
    <cellStyle name="Normal 4 2 4 4 6 2 2" xfId="23688" xr:uid="{1F6DC8E2-0C81-41EE-A721-7DC9EF340DEC}"/>
    <cellStyle name="Normal 4 2 4 4 6 2 3" xfId="32134" xr:uid="{593B8B3C-C6F5-4745-B36C-C087E23FE2A0}"/>
    <cellStyle name="Normal 4 2 4 4 6 2 4" xfId="15247" xr:uid="{0BCDA702-2F21-47E6-92AD-CF945F8C90EA}"/>
    <cellStyle name="Normal 4 2 4 4 6 3" xfId="19470" xr:uid="{C4E6E6D0-6368-45EB-8B77-82D66DBD96EB}"/>
    <cellStyle name="Normal 4 2 4 4 6 4" xfId="27915" xr:uid="{96DDAC8D-7AE9-4E65-A868-8858DB896880}"/>
    <cellStyle name="Normal 4 2 4 4 6 5" xfId="11029" xr:uid="{B80377C6-6FBF-47A5-9AD1-834FA57E6F5C}"/>
    <cellStyle name="Normal 4 2 4 4 7" xfId="4740" xr:uid="{00000000-0005-0000-0000-0000B8130000}"/>
    <cellStyle name="Normal 4 2 4 4 7 2" xfId="21623" xr:uid="{DAFB2F73-9085-4AF9-AB57-44CEA1BE4A08}"/>
    <cellStyle name="Normal 4 2 4 4 7 3" xfId="30069" xr:uid="{FAE61739-2978-4139-8886-8D8D3F614575}"/>
    <cellStyle name="Normal 4 2 4 4 7 4" xfId="13182" xr:uid="{4D7A4A3D-0397-4098-BD94-29A731AFEF8E}"/>
    <cellStyle name="Normal 4 2 4 4 8" xfId="17405" xr:uid="{88DB96C1-39B9-4E88-9BAF-42A6CBEA18B0}"/>
    <cellStyle name="Normal 4 2 4 4 9" xfId="25849" xr:uid="{AB0EC30E-25CA-4642-B68F-DD20FE8583A5}"/>
    <cellStyle name="Normal 4 2 4 5" xfId="831" xr:uid="{00000000-0005-0000-0000-0000B9130000}"/>
    <cellStyle name="Normal 4 2 4 5 2" xfId="3068" xr:uid="{00000000-0005-0000-0000-0000BA130000}"/>
    <cellStyle name="Normal 4 2 4 5 2 2" xfId="7291" xr:uid="{00000000-0005-0000-0000-0000BB130000}"/>
    <cellStyle name="Normal 4 2 4 5 2 2 2" xfId="24174" xr:uid="{6AD85147-DCC2-4707-8A6F-EACD7E939F3C}"/>
    <cellStyle name="Normal 4 2 4 5 2 2 3" xfId="32620" xr:uid="{C8633906-18A9-4610-A9B6-2500479A8B5E}"/>
    <cellStyle name="Normal 4 2 4 5 2 2 4" xfId="15733" xr:uid="{66C41FB8-AAAB-458C-AE6E-D2E95082FD3C}"/>
    <cellStyle name="Normal 4 2 4 5 2 3" xfId="19956" xr:uid="{F99B2DE9-EB97-43F2-99B7-04CDC673ED63}"/>
    <cellStyle name="Normal 4 2 4 5 2 4" xfId="28403" xr:uid="{86F7450F-AF74-452E-BF9B-5D7A42DECEA4}"/>
    <cellStyle name="Normal 4 2 4 5 2 5" xfId="11515" xr:uid="{B7C8A6C4-EFC2-4298-9A0B-C307AD25A447}"/>
    <cellStyle name="Normal 4 2 4 5 3" xfId="5146" xr:uid="{00000000-0005-0000-0000-0000BC130000}"/>
    <cellStyle name="Normal 4 2 4 5 3 2" xfId="22029" xr:uid="{AC7C0AFE-3FD0-45CB-AAA8-6655F850F4FB}"/>
    <cellStyle name="Normal 4 2 4 5 3 3" xfId="30475" xr:uid="{AECDAFAF-1943-409D-9348-34E6BE9684FB}"/>
    <cellStyle name="Normal 4 2 4 5 3 4" xfId="13588" xr:uid="{8D7AB046-F29B-4C07-9554-0FBA1A6F323A}"/>
    <cellStyle name="Normal 4 2 4 5 4" xfId="17811" xr:uid="{FB76AA2E-2919-41C2-8EC6-81C0685E959A}"/>
    <cellStyle name="Normal 4 2 4 5 5" xfId="26256" xr:uid="{8761BCEA-E00D-41F0-B2BA-A364733CDCFA}"/>
    <cellStyle name="Normal 4 2 4 5 6" xfId="9370" xr:uid="{BDD525D3-1505-440D-9930-AB72D716569E}"/>
    <cellStyle name="Normal 4 2 4 6" xfId="1251" xr:uid="{00000000-0005-0000-0000-0000BD130000}"/>
    <cellStyle name="Normal 4 2 4 6 2" xfId="3481" xr:uid="{00000000-0005-0000-0000-0000BE130000}"/>
    <cellStyle name="Normal 4 2 4 6 2 2" xfId="7704" xr:uid="{00000000-0005-0000-0000-0000BF130000}"/>
    <cellStyle name="Normal 4 2 4 6 2 2 2" xfId="24587" xr:uid="{B5D91849-4A7D-4C1F-86D7-411918478A30}"/>
    <cellStyle name="Normal 4 2 4 6 2 2 3" xfId="33033" xr:uid="{3B5CD283-4AB4-4B65-AEC5-839E0BFA9542}"/>
    <cellStyle name="Normal 4 2 4 6 2 2 4" xfId="16146" xr:uid="{202E4A2C-AE72-4B99-B4A3-BDF0A5E62493}"/>
    <cellStyle name="Normal 4 2 4 6 2 3" xfId="20369" xr:uid="{A36038F4-4C89-419C-B578-7C21988CB9BF}"/>
    <cellStyle name="Normal 4 2 4 6 2 4" xfId="28816" xr:uid="{F0F2B576-685E-4379-81F1-53B6817A589E}"/>
    <cellStyle name="Normal 4 2 4 6 2 5" xfId="11928" xr:uid="{3E3627D4-B7E7-4FDD-B64A-88150071E4C4}"/>
    <cellStyle name="Normal 4 2 4 6 3" xfId="5559" xr:uid="{00000000-0005-0000-0000-0000C0130000}"/>
    <cellStyle name="Normal 4 2 4 6 3 2" xfId="22442" xr:uid="{5DC97E54-F9A7-4969-A2A0-9AC74D52C865}"/>
    <cellStyle name="Normal 4 2 4 6 3 3" xfId="30888" xr:uid="{991B0186-DDD7-4127-9DEA-427C947E35DA}"/>
    <cellStyle name="Normal 4 2 4 6 3 4" xfId="14001" xr:uid="{B08A1ADA-BF95-4553-954C-FABAA81F746C}"/>
    <cellStyle name="Normal 4 2 4 6 4" xfId="18224" xr:uid="{8C1488B0-98B2-427E-8834-A3EADB47DCC3}"/>
    <cellStyle name="Normal 4 2 4 6 5" xfId="26669" xr:uid="{2AD9B538-1337-4C34-B6DB-D66B4DD26799}"/>
    <cellStyle name="Normal 4 2 4 6 6" xfId="9783" xr:uid="{3A3F95D8-83A9-4DB4-8A68-53E1282F2882}"/>
    <cellStyle name="Normal 4 2 4 7" xfId="1664" xr:uid="{00000000-0005-0000-0000-0000C1130000}"/>
    <cellStyle name="Normal 4 2 4 7 2" xfId="3894" xr:uid="{00000000-0005-0000-0000-0000C2130000}"/>
    <cellStyle name="Normal 4 2 4 7 2 2" xfId="8117" xr:uid="{00000000-0005-0000-0000-0000C3130000}"/>
    <cellStyle name="Normal 4 2 4 7 2 2 2" xfId="25000" xr:uid="{C943B23E-FFBE-4212-9EBA-7C5D1ED1C9DE}"/>
    <cellStyle name="Normal 4 2 4 7 2 2 3" xfId="33446" xr:uid="{81EED659-FED9-471C-B1AB-57A24293FD28}"/>
    <cellStyle name="Normal 4 2 4 7 2 2 4" xfId="16559" xr:uid="{74C2524E-637A-4A45-9172-DF77CABE6317}"/>
    <cellStyle name="Normal 4 2 4 7 2 3" xfId="20782" xr:uid="{16ABE68A-76BE-419A-A43A-FE673B677B3E}"/>
    <cellStyle name="Normal 4 2 4 7 2 4" xfId="29229" xr:uid="{2084BBD5-5183-4DFF-AFDA-83A7F43557CE}"/>
    <cellStyle name="Normal 4 2 4 7 2 5" xfId="12341" xr:uid="{134C860A-A999-4395-B2FF-D75A13C6517C}"/>
    <cellStyle name="Normal 4 2 4 7 3" xfId="5972" xr:uid="{00000000-0005-0000-0000-0000C4130000}"/>
    <cellStyle name="Normal 4 2 4 7 3 2" xfId="22855" xr:uid="{3D0AC31F-942F-4E61-BFAA-CBD3C4D1E723}"/>
    <cellStyle name="Normal 4 2 4 7 3 3" xfId="31301" xr:uid="{834D4122-D437-4092-96E0-F19F362F835C}"/>
    <cellStyle name="Normal 4 2 4 7 3 4" xfId="14414" xr:uid="{0D431862-69B6-43A8-B28F-3ADFCCBA7058}"/>
    <cellStyle name="Normal 4 2 4 7 4" xfId="18637" xr:uid="{836748BE-61F1-46EA-972A-7A03118C08D4}"/>
    <cellStyle name="Normal 4 2 4 7 5" xfId="27082" xr:uid="{3BBCD34D-36DF-433A-8CEA-082CCE215A94}"/>
    <cellStyle name="Normal 4 2 4 7 6" xfId="10196" xr:uid="{60405E72-7B44-433D-8725-C1F4C0BB345D}"/>
    <cellStyle name="Normal 4 2 4 8" xfId="2078" xr:uid="{00000000-0005-0000-0000-0000C5130000}"/>
    <cellStyle name="Normal 4 2 4 8 2" xfId="4307" xr:uid="{00000000-0005-0000-0000-0000C6130000}"/>
    <cellStyle name="Normal 4 2 4 8 2 2" xfId="8530" xr:uid="{00000000-0005-0000-0000-0000C7130000}"/>
    <cellStyle name="Normal 4 2 4 8 2 2 2" xfId="25413" xr:uid="{64E5ED8C-A5C1-4B8A-9C62-ECF90E7DFD11}"/>
    <cellStyle name="Normal 4 2 4 8 2 2 3" xfId="33859" xr:uid="{E632AE1F-E811-4CE6-AD2E-AAE7998C1FAF}"/>
    <cellStyle name="Normal 4 2 4 8 2 2 4" xfId="16972" xr:uid="{8CDF6401-BC0D-4338-B5E5-D70DC37CEA61}"/>
    <cellStyle name="Normal 4 2 4 8 2 3" xfId="21195" xr:uid="{B6F6BA5B-0020-433D-A13D-3C22147B4190}"/>
    <cellStyle name="Normal 4 2 4 8 2 4" xfId="29642" xr:uid="{E7E46C26-050D-41B8-B555-5CA2BA205A9C}"/>
    <cellStyle name="Normal 4 2 4 8 2 5" xfId="12754" xr:uid="{1A4AEA24-4EC4-462C-8E7E-B956F3C2C3C8}"/>
    <cellStyle name="Normal 4 2 4 8 3" xfId="6385" xr:uid="{00000000-0005-0000-0000-0000C8130000}"/>
    <cellStyle name="Normal 4 2 4 8 3 2" xfId="23268" xr:uid="{864D5285-D0CD-4789-93FE-FF7EEBD027F3}"/>
    <cellStyle name="Normal 4 2 4 8 3 3" xfId="31714" xr:uid="{652BBB7A-FCF2-43CB-96B5-F315B50CF266}"/>
    <cellStyle name="Normal 4 2 4 8 3 4" xfId="14827" xr:uid="{989006C3-9999-4092-AF30-FDF8986BBD88}"/>
    <cellStyle name="Normal 4 2 4 8 4" xfId="19050" xr:uid="{2A30B80C-9D9C-43BA-BF53-9E2CAEDB8405}"/>
    <cellStyle name="Normal 4 2 4 8 5" xfId="27495" xr:uid="{04ECE6B9-DB9D-4F67-ADA0-E11E6756D9BA}"/>
    <cellStyle name="Normal 4 2 4 8 6" xfId="10609" xr:uid="{0FBC34BB-ED9D-47E6-9A17-A64974F3CC21}"/>
    <cellStyle name="Normal 4 2 4 9" xfId="2514" xr:uid="{00000000-0005-0000-0000-0000C9130000}"/>
    <cellStyle name="Normal 4 2 4 9 2" xfId="6798" xr:uid="{00000000-0005-0000-0000-0000CA130000}"/>
    <cellStyle name="Normal 4 2 4 9 2 2" xfId="23681" xr:uid="{5002A923-5DCE-4A32-BCB4-FD73FA843466}"/>
    <cellStyle name="Normal 4 2 4 9 2 3" xfId="32127" xr:uid="{4138950F-BA2C-49DE-B3BB-F7D919CCB536}"/>
    <cellStyle name="Normal 4 2 4 9 2 4" xfId="15240" xr:uid="{5456839B-0CDC-4A74-AA17-886944E49EC2}"/>
    <cellStyle name="Normal 4 2 4 9 3" xfId="19463" xr:uid="{95A6A310-4807-422C-876D-4C59B5E44E6E}"/>
    <cellStyle name="Normal 4 2 4 9 4" xfId="27908" xr:uid="{9BD4067F-067C-41AA-89DB-4AC446895C3C}"/>
    <cellStyle name="Normal 4 2 4 9 5" xfId="11022" xr:uid="{9D67A512-67F6-4C6B-8C8E-23125E9C0975}"/>
    <cellStyle name="Normal 4 2 5" xfId="363" xr:uid="{00000000-0005-0000-0000-0000CB130000}"/>
    <cellStyle name="Normal 4 2 5 10" xfId="25850" xr:uid="{D10E8CFC-9E8F-43AD-BE89-564228F00333}"/>
    <cellStyle name="Normal 4 2 5 11" xfId="8965" xr:uid="{E1F43892-9AFC-4A97-BE18-5E3E3FDED8EC}"/>
    <cellStyle name="Normal 4 2 5 2" xfId="364" xr:uid="{00000000-0005-0000-0000-0000CC130000}"/>
    <cellStyle name="Normal 4 2 5 2 10" xfId="8966" xr:uid="{FE819095-7E9A-491E-9AA8-B064E1DDEB29}"/>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24183" xr:uid="{18F228B4-CB98-443C-AABC-8430E0B37984}"/>
    <cellStyle name="Normal 4 2 5 2 2 2 2 3" xfId="32629" xr:uid="{1055AB98-053D-4554-982D-AD26EB3428A0}"/>
    <cellStyle name="Normal 4 2 5 2 2 2 2 4" xfId="15742" xr:uid="{09D79436-2F9B-49AC-AA59-33649C0AEC30}"/>
    <cellStyle name="Normal 4 2 5 2 2 2 3" xfId="19965" xr:uid="{ACC8B78A-1BF3-4B1E-925B-700F1C5F1C12}"/>
    <cellStyle name="Normal 4 2 5 2 2 2 4" xfId="28412" xr:uid="{E80BBBC7-7D51-4929-944B-46B0E83D7609}"/>
    <cellStyle name="Normal 4 2 5 2 2 2 5" xfId="11524" xr:uid="{075A22F9-8685-4479-9DBD-DF5916955BB5}"/>
    <cellStyle name="Normal 4 2 5 2 2 3" xfId="5155" xr:uid="{00000000-0005-0000-0000-0000D0130000}"/>
    <cellStyle name="Normal 4 2 5 2 2 3 2" xfId="22038" xr:uid="{5B6BFB62-DADC-4199-91D3-AE5CA3FA253B}"/>
    <cellStyle name="Normal 4 2 5 2 2 3 3" xfId="30484" xr:uid="{527351A8-02B5-48D5-A3CC-3D9958191C4F}"/>
    <cellStyle name="Normal 4 2 5 2 2 3 4" xfId="13597" xr:uid="{E51084DA-A3A8-41FE-9145-A18FE3CF0A99}"/>
    <cellStyle name="Normal 4 2 5 2 2 4" xfId="17820" xr:uid="{06632E1A-B8C9-4068-9033-E00AA159004A}"/>
    <cellStyle name="Normal 4 2 5 2 2 5" xfId="26265" xr:uid="{FA0D2C8E-1982-4507-A91F-84384D3DDAE7}"/>
    <cellStyle name="Normal 4 2 5 2 2 6" xfId="9379" xr:uid="{18C1EDB9-A850-47EA-BC01-9362B1EBAFAA}"/>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24596" xr:uid="{D0D0CB3C-29C8-4697-A627-5A5AB09083A5}"/>
    <cellStyle name="Normal 4 2 5 2 3 2 2 3" xfId="33042" xr:uid="{E98D2FEC-784E-44A9-8E01-ACB524FD8FBE}"/>
    <cellStyle name="Normal 4 2 5 2 3 2 2 4" xfId="16155" xr:uid="{33F6FCE5-3AC0-4382-8A74-CEA87CD91401}"/>
    <cellStyle name="Normal 4 2 5 2 3 2 3" xfId="20378" xr:uid="{7A6149AA-CA50-4CC6-AF78-A06B892870F2}"/>
    <cellStyle name="Normal 4 2 5 2 3 2 4" xfId="28825" xr:uid="{E4EE1D4F-E152-40C4-AA18-A2A75090CFFF}"/>
    <cellStyle name="Normal 4 2 5 2 3 2 5" xfId="11937" xr:uid="{BEAF9141-A0C5-421E-A887-C9990D365809}"/>
    <cellStyle name="Normal 4 2 5 2 3 3" xfId="5568" xr:uid="{00000000-0005-0000-0000-0000D4130000}"/>
    <cellStyle name="Normal 4 2 5 2 3 3 2" xfId="22451" xr:uid="{C44AF3F2-5A07-427A-90BD-60484C0A4204}"/>
    <cellStyle name="Normal 4 2 5 2 3 3 3" xfId="30897" xr:uid="{0BA22F2F-B723-47C1-9525-6CA1FF5EE0C1}"/>
    <cellStyle name="Normal 4 2 5 2 3 3 4" xfId="14010" xr:uid="{4FD25E8C-91DA-4FE2-9D88-972DF2263771}"/>
    <cellStyle name="Normal 4 2 5 2 3 4" xfId="18233" xr:uid="{2027ABDB-E5D2-4252-A04C-BE5A4A6B91F8}"/>
    <cellStyle name="Normal 4 2 5 2 3 5" xfId="26678" xr:uid="{0DD947EF-01F0-478E-B92A-958FE0A70801}"/>
    <cellStyle name="Normal 4 2 5 2 3 6" xfId="9792" xr:uid="{F66AFC51-F373-4EFD-9254-067AFE258943}"/>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25009" xr:uid="{E7E912D4-63FF-41F0-8397-46F2925A8ED6}"/>
    <cellStyle name="Normal 4 2 5 2 4 2 2 3" xfId="33455" xr:uid="{B167AB0A-EF17-435E-8CE8-ACD4BE9C1DBE}"/>
    <cellStyle name="Normal 4 2 5 2 4 2 2 4" xfId="16568" xr:uid="{AFEE0153-D74A-4215-BB6E-1D1606C7398F}"/>
    <cellStyle name="Normal 4 2 5 2 4 2 3" xfId="20791" xr:uid="{6A5FB0E2-BBD5-4FAC-997F-4D924227BD66}"/>
    <cellStyle name="Normal 4 2 5 2 4 2 4" xfId="29238" xr:uid="{464D87E5-7625-44ED-B190-7B7254195D8B}"/>
    <cellStyle name="Normal 4 2 5 2 4 2 5" xfId="12350" xr:uid="{98A12F09-20A0-4158-888D-EE158A4AC840}"/>
    <cellStyle name="Normal 4 2 5 2 4 3" xfId="5981" xr:uid="{00000000-0005-0000-0000-0000D8130000}"/>
    <cellStyle name="Normal 4 2 5 2 4 3 2" xfId="22864" xr:uid="{66A7D30B-C35C-43CA-AF51-CE079235E0BD}"/>
    <cellStyle name="Normal 4 2 5 2 4 3 3" xfId="31310" xr:uid="{6A7C3F45-9B27-49EB-86F0-16BD3702CEC9}"/>
    <cellStyle name="Normal 4 2 5 2 4 3 4" xfId="14423" xr:uid="{DEE8AE3E-BC77-49BD-BA54-1BFDC25CFB6F}"/>
    <cellStyle name="Normal 4 2 5 2 4 4" xfId="18646" xr:uid="{0B232347-0037-4F44-AAC7-3F3CC6027F23}"/>
    <cellStyle name="Normal 4 2 5 2 4 5" xfId="27091" xr:uid="{C1C18E28-AA26-409F-8FB6-DF559B06B591}"/>
    <cellStyle name="Normal 4 2 5 2 4 6" xfId="10205" xr:uid="{91A8C8EC-986A-4E2F-B4A4-76CAE9D32CC2}"/>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25422" xr:uid="{69675C77-0632-4164-835F-82479A7AC8FE}"/>
    <cellStyle name="Normal 4 2 5 2 5 2 2 3" xfId="33868" xr:uid="{2BDB1210-45CA-4094-ACEE-E7DA6A1EE9E1}"/>
    <cellStyle name="Normal 4 2 5 2 5 2 2 4" xfId="16981" xr:uid="{1E499CB5-9BD2-4119-9187-5F4F35F852BF}"/>
    <cellStyle name="Normal 4 2 5 2 5 2 3" xfId="21204" xr:uid="{AE257C9F-2B2A-4E59-8F23-43B2AA781D23}"/>
    <cellStyle name="Normal 4 2 5 2 5 2 4" xfId="29651" xr:uid="{E279F9F6-B479-4898-80F9-5042BD474883}"/>
    <cellStyle name="Normal 4 2 5 2 5 2 5" xfId="12763" xr:uid="{83921452-9F21-421B-87BD-74B708CDA66E}"/>
    <cellStyle name="Normal 4 2 5 2 5 3" xfId="6394" xr:uid="{00000000-0005-0000-0000-0000DC130000}"/>
    <cellStyle name="Normal 4 2 5 2 5 3 2" xfId="23277" xr:uid="{4A85268D-BD60-4CC2-AA45-F40F0FB93E9D}"/>
    <cellStyle name="Normal 4 2 5 2 5 3 3" xfId="31723" xr:uid="{F2382BFF-64C9-4AE7-8491-713127FA474B}"/>
    <cellStyle name="Normal 4 2 5 2 5 3 4" xfId="14836" xr:uid="{85A5352B-8FAC-4BB3-9F37-66BFC53315A4}"/>
    <cellStyle name="Normal 4 2 5 2 5 4" xfId="19059" xr:uid="{DD637DD9-E298-4858-8170-08AAF66CD833}"/>
    <cellStyle name="Normal 4 2 5 2 5 5" xfId="27504" xr:uid="{B9B6B9DE-40A6-45C6-96BD-0506603431E9}"/>
    <cellStyle name="Normal 4 2 5 2 5 6" xfId="10618" xr:uid="{856C88F1-0983-49E0-9F97-D7D64E6027DE}"/>
    <cellStyle name="Normal 4 2 5 2 6" xfId="2523" xr:uid="{00000000-0005-0000-0000-0000DD130000}"/>
    <cellStyle name="Normal 4 2 5 2 6 2" xfId="6807" xr:uid="{00000000-0005-0000-0000-0000DE130000}"/>
    <cellStyle name="Normal 4 2 5 2 6 2 2" xfId="23690" xr:uid="{E6F51866-30C8-4322-B6AD-93976050A15B}"/>
    <cellStyle name="Normal 4 2 5 2 6 2 3" xfId="32136" xr:uid="{98E3B74A-0182-4D85-A0A6-0E7A6499CE90}"/>
    <cellStyle name="Normal 4 2 5 2 6 2 4" xfId="15249" xr:uid="{F93AF458-0054-4F8F-9989-73CA7DD6BAC2}"/>
    <cellStyle name="Normal 4 2 5 2 6 3" xfId="19472" xr:uid="{3F39FABA-E0B0-4801-877D-4B6C12881A74}"/>
    <cellStyle name="Normal 4 2 5 2 6 4" xfId="27917" xr:uid="{4EDB25C6-4604-4E61-81F3-940CF53EB6DA}"/>
    <cellStyle name="Normal 4 2 5 2 6 5" xfId="11031" xr:uid="{09C7C77F-FC92-4D69-A3BE-BCF832C4A626}"/>
    <cellStyle name="Normal 4 2 5 2 7" xfId="4742" xr:uid="{00000000-0005-0000-0000-0000DF130000}"/>
    <cellStyle name="Normal 4 2 5 2 7 2" xfId="21625" xr:uid="{396756F6-C9E6-4B7C-80A5-7DC08B156827}"/>
    <cellStyle name="Normal 4 2 5 2 7 3" xfId="30071" xr:uid="{3D79EC6E-EF62-4A0D-B1A6-A0772708BA49}"/>
    <cellStyle name="Normal 4 2 5 2 7 4" xfId="13184" xr:uid="{98BEDA96-34A1-4734-A0A5-1F1209F2A840}"/>
    <cellStyle name="Normal 4 2 5 2 8" xfId="17407" xr:uid="{B17BAE1C-18F9-4B3F-9B76-5358101D4FB9}"/>
    <cellStyle name="Normal 4 2 5 2 9" xfId="25851" xr:uid="{4F4C21CC-A28E-4B7B-B7F2-C911169B3E9F}"/>
    <cellStyle name="Normal 4 2 5 3" xfId="839" xr:uid="{00000000-0005-0000-0000-0000E0130000}"/>
    <cellStyle name="Normal 4 2 5 3 2" xfId="3076" xr:uid="{00000000-0005-0000-0000-0000E1130000}"/>
    <cellStyle name="Normal 4 2 5 3 2 2" xfId="7299" xr:uid="{00000000-0005-0000-0000-0000E2130000}"/>
    <cellStyle name="Normal 4 2 5 3 2 2 2" xfId="24182" xr:uid="{A3FA0EF9-83FB-435E-909F-34E64AD24632}"/>
    <cellStyle name="Normal 4 2 5 3 2 2 3" xfId="32628" xr:uid="{22789799-44BE-436F-9A2F-4564C4A52193}"/>
    <cellStyle name="Normal 4 2 5 3 2 2 4" xfId="15741" xr:uid="{9D967606-6E28-4134-BF11-8CEA16B87FC1}"/>
    <cellStyle name="Normal 4 2 5 3 2 3" xfId="19964" xr:uid="{3A059276-F07E-471C-BDC7-4C96DD07F1C0}"/>
    <cellStyle name="Normal 4 2 5 3 2 4" xfId="28411" xr:uid="{3D4594D9-9706-4E26-8AE5-FEF36AA2BC4C}"/>
    <cellStyle name="Normal 4 2 5 3 2 5" xfId="11523" xr:uid="{083B06F3-E835-4060-9B9E-A0DDE42D7C8D}"/>
    <cellStyle name="Normal 4 2 5 3 3" xfId="5154" xr:uid="{00000000-0005-0000-0000-0000E3130000}"/>
    <cellStyle name="Normal 4 2 5 3 3 2" xfId="22037" xr:uid="{3D5DA1B8-DEDF-42FF-9302-302A60C3B5F2}"/>
    <cellStyle name="Normal 4 2 5 3 3 3" xfId="30483" xr:uid="{38AE634A-027C-4B3C-AEF8-B3B8D76AA251}"/>
    <cellStyle name="Normal 4 2 5 3 3 4" xfId="13596" xr:uid="{EC6C5917-6007-4F18-94CE-6CE51C66530B}"/>
    <cellStyle name="Normal 4 2 5 3 4" xfId="17819" xr:uid="{217A5078-170C-45E1-94AB-9C974A2780D6}"/>
    <cellStyle name="Normal 4 2 5 3 5" xfId="26264" xr:uid="{0768B98E-15F6-4C53-BCE7-35D8AADCD3C4}"/>
    <cellStyle name="Normal 4 2 5 3 6" xfId="9378" xr:uid="{E1BBD5DA-EFB9-466E-AB10-03C1CD10721F}"/>
    <cellStyle name="Normal 4 2 5 4" xfId="1259" xr:uid="{00000000-0005-0000-0000-0000E4130000}"/>
    <cellStyle name="Normal 4 2 5 4 2" xfId="3489" xr:uid="{00000000-0005-0000-0000-0000E5130000}"/>
    <cellStyle name="Normal 4 2 5 4 2 2" xfId="7712" xr:uid="{00000000-0005-0000-0000-0000E6130000}"/>
    <cellStyle name="Normal 4 2 5 4 2 2 2" xfId="24595" xr:uid="{5302EC3B-73C1-49EC-A623-9BD5B9CF484D}"/>
    <cellStyle name="Normal 4 2 5 4 2 2 3" xfId="33041" xr:uid="{062B0371-A92F-4586-A9E7-A4A23C67A395}"/>
    <cellStyle name="Normal 4 2 5 4 2 2 4" xfId="16154" xr:uid="{2944221B-7A29-4913-9985-D5E5A4F21A39}"/>
    <cellStyle name="Normal 4 2 5 4 2 3" xfId="20377" xr:uid="{9A30EF14-91CD-4C4A-886B-726CF1AA4D02}"/>
    <cellStyle name="Normal 4 2 5 4 2 4" xfId="28824" xr:uid="{257F4C3B-1F9D-4C0E-B03D-39881B1688E1}"/>
    <cellStyle name="Normal 4 2 5 4 2 5" xfId="11936" xr:uid="{80459D77-E2D6-4DC7-85B9-50BAED6E61D8}"/>
    <cellStyle name="Normal 4 2 5 4 3" xfId="5567" xr:uid="{00000000-0005-0000-0000-0000E7130000}"/>
    <cellStyle name="Normal 4 2 5 4 3 2" xfId="22450" xr:uid="{07488AD0-F03F-41BA-B589-314E226CFC8E}"/>
    <cellStyle name="Normal 4 2 5 4 3 3" xfId="30896" xr:uid="{263251CF-05B9-4561-AA63-ED63D3DC283F}"/>
    <cellStyle name="Normal 4 2 5 4 3 4" xfId="14009" xr:uid="{43DA7E0B-B854-40AB-A40F-F48A662BE78E}"/>
    <cellStyle name="Normal 4 2 5 4 4" xfId="18232" xr:uid="{3F8605C2-07A0-4389-90FF-BF4FDA652AAE}"/>
    <cellStyle name="Normal 4 2 5 4 5" xfId="26677" xr:uid="{6EF37169-E375-4B0A-ABF5-648115337197}"/>
    <cellStyle name="Normal 4 2 5 4 6" xfId="9791" xr:uid="{497E496A-724B-46EA-B35A-089D4724A0E9}"/>
    <cellStyle name="Normal 4 2 5 5" xfId="1672" xr:uid="{00000000-0005-0000-0000-0000E8130000}"/>
    <cellStyle name="Normal 4 2 5 5 2" xfId="3902" xr:uid="{00000000-0005-0000-0000-0000E9130000}"/>
    <cellStyle name="Normal 4 2 5 5 2 2" xfId="8125" xr:uid="{00000000-0005-0000-0000-0000EA130000}"/>
    <cellStyle name="Normal 4 2 5 5 2 2 2" xfId="25008" xr:uid="{F31235A7-C7BF-4FB9-BDF0-73986037A4F4}"/>
    <cellStyle name="Normal 4 2 5 5 2 2 3" xfId="33454" xr:uid="{9E7393BD-1BD0-4E80-9822-33E4523C1E79}"/>
    <cellStyle name="Normal 4 2 5 5 2 2 4" xfId="16567" xr:uid="{D8BBFF25-345A-4971-93AB-85359FCDA0A6}"/>
    <cellStyle name="Normal 4 2 5 5 2 3" xfId="20790" xr:uid="{E08EE54B-AFB1-4D6C-B7E3-2D89D9DA25A1}"/>
    <cellStyle name="Normal 4 2 5 5 2 4" xfId="29237" xr:uid="{B91F75F0-84D2-427F-B3CA-B3F25F2D2B80}"/>
    <cellStyle name="Normal 4 2 5 5 2 5" xfId="12349" xr:uid="{051F8BC2-B78D-4877-A33C-121F0A60CA2E}"/>
    <cellStyle name="Normal 4 2 5 5 3" xfId="5980" xr:uid="{00000000-0005-0000-0000-0000EB130000}"/>
    <cellStyle name="Normal 4 2 5 5 3 2" xfId="22863" xr:uid="{A2DAC1F2-ED6A-4F26-B3B1-69C5BD3B01C3}"/>
    <cellStyle name="Normal 4 2 5 5 3 3" xfId="31309" xr:uid="{2934F8C8-D11B-465E-A911-2EF31E39CC96}"/>
    <cellStyle name="Normal 4 2 5 5 3 4" xfId="14422" xr:uid="{A1A176CF-5A83-4C91-A1E9-2D13ABF93105}"/>
    <cellStyle name="Normal 4 2 5 5 4" xfId="18645" xr:uid="{F39D1013-395A-46C0-BAD0-311096C0B415}"/>
    <cellStyle name="Normal 4 2 5 5 5" xfId="27090" xr:uid="{4EDB7E6B-BFF2-43FE-A223-FA226C6A1609}"/>
    <cellStyle name="Normal 4 2 5 5 6" xfId="10204" xr:uid="{F97B07F0-8BA6-4262-BD10-5BFB6BEA878A}"/>
    <cellStyle name="Normal 4 2 5 6" xfId="2086" xr:uid="{00000000-0005-0000-0000-0000EC130000}"/>
    <cellStyle name="Normal 4 2 5 6 2" xfId="4315" xr:uid="{00000000-0005-0000-0000-0000ED130000}"/>
    <cellStyle name="Normal 4 2 5 6 2 2" xfId="8538" xr:uid="{00000000-0005-0000-0000-0000EE130000}"/>
    <cellStyle name="Normal 4 2 5 6 2 2 2" xfId="25421" xr:uid="{46D54BBE-23EA-42E5-9D36-7E318BE1C8D9}"/>
    <cellStyle name="Normal 4 2 5 6 2 2 3" xfId="33867" xr:uid="{9A17E228-96B5-4949-A0CE-E61602CBED4A}"/>
    <cellStyle name="Normal 4 2 5 6 2 2 4" xfId="16980" xr:uid="{51F7D782-0834-47A9-8F2D-C59D154D5A89}"/>
    <cellStyle name="Normal 4 2 5 6 2 3" xfId="21203" xr:uid="{6BAC2700-7EC1-469E-AECF-BFB6FAC155BA}"/>
    <cellStyle name="Normal 4 2 5 6 2 4" xfId="29650" xr:uid="{6BB758EB-454D-4206-86BF-A4A3E85E35AE}"/>
    <cellStyle name="Normal 4 2 5 6 2 5" xfId="12762" xr:uid="{33F37919-DD40-456D-ADDA-CD72A3247E09}"/>
    <cellStyle name="Normal 4 2 5 6 3" xfId="6393" xr:uid="{00000000-0005-0000-0000-0000EF130000}"/>
    <cellStyle name="Normal 4 2 5 6 3 2" xfId="23276" xr:uid="{1A1718F9-F66B-433D-913A-F5E1688486F5}"/>
    <cellStyle name="Normal 4 2 5 6 3 3" xfId="31722" xr:uid="{08CB4694-CF6A-4C84-AFA5-BEA47D38AA83}"/>
    <cellStyle name="Normal 4 2 5 6 3 4" xfId="14835" xr:uid="{62F20883-1805-4B97-8588-6D18952EDF84}"/>
    <cellStyle name="Normal 4 2 5 6 4" xfId="19058" xr:uid="{497BA84C-CF7A-43B6-83D8-23A6032933BC}"/>
    <cellStyle name="Normal 4 2 5 6 5" xfId="27503" xr:uid="{26142CA2-417F-4796-9139-D90D7F1D5B9D}"/>
    <cellStyle name="Normal 4 2 5 6 6" xfId="10617" xr:uid="{8BBE58AD-04E9-433B-A047-30D0AFC5D07F}"/>
    <cellStyle name="Normal 4 2 5 7" xfId="2522" xr:uid="{00000000-0005-0000-0000-0000F0130000}"/>
    <cellStyle name="Normal 4 2 5 7 2" xfId="6806" xr:uid="{00000000-0005-0000-0000-0000F1130000}"/>
    <cellStyle name="Normal 4 2 5 7 2 2" xfId="23689" xr:uid="{535C1CEC-8F04-4AC7-8524-E75C3CACCC78}"/>
    <cellStyle name="Normal 4 2 5 7 2 3" xfId="32135" xr:uid="{9C6C2099-8C4D-4C76-BCF2-14A9A140E2C3}"/>
    <cellStyle name="Normal 4 2 5 7 2 4" xfId="15248" xr:uid="{BE8766B5-8FF3-41EC-8B8D-C127F2B613FE}"/>
    <cellStyle name="Normal 4 2 5 7 3" xfId="19471" xr:uid="{A8A92810-E70D-44AC-9D1C-60C2AD42BBD1}"/>
    <cellStyle name="Normal 4 2 5 7 4" xfId="27916" xr:uid="{3968088C-CF01-4499-A25B-AB42D3D5D5A2}"/>
    <cellStyle name="Normal 4 2 5 7 5" xfId="11030" xr:uid="{C934A257-D81E-4388-B1A5-EF76599F18BF}"/>
    <cellStyle name="Normal 4 2 5 8" xfId="4741" xr:uid="{00000000-0005-0000-0000-0000F2130000}"/>
    <cellStyle name="Normal 4 2 5 8 2" xfId="21624" xr:uid="{D86195E2-A68D-4C65-86EA-CC3637703776}"/>
    <cellStyle name="Normal 4 2 5 8 3" xfId="30070" xr:uid="{6BCBA5C4-8EAD-40B5-8741-3981ACAC2B40}"/>
    <cellStyle name="Normal 4 2 5 8 4" xfId="13183" xr:uid="{F14E6C32-2AB6-44B2-B3A5-CB2F0F087A48}"/>
    <cellStyle name="Normal 4 2 5 9" xfId="17406" xr:uid="{8DE0A93B-4467-42A0-86B3-62A8157FCC5C}"/>
    <cellStyle name="Normal 4 2 6" xfId="365" xr:uid="{00000000-0005-0000-0000-0000F3130000}"/>
    <cellStyle name="Normal 4 2 6 10" xfId="8967" xr:uid="{396EC62F-D09A-4A53-9866-77F9BBCC7977}"/>
    <cellStyle name="Normal 4 2 6 2" xfId="841" xr:uid="{00000000-0005-0000-0000-0000F4130000}"/>
    <cellStyle name="Normal 4 2 6 2 2" xfId="3078" xr:uid="{00000000-0005-0000-0000-0000F5130000}"/>
    <cellStyle name="Normal 4 2 6 2 2 2" xfId="7301" xr:uid="{00000000-0005-0000-0000-0000F6130000}"/>
    <cellStyle name="Normal 4 2 6 2 2 2 2" xfId="24184" xr:uid="{26AAF73C-C1AC-4E7A-8569-CB09CD6A6C41}"/>
    <cellStyle name="Normal 4 2 6 2 2 2 3" xfId="32630" xr:uid="{1FD833CF-5CBF-4C0D-BD37-4466BCA329B0}"/>
    <cellStyle name="Normal 4 2 6 2 2 2 4" xfId="15743" xr:uid="{12DE1DC0-A31B-48FF-836B-C305B56B2BDA}"/>
    <cellStyle name="Normal 4 2 6 2 2 3" xfId="19966" xr:uid="{3A15934E-6C23-4729-AA74-8F147AB96F63}"/>
    <cellStyle name="Normal 4 2 6 2 2 4" xfId="28413" xr:uid="{040535FA-2F97-482F-98AB-59E98CE9095D}"/>
    <cellStyle name="Normal 4 2 6 2 2 5" xfId="11525" xr:uid="{B63C10CB-1EB3-4789-8A41-4E42D631AB60}"/>
    <cellStyle name="Normal 4 2 6 2 3" xfId="5156" xr:uid="{00000000-0005-0000-0000-0000F7130000}"/>
    <cellStyle name="Normal 4 2 6 2 3 2" xfId="22039" xr:uid="{B148826B-1FD5-4BEA-8C97-9E0113A95793}"/>
    <cellStyle name="Normal 4 2 6 2 3 3" xfId="30485" xr:uid="{12E9AD25-C89B-48BA-BD08-B149BAA9CEAF}"/>
    <cellStyle name="Normal 4 2 6 2 3 4" xfId="13598" xr:uid="{2EF228CA-738D-4094-8552-311D20FC12C6}"/>
    <cellStyle name="Normal 4 2 6 2 4" xfId="17821" xr:uid="{05692311-0C6F-44AE-8564-937C127FE4D0}"/>
    <cellStyle name="Normal 4 2 6 2 5" xfId="26266" xr:uid="{F87702D0-CFDC-4F2B-9880-67416E2E5B54}"/>
    <cellStyle name="Normal 4 2 6 2 6" xfId="9380" xr:uid="{F3CC384B-D8AF-4FD9-B6C0-B5E9863B7FCB}"/>
    <cellStyle name="Normal 4 2 6 3" xfId="1261" xr:uid="{00000000-0005-0000-0000-0000F8130000}"/>
    <cellStyle name="Normal 4 2 6 3 2" xfId="3491" xr:uid="{00000000-0005-0000-0000-0000F9130000}"/>
    <cellStyle name="Normal 4 2 6 3 2 2" xfId="7714" xr:uid="{00000000-0005-0000-0000-0000FA130000}"/>
    <cellStyle name="Normal 4 2 6 3 2 2 2" xfId="24597" xr:uid="{D590383E-4500-4F60-92D5-E19FCD2D45F3}"/>
    <cellStyle name="Normal 4 2 6 3 2 2 3" xfId="33043" xr:uid="{C3348F12-2545-4C74-82D5-47B44DA99015}"/>
    <cellStyle name="Normal 4 2 6 3 2 2 4" xfId="16156" xr:uid="{3A2F7148-539E-4A10-B75E-B816C1156239}"/>
    <cellStyle name="Normal 4 2 6 3 2 3" xfId="20379" xr:uid="{98B5D765-AB16-424B-A1FB-268D67C63474}"/>
    <cellStyle name="Normal 4 2 6 3 2 4" xfId="28826" xr:uid="{0CA98DA6-D544-4A8D-AFE1-79C21D9CF13C}"/>
    <cellStyle name="Normal 4 2 6 3 2 5" xfId="11938" xr:uid="{0138EDBD-2A94-43D4-A4B2-180ABDB6ED36}"/>
    <cellStyle name="Normal 4 2 6 3 3" xfId="5569" xr:uid="{00000000-0005-0000-0000-0000FB130000}"/>
    <cellStyle name="Normal 4 2 6 3 3 2" xfId="22452" xr:uid="{9DAB93D8-6F3E-4C18-B0A6-A33238B58AA2}"/>
    <cellStyle name="Normal 4 2 6 3 3 3" xfId="30898" xr:uid="{CFFAF29A-92F3-465B-85C8-64896C8DE601}"/>
    <cellStyle name="Normal 4 2 6 3 3 4" xfId="14011" xr:uid="{3BEA0018-3F28-48C2-A0F6-2BC93E51E2FE}"/>
    <cellStyle name="Normal 4 2 6 3 4" xfId="18234" xr:uid="{8B82385B-2A26-460C-9E20-72CC69E13A6C}"/>
    <cellStyle name="Normal 4 2 6 3 5" xfId="26679" xr:uid="{50AD6C1E-AEEC-4440-9E9A-411DC2442264}"/>
    <cellStyle name="Normal 4 2 6 3 6" xfId="9793" xr:uid="{97753584-170A-4761-AA70-0F73959AAD06}"/>
    <cellStyle name="Normal 4 2 6 4" xfId="1674" xr:uid="{00000000-0005-0000-0000-0000FC130000}"/>
    <cellStyle name="Normal 4 2 6 4 2" xfId="3904" xr:uid="{00000000-0005-0000-0000-0000FD130000}"/>
    <cellStyle name="Normal 4 2 6 4 2 2" xfId="8127" xr:uid="{00000000-0005-0000-0000-0000FE130000}"/>
    <cellStyle name="Normal 4 2 6 4 2 2 2" xfId="25010" xr:uid="{7104E349-189E-4AD1-B72B-2D6C77058447}"/>
    <cellStyle name="Normal 4 2 6 4 2 2 3" xfId="33456" xr:uid="{A8304BAF-647D-4BE7-84BC-E32C82796C38}"/>
    <cellStyle name="Normal 4 2 6 4 2 2 4" xfId="16569" xr:uid="{BB43EBA8-5601-4A8F-AB8F-F820CD3D5E3F}"/>
    <cellStyle name="Normal 4 2 6 4 2 3" xfId="20792" xr:uid="{AF02A85A-D3EE-417F-9115-67D55C71ADF5}"/>
    <cellStyle name="Normal 4 2 6 4 2 4" xfId="29239" xr:uid="{6B894D9F-915F-47F6-8550-A1C81FDA5524}"/>
    <cellStyle name="Normal 4 2 6 4 2 5" xfId="12351" xr:uid="{555D20D4-63E1-40BE-884A-2A8A14642F6C}"/>
    <cellStyle name="Normal 4 2 6 4 3" xfId="5982" xr:uid="{00000000-0005-0000-0000-0000FF130000}"/>
    <cellStyle name="Normal 4 2 6 4 3 2" xfId="22865" xr:uid="{F1BB7C7E-2D86-415F-A768-C55CCDEF8F08}"/>
    <cellStyle name="Normal 4 2 6 4 3 3" xfId="31311" xr:uid="{B50B0A84-3A1E-45B4-AFED-DFD684D19CBD}"/>
    <cellStyle name="Normal 4 2 6 4 3 4" xfId="14424" xr:uid="{6CCB5FDD-21B5-4976-82FD-19980E397FC7}"/>
    <cellStyle name="Normal 4 2 6 4 4" xfId="18647" xr:uid="{988865B5-4931-476D-882B-BBE0200E8420}"/>
    <cellStyle name="Normal 4 2 6 4 5" xfId="27092" xr:uid="{F8C52AB1-1BBF-440B-83AB-66341FDF277F}"/>
    <cellStyle name="Normal 4 2 6 4 6" xfId="10206" xr:uid="{737C5FF2-9CC1-480F-AB2A-2909459B6A13}"/>
    <cellStyle name="Normal 4 2 6 5" xfId="2088" xr:uid="{00000000-0005-0000-0000-000000140000}"/>
    <cellStyle name="Normal 4 2 6 5 2" xfId="4317" xr:uid="{00000000-0005-0000-0000-000001140000}"/>
    <cellStyle name="Normal 4 2 6 5 2 2" xfId="8540" xr:uid="{00000000-0005-0000-0000-000002140000}"/>
    <cellStyle name="Normal 4 2 6 5 2 2 2" xfId="25423" xr:uid="{B7A0B98D-8248-4D30-98F4-29716AFFD79F}"/>
    <cellStyle name="Normal 4 2 6 5 2 2 3" xfId="33869" xr:uid="{63FB4BA5-5B33-43C4-953D-CC43128E23C5}"/>
    <cellStyle name="Normal 4 2 6 5 2 2 4" xfId="16982" xr:uid="{86FB3672-31E2-4788-A4D4-A99B3EB80595}"/>
    <cellStyle name="Normal 4 2 6 5 2 3" xfId="21205" xr:uid="{5C68F615-6C8E-44CF-9100-5C58509F4EB3}"/>
    <cellStyle name="Normal 4 2 6 5 2 4" xfId="29652" xr:uid="{49462606-EAB3-4D0E-9BBE-FFE0EBAFF3EE}"/>
    <cellStyle name="Normal 4 2 6 5 2 5" xfId="12764" xr:uid="{4A1EAA1E-408E-4552-B296-22001234B038}"/>
    <cellStyle name="Normal 4 2 6 5 3" xfId="6395" xr:uid="{00000000-0005-0000-0000-000003140000}"/>
    <cellStyle name="Normal 4 2 6 5 3 2" xfId="23278" xr:uid="{6B87537C-4811-4889-8CAE-B6BF7FB9039A}"/>
    <cellStyle name="Normal 4 2 6 5 3 3" xfId="31724" xr:uid="{B6A1004D-C015-4614-BB62-7D69ADC9F684}"/>
    <cellStyle name="Normal 4 2 6 5 3 4" xfId="14837" xr:uid="{4B965FDE-E997-4EE6-8A8B-677BBF9BFC4A}"/>
    <cellStyle name="Normal 4 2 6 5 4" xfId="19060" xr:uid="{234AB48B-E341-48F9-BAD5-2033608FDAAF}"/>
    <cellStyle name="Normal 4 2 6 5 5" xfId="27505" xr:uid="{784285A0-4A3A-49DA-8549-00523A724B1A}"/>
    <cellStyle name="Normal 4 2 6 5 6" xfId="10619" xr:uid="{A894584F-F834-40C5-BC62-E3EB13FFC1AF}"/>
    <cellStyle name="Normal 4 2 6 6" xfId="2524" xr:uid="{00000000-0005-0000-0000-000004140000}"/>
    <cellStyle name="Normal 4 2 6 6 2" xfId="6808" xr:uid="{00000000-0005-0000-0000-000005140000}"/>
    <cellStyle name="Normal 4 2 6 6 2 2" xfId="23691" xr:uid="{C1F584C9-5702-450D-97C1-5A37918FFEEE}"/>
    <cellStyle name="Normal 4 2 6 6 2 3" xfId="32137" xr:uid="{4B8C199B-02B3-4194-88B4-4A552A984398}"/>
    <cellStyle name="Normal 4 2 6 6 2 4" xfId="15250" xr:uid="{F4D49FE9-9193-4B10-BA0A-C514AE877C6D}"/>
    <cellStyle name="Normal 4 2 6 6 3" xfId="19473" xr:uid="{B0528FD5-E6A1-4FBA-A512-BB62FF7E7E32}"/>
    <cellStyle name="Normal 4 2 6 6 4" xfId="27918" xr:uid="{1B62AB70-CDB3-4D0F-B31E-30ED92ED50A0}"/>
    <cellStyle name="Normal 4 2 6 6 5" xfId="11032" xr:uid="{FC02AA9F-2A99-47DA-B5F9-53072963965F}"/>
    <cellStyle name="Normal 4 2 6 7" xfId="4743" xr:uid="{00000000-0005-0000-0000-000006140000}"/>
    <cellStyle name="Normal 4 2 6 7 2" xfId="21626" xr:uid="{2CC73B41-2423-4092-A7A0-FEE360A7F143}"/>
    <cellStyle name="Normal 4 2 6 7 3" xfId="30072" xr:uid="{5EC9338C-E19D-4695-B24F-1034B4FA0422}"/>
    <cellStyle name="Normal 4 2 6 7 4" xfId="13185" xr:uid="{71D8A316-DE74-49F8-8798-ED02AAC95258}"/>
    <cellStyle name="Normal 4 2 6 8" xfId="17408" xr:uid="{1B5B26AE-1CE0-49B0-9906-5F0FBBDCCD79}"/>
    <cellStyle name="Normal 4 2 6 9" xfId="25852" xr:uid="{16139F42-5D91-4781-91B1-2092FBC4DD4D}"/>
    <cellStyle name="Normal 4 2 7" xfId="34126" xr:uid="{CFE665D7-1039-4871-BEAA-B13F7C1F0260}"/>
    <cellStyle name="Normal 4 2_Item C7" xfId="34183" xr:uid="{44FCF90D-FF18-4E02-88C7-56E661479559}"/>
    <cellStyle name="Normal 4 3" xfId="366" xr:uid="{00000000-0005-0000-0000-000007140000}"/>
    <cellStyle name="Normal 4 3 10" xfId="17409" xr:uid="{85599FB4-3B97-4A5D-BBF7-FFCD8D1CC62A}"/>
    <cellStyle name="Normal 4 3 11" xfId="25853" xr:uid="{D47F5FEF-BEE9-44BC-ACC2-52170E12C7C3}"/>
    <cellStyle name="Normal 4 3 12" xfId="34063" xr:uid="{4D502818-B94D-4BC5-9AD5-9D1086A93ABE}"/>
    <cellStyle name="Normal 4 3 13" xfId="8968" xr:uid="{0E4C4B2D-E4F5-4B73-A492-231095D062DE}"/>
    <cellStyle name="Normal 4 3 2" xfId="367" xr:uid="{00000000-0005-0000-0000-000008140000}"/>
    <cellStyle name="Normal 4 3 2 2" xfId="368" xr:uid="{00000000-0005-0000-0000-000009140000}"/>
    <cellStyle name="Normal 4 3 2 2 2" xfId="369" xr:uid="{00000000-0005-0000-0000-00000A140000}"/>
    <cellStyle name="Normal 4 3 2 2 2 10" xfId="17410" xr:uid="{EEFC5882-EA6F-42BD-8EA4-9115E6A066EE}"/>
    <cellStyle name="Normal 4 3 2 2 2 11" xfId="25854" xr:uid="{2B904726-67F9-45BD-B4EE-7B2943CCC299}"/>
    <cellStyle name="Normal 4 3 2 2 2 12" xfId="8969" xr:uid="{C03BFBAF-B0D9-453E-89CB-13C10EFEBC38}"/>
    <cellStyle name="Normal 4 3 2 2 2 2" xfId="370" xr:uid="{00000000-0005-0000-0000-00000B140000}"/>
    <cellStyle name="Normal 4 3 2 2 2 2 10" xfId="25855" xr:uid="{AC4AC11C-8D18-4491-9ED9-B5B5341FF4A5}"/>
    <cellStyle name="Normal 4 3 2 2 2 2 11" xfId="8970" xr:uid="{114B794A-4F74-4DB5-B777-CEB9202F76DD}"/>
    <cellStyle name="Normal 4 3 2 2 2 2 2" xfId="371" xr:uid="{00000000-0005-0000-0000-00000C140000}"/>
    <cellStyle name="Normal 4 3 2 2 2 2 2 10" xfId="8971" xr:uid="{B8C9ABE2-1436-4816-8D06-CBE2DA6E3C52}"/>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24188" xr:uid="{3830309D-5842-4403-B554-64DA9F00B822}"/>
    <cellStyle name="Normal 4 3 2 2 2 2 2 2 2 2 3" xfId="32634" xr:uid="{3DAA5C96-7C84-42DD-9D00-343C45F2ABF0}"/>
    <cellStyle name="Normal 4 3 2 2 2 2 2 2 2 2 4" xfId="15747" xr:uid="{A63C9BF7-A89B-4583-BA9D-4E06B64CD8C2}"/>
    <cellStyle name="Normal 4 3 2 2 2 2 2 2 2 3" xfId="19970" xr:uid="{7540470B-D267-4404-919A-36D7EBDBB019}"/>
    <cellStyle name="Normal 4 3 2 2 2 2 2 2 2 4" xfId="28417" xr:uid="{2996B5BC-04F6-4009-A529-601F2E321821}"/>
    <cellStyle name="Normal 4 3 2 2 2 2 2 2 2 5" xfId="11529" xr:uid="{FF6C6588-14CE-457A-B4CD-29E134A25637}"/>
    <cellStyle name="Normal 4 3 2 2 2 2 2 2 3" xfId="5160" xr:uid="{00000000-0005-0000-0000-000010140000}"/>
    <cellStyle name="Normal 4 3 2 2 2 2 2 2 3 2" xfId="22043" xr:uid="{995E77A6-0307-4C89-BF9C-C4A4F7C7D2C1}"/>
    <cellStyle name="Normal 4 3 2 2 2 2 2 2 3 3" xfId="30489" xr:uid="{12D0BF11-7485-4126-BDD6-53C466FD5F70}"/>
    <cellStyle name="Normal 4 3 2 2 2 2 2 2 3 4" xfId="13602" xr:uid="{BC05E9FB-F7B8-4323-B2B3-D73DEA0106EF}"/>
    <cellStyle name="Normal 4 3 2 2 2 2 2 2 4" xfId="17825" xr:uid="{343F749B-8D60-4E8F-8757-3B24C073AC2A}"/>
    <cellStyle name="Normal 4 3 2 2 2 2 2 2 5" xfId="26270" xr:uid="{DCA4B522-774F-4292-89EB-2F5B172F1225}"/>
    <cellStyle name="Normal 4 3 2 2 2 2 2 2 6" xfId="9384" xr:uid="{CE447E28-5DD1-4AF4-BA0A-650D3E4E01CB}"/>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24601" xr:uid="{BD7D0B92-FC22-4127-B3D9-12FC38FD387B}"/>
    <cellStyle name="Normal 4 3 2 2 2 2 2 3 2 2 3" xfId="33047" xr:uid="{13859E42-8E1B-40F0-9D77-ECFF5FA16806}"/>
    <cellStyle name="Normal 4 3 2 2 2 2 2 3 2 2 4" xfId="16160" xr:uid="{408E6AF8-CC0F-4699-86BF-8BD5DDE58FC9}"/>
    <cellStyle name="Normal 4 3 2 2 2 2 2 3 2 3" xfId="20383" xr:uid="{749895FC-0F42-4847-BC42-6641366E1DAA}"/>
    <cellStyle name="Normal 4 3 2 2 2 2 2 3 2 4" xfId="28830" xr:uid="{2BF06BE0-FB88-4702-9E79-7C3739134408}"/>
    <cellStyle name="Normal 4 3 2 2 2 2 2 3 2 5" xfId="11942" xr:uid="{EE98F3BE-DF02-4596-8B61-190FB7A95F58}"/>
    <cellStyle name="Normal 4 3 2 2 2 2 2 3 3" xfId="5573" xr:uid="{00000000-0005-0000-0000-000014140000}"/>
    <cellStyle name="Normal 4 3 2 2 2 2 2 3 3 2" xfId="22456" xr:uid="{6F4BE56E-64A2-4706-A29B-368E3E048662}"/>
    <cellStyle name="Normal 4 3 2 2 2 2 2 3 3 3" xfId="30902" xr:uid="{91C5F512-A2BA-4069-ADED-B5524E445C63}"/>
    <cellStyle name="Normal 4 3 2 2 2 2 2 3 3 4" xfId="14015" xr:uid="{6651E0ED-FBFE-4296-AFBF-BA6BECC63F0A}"/>
    <cellStyle name="Normal 4 3 2 2 2 2 2 3 4" xfId="18238" xr:uid="{5BE8E0CA-D980-4311-95E2-A4A5B4C8020D}"/>
    <cellStyle name="Normal 4 3 2 2 2 2 2 3 5" xfId="26683" xr:uid="{331512F5-7B78-42CC-95AC-756173185BF6}"/>
    <cellStyle name="Normal 4 3 2 2 2 2 2 3 6" xfId="9797" xr:uid="{9CE20582-1B86-4087-8797-3E8139986ABD}"/>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25014" xr:uid="{10049D04-F432-4B37-B643-9264F69B2D1D}"/>
    <cellStyle name="Normal 4 3 2 2 2 2 2 4 2 2 3" xfId="33460" xr:uid="{66D784A2-74BF-48B6-861A-6B1CAEE7541A}"/>
    <cellStyle name="Normal 4 3 2 2 2 2 2 4 2 2 4" xfId="16573" xr:uid="{9D6150B9-F058-4E7C-B21F-FD30705D84E2}"/>
    <cellStyle name="Normal 4 3 2 2 2 2 2 4 2 3" xfId="20796" xr:uid="{EEEFA670-15A0-4B3D-B24D-C6B64119C022}"/>
    <cellStyle name="Normal 4 3 2 2 2 2 2 4 2 4" xfId="29243" xr:uid="{EB08F982-027C-4EBE-A5BD-84357C393F55}"/>
    <cellStyle name="Normal 4 3 2 2 2 2 2 4 2 5" xfId="12355" xr:uid="{EC7B4DF0-EDD5-4D9B-BA07-D1A1A2E637DF}"/>
    <cellStyle name="Normal 4 3 2 2 2 2 2 4 3" xfId="5986" xr:uid="{00000000-0005-0000-0000-000018140000}"/>
    <cellStyle name="Normal 4 3 2 2 2 2 2 4 3 2" xfId="22869" xr:uid="{BA67E489-FF8E-4E23-AA5F-8C2FFCE1AF1E}"/>
    <cellStyle name="Normal 4 3 2 2 2 2 2 4 3 3" xfId="31315" xr:uid="{371DC88B-6E93-4092-ACAC-B45C3067C6F4}"/>
    <cellStyle name="Normal 4 3 2 2 2 2 2 4 3 4" xfId="14428" xr:uid="{7BFBDED8-E83F-4A8D-9946-DC25D434A5DE}"/>
    <cellStyle name="Normal 4 3 2 2 2 2 2 4 4" xfId="18651" xr:uid="{07B5FCA0-45CE-4DA0-BE79-00C1A6B7A29E}"/>
    <cellStyle name="Normal 4 3 2 2 2 2 2 4 5" xfId="27096" xr:uid="{54607FD0-EFD5-43B1-B609-0134425FDEE4}"/>
    <cellStyle name="Normal 4 3 2 2 2 2 2 4 6" xfId="10210" xr:uid="{C3E41AAC-2636-41A6-AE70-049B4F0C23BB}"/>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25427" xr:uid="{E697F866-91D4-4A9E-9CC5-5485F1068207}"/>
    <cellStyle name="Normal 4 3 2 2 2 2 2 5 2 2 3" xfId="33873" xr:uid="{BB6EF9C3-AFD9-4D0D-8839-9D3A72BEC2E4}"/>
    <cellStyle name="Normal 4 3 2 2 2 2 2 5 2 2 4" xfId="16986" xr:uid="{F6A85FFD-9983-49C6-B530-3BB11B10F8A1}"/>
    <cellStyle name="Normal 4 3 2 2 2 2 2 5 2 3" xfId="21209" xr:uid="{7AA11779-9F16-479C-9CFE-3C758AA95AA1}"/>
    <cellStyle name="Normal 4 3 2 2 2 2 2 5 2 4" xfId="29656" xr:uid="{0964331F-E8E0-4F60-A2DC-48027DD98D79}"/>
    <cellStyle name="Normal 4 3 2 2 2 2 2 5 2 5" xfId="12768" xr:uid="{689F7F79-42DA-4C95-B7F1-D87236EF3C90}"/>
    <cellStyle name="Normal 4 3 2 2 2 2 2 5 3" xfId="6399" xr:uid="{00000000-0005-0000-0000-00001C140000}"/>
    <cellStyle name="Normal 4 3 2 2 2 2 2 5 3 2" xfId="23282" xr:uid="{FBFE8BC2-43E0-4D37-B8A2-85239922BA28}"/>
    <cellStyle name="Normal 4 3 2 2 2 2 2 5 3 3" xfId="31728" xr:uid="{20D3124E-C3C7-4E45-BD26-AA8A9863FD4B}"/>
    <cellStyle name="Normal 4 3 2 2 2 2 2 5 3 4" xfId="14841" xr:uid="{4FB1A4FC-0912-44BC-8301-82B32CD2DBFE}"/>
    <cellStyle name="Normal 4 3 2 2 2 2 2 5 4" xfId="19064" xr:uid="{A211F5B1-43C7-4A03-A7A5-9FAF1F5856F3}"/>
    <cellStyle name="Normal 4 3 2 2 2 2 2 5 5" xfId="27509" xr:uid="{CA61141E-02C1-45FB-8A99-4FF8ED1B7E19}"/>
    <cellStyle name="Normal 4 3 2 2 2 2 2 5 6" xfId="10623" xr:uid="{A01692BE-5393-4F94-BEAC-C0B24634B5E3}"/>
    <cellStyle name="Normal 4 3 2 2 2 2 2 6" xfId="2528" xr:uid="{00000000-0005-0000-0000-00001D140000}"/>
    <cellStyle name="Normal 4 3 2 2 2 2 2 6 2" xfId="6812" xr:uid="{00000000-0005-0000-0000-00001E140000}"/>
    <cellStyle name="Normal 4 3 2 2 2 2 2 6 2 2" xfId="23695" xr:uid="{7C765DEB-87D2-4940-85B4-D093024B453A}"/>
    <cellStyle name="Normal 4 3 2 2 2 2 2 6 2 3" xfId="32141" xr:uid="{12A266BA-5CE3-441D-97AC-A45C9A01B72B}"/>
    <cellStyle name="Normal 4 3 2 2 2 2 2 6 2 4" xfId="15254" xr:uid="{567D9AE7-1CDF-4CC8-AAE6-A16BB46513D5}"/>
    <cellStyle name="Normal 4 3 2 2 2 2 2 6 3" xfId="19477" xr:uid="{740CB218-3528-497D-A47A-8CAA4C534606}"/>
    <cellStyle name="Normal 4 3 2 2 2 2 2 6 4" xfId="27922" xr:uid="{BD84C959-72F6-4AB1-B54A-55A6FB9BD4E1}"/>
    <cellStyle name="Normal 4 3 2 2 2 2 2 6 5" xfId="11036" xr:uid="{442F0E4E-E1F4-429A-9B22-1BE42CEAD8CB}"/>
    <cellStyle name="Normal 4 3 2 2 2 2 2 7" xfId="4747" xr:uid="{00000000-0005-0000-0000-00001F140000}"/>
    <cellStyle name="Normal 4 3 2 2 2 2 2 7 2" xfId="21630" xr:uid="{316EB79F-0CAD-4B58-BBBB-AE30E4389390}"/>
    <cellStyle name="Normal 4 3 2 2 2 2 2 7 3" xfId="30076" xr:uid="{02B86327-139C-4F02-A322-388372B0B4F4}"/>
    <cellStyle name="Normal 4 3 2 2 2 2 2 7 4" xfId="13189" xr:uid="{FBEA3043-B4AB-4991-83BC-1237E78E0160}"/>
    <cellStyle name="Normal 4 3 2 2 2 2 2 8" xfId="17412" xr:uid="{27EB3642-9919-4751-A31A-D35E2DBE49DD}"/>
    <cellStyle name="Normal 4 3 2 2 2 2 2 9" xfId="25856" xr:uid="{B811F5D3-E11C-4964-8B40-DFF1FB154006}"/>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24187" xr:uid="{03ABB458-A63C-4ACA-9573-E9B951910AE8}"/>
    <cellStyle name="Normal 4 3 2 2 2 2 3 2 2 3" xfId="32633" xr:uid="{45E05D59-35EE-4B2A-BEBD-D0DC4924FD06}"/>
    <cellStyle name="Normal 4 3 2 2 2 2 3 2 2 4" xfId="15746" xr:uid="{9FFF14BA-5266-4445-8168-C2502817CBDC}"/>
    <cellStyle name="Normal 4 3 2 2 2 2 3 2 3" xfId="19969" xr:uid="{4C0BEC52-74FA-45B2-A42B-371EE97F4148}"/>
    <cellStyle name="Normal 4 3 2 2 2 2 3 2 4" xfId="28416" xr:uid="{6B6C58EA-0FDD-4DB9-B4AE-16C38F64384B}"/>
    <cellStyle name="Normal 4 3 2 2 2 2 3 2 5" xfId="11528" xr:uid="{07468DB1-FE27-460C-9B65-2F74DA69D4B5}"/>
    <cellStyle name="Normal 4 3 2 2 2 2 3 3" xfId="5159" xr:uid="{00000000-0005-0000-0000-000023140000}"/>
    <cellStyle name="Normal 4 3 2 2 2 2 3 3 2" xfId="22042" xr:uid="{12DA594C-DE31-4C14-B3F5-822D570ADE26}"/>
    <cellStyle name="Normal 4 3 2 2 2 2 3 3 3" xfId="30488" xr:uid="{1F2176DF-5ABA-4D2F-8B9F-156AA5E53B27}"/>
    <cellStyle name="Normal 4 3 2 2 2 2 3 3 4" xfId="13601" xr:uid="{F135554E-6B02-49CA-AF62-3BA7D28EF7E3}"/>
    <cellStyle name="Normal 4 3 2 2 2 2 3 4" xfId="17824" xr:uid="{BA19AAE7-DD1C-422E-B463-5DFA9F509781}"/>
    <cellStyle name="Normal 4 3 2 2 2 2 3 5" xfId="26269" xr:uid="{8A760E20-918B-44C6-8688-3FE8AE4A42E3}"/>
    <cellStyle name="Normal 4 3 2 2 2 2 3 6" xfId="9383" xr:uid="{9D21F57B-1A07-4367-A8EF-41FCE2275E5E}"/>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24600" xr:uid="{9A18A7C8-4AB5-4735-B389-5DFA180B5365}"/>
    <cellStyle name="Normal 4 3 2 2 2 2 4 2 2 3" xfId="33046" xr:uid="{8DA1ABEB-856B-410B-BDDE-2B8E72947B4D}"/>
    <cellStyle name="Normal 4 3 2 2 2 2 4 2 2 4" xfId="16159" xr:uid="{FFE40BC2-8A90-4761-865F-808D01BCBD0A}"/>
    <cellStyle name="Normal 4 3 2 2 2 2 4 2 3" xfId="20382" xr:uid="{C1EE8092-F255-4904-8B28-23713B505332}"/>
    <cellStyle name="Normal 4 3 2 2 2 2 4 2 4" xfId="28829" xr:uid="{CEBD5635-E7E7-4A49-A85A-C19D6F2FE006}"/>
    <cellStyle name="Normal 4 3 2 2 2 2 4 2 5" xfId="11941" xr:uid="{9C8F0C88-D8BC-4D24-AD69-4565B5F40282}"/>
    <cellStyle name="Normal 4 3 2 2 2 2 4 3" xfId="5572" xr:uid="{00000000-0005-0000-0000-000027140000}"/>
    <cellStyle name="Normal 4 3 2 2 2 2 4 3 2" xfId="22455" xr:uid="{DE7D7359-48D7-49C2-A736-1E27AE0599CA}"/>
    <cellStyle name="Normal 4 3 2 2 2 2 4 3 3" xfId="30901" xr:uid="{7666C79B-3DDA-46BD-9FC0-F6608A7F69D7}"/>
    <cellStyle name="Normal 4 3 2 2 2 2 4 3 4" xfId="14014" xr:uid="{41036AD6-6E92-49EE-8D0E-D10BB48C33CA}"/>
    <cellStyle name="Normal 4 3 2 2 2 2 4 4" xfId="18237" xr:uid="{B2A3E21B-9226-45CF-8C51-0865CB3319C3}"/>
    <cellStyle name="Normal 4 3 2 2 2 2 4 5" xfId="26682" xr:uid="{B476B3F8-1954-4851-9D3D-9F724E9F8C92}"/>
    <cellStyle name="Normal 4 3 2 2 2 2 4 6" xfId="9796" xr:uid="{4EE529CF-0EE4-4F2E-9C47-390696CF2CD1}"/>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25013" xr:uid="{BB881326-CCDE-4D31-8B0C-6C4D25A80607}"/>
    <cellStyle name="Normal 4 3 2 2 2 2 5 2 2 3" xfId="33459" xr:uid="{4FE88760-0E5F-4471-A465-4FABE44345B7}"/>
    <cellStyle name="Normal 4 3 2 2 2 2 5 2 2 4" xfId="16572" xr:uid="{27A6DC7F-6826-449A-B743-FD15C806C6C7}"/>
    <cellStyle name="Normal 4 3 2 2 2 2 5 2 3" xfId="20795" xr:uid="{6A7CB737-3365-4CC2-94A9-C5CB274BA59C}"/>
    <cellStyle name="Normal 4 3 2 2 2 2 5 2 4" xfId="29242" xr:uid="{1ADD573C-FCA3-4746-A927-4854A4F2FF07}"/>
    <cellStyle name="Normal 4 3 2 2 2 2 5 2 5" xfId="12354" xr:uid="{601312BC-4BAF-4D59-9823-912A8BC39514}"/>
    <cellStyle name="Normal 4 3 2 2 2 2 5 3" xfId="5985" xr:uid="{00000000-0005-0000-0000-00002B140000}"/>
    <cellStyle name="Normal 4 3 2 2 2 2 5 3 2" xfId="22868" xr:uid="{F008D50D-1A18-49BA-9E0F-781E3F4685D7}"/>
    <cellStyle name="Normal 4 3 2 2 2 2 5 3 3" xfId="31314" xr:uid="{74FCFB3F-848B-4107-9FEB-A24290765DB5}"/>
    <cellStyle name="Normal 4 3 2 2 2 2 5 3 4" xfId="14427" xr:uid="{1A419833-DD49-419B-88D6-A6081115C458}"/>
    <cellStyle name="Normal 4 3 2 2 2 2 5 4" xfId="18650" xr:uid="{1683F4A2-2DBF-42E0-BAC4-AB273B4519BF}"/>
    <cellStyle name="Normal 4 3 2 2 2 2 5 5" xfId="27095" xr:uid="{A1D59ECF-11F1-4B19-BEA9-4F163BE15408}"/>
    <cellStyle name="Normal 4 3 2 2 2 2 5 6" xfId="10209" xr:uid="{E3523731-3C50-4F5A-9D52-C1B44C8BDB27}"/>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25426" xr:uid="{6224A558-AE15-43A4-91C3-81F93F0B583D}"/>
    <cellStyle name="Normal 4 3 2 2 2 2 6 2 2 3" xfId="33872" xr:uid="{72C02E3B-FD9B-401A-86C6-F4EB14B97EB0}"/>
    <cellStyle name="Normal 4 3 2 2 2 2 6 2 2 4" xfId="16985" xr:uid="{205F7BAA-C4A7-46BA-AD1D-B9DFE7225DBC}"/>
    <cellStyle name="Normal 4 3 2 2 2 2 6 2 3" xfId="21208" xr:uid="{BA21891D-F821-4654-90F1-3E60A71B0D78}"/>
    <cellStyle name="Normal 4 3 2 2 2 2 6 2 4" xfId="29655" xr:uid="{7D230946-0FDA-4F92-B65E-99892D056480}"/>
    <cellStyle name="Normal 4 3 2 2 2 2 6 2 5" xfId="12767" xr:uid="{97E0EE08-4AEB-4479-AE0D-106271F14C06}"/>
    <cellStyle name="Normal 4 3 2 2 2 2 6 3" xfId="6398" xr:uid="{00000000-0005-0000-0000-00002F140000}"/>
    <cellStyle name="Normal 4 3 2 2 2 2 6 3 2" xfId="23281" xr:uid="{D675F7F2-009E-446B-A46A-83D25989FBF8}"/>
    <cellStyle name="Normal 4 3 2 2 2 2 6 3 3" xfId="31727" xr:uid="{0908DDBF-E0F5-4F52-8F4C-312542D0BBB3}"/>
    <cellStyle name="Normal 4 3 2 2 2 2 6 3 4" xfId="14840" xr:uid="{813BD50B-E05D-40B0-B2B3-70FE679CDD88}"/>
    <cellStyle name="Normal 4 3 2 2 2 2 6 4" xfId="19063" xr:uid="{E7D8351F-55CD-40DE-9F87-79210917A4B2}"/>
    <cellStyle name="Normal 4 3 2 2 2 2 6 5" xfId="27508" xr:uid="{A88E8184-B475-4EA0-90CB-5651E9C6B620}"/>
    <cellStyle name="Normal 4 3 2 2 2 2 6 6" xfId="10622" xr:uid="{17F627CC-8D26-4371-BA4E-AEF5146C0AF3}"/>
    <cellStyle name="Normal 4 3 2 2 2 2 7" xfId="2527" xr:uid="{00000000-0005-0000-0000-000030140000}"/>
    <cellStyle name="Normal 4 3 2 2 2 2 7 2" xfId="6811" xr:uid="{00000000-0005-0000-0000-000031140000}"/>
    <cellStyle name="Normal 4 3 2 2 2 2 7 2 2" xfId="23694" xr:uid="{D4AB2709-73F1-4D7F-8505-AD4FFBD62E34}"/>
    <cellStyle name="Normal 4 3 2 2 2 2 7 2 3" xfId="32140" xr:uid="{86BE7855-8AD6-4625-93EE-74C349482D4B}"/>
    <cellStyle name="Normal 4 3 2 2 2 2 7 2 4" xfId="15253" xr:uid="{656F1CA8-B17C-46C8-8F6C-963022DD9121}"/>
    <cellStyle name="Normal 4 3 2 2 2 2 7 3" xfId="19476" xr:uid="{DC642260-0877-4A2E-A905-9CEFF3A6497C}"/>
    <cellStyle name="Normal 4 3 2 2 2 2 7 4" xfId="27921" xr:uid="{3220002E-A253-4104-A82F-5BAAF9CF3989}"/>
    <cellStyle name="Normal 4 3 2 2 2 2 7 5" xfId="11035" xr:uid="{1C704DBB-ADAA-4A53-B24C-5FDF5C76D4AD}"/>
    <cellStyle name="Normal 4 3 2 2 2 2 8" xfId="4746" xr:uid="{00000000-0005-0000-0000-000032140000}"/>
    <cellStyle name="Normal 4 3 2 2 2 2 8 2" xfId="21629" xr:uid="{F35A408B-8C81-492F-8560-5D1526E7A4D9}"/>
    <cellStyle name="Normal 4 3 2 2 2 2 8 3" xfId="30075" xr:uid="{EBF83640-F3A1-4DD8-8B0A-CE956C65C7CE}"/>
    <cellStyle name="Normal 4 3 2 2 2 2 8 4" xfId="13188" xr:uid="{CE9AE308-B5EF-4E54-B028-A01A0AC2D8D9}"/>
    <cellStyle name="Normal 4 3 2 2 2 2 9" xfId="17411" xr:uid="{022C7FE3-12A0-47D2-88A8-60AB821EF9C6}"/>
    <cellStyle name="Normal 4 3 2 2 2 3" xfId="372" xr:uid="{00000000-0005-0000-0000-000033140000}"/>
    <cellStyle name="Normal 4 3 2 2 2 3 10" xfId="8972" xr:uid="{483D51B6-383F-49F3-BA7F-009BE357DD2F}"/>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24189" xr:uid="{1F63A40A-87F5-4D31-A7A7-3556C0FC26E6}"/>
    <cellStyle name="Normal 4 3 2 2 2 3 2 2 2 3" xfId="32635" xr:uid="{89E0BAD9-A252-490D-B49E-F738CD09AE45}"/>
    <cellStyle name="Normal 4 3 2 2 2 3 2 2 2 4" xfId="15748" xr:uid="{C835B0F5-4ABD-40E4-B970-099E5980F69D}"/>
    <cellStyle name="Normal 4 3 2 2 2 3 2 2 3" xfId="19971" xr:uid="{863A9795-D4A0-4419-BC2A-EE0B10DC1C92}"/>
    <cellStyle name="Normal 4 3 2 2 2 3 2 2 4" xfId="28418" xr:uid="{66828A63-5084-4417-B17B-40CD71490095}"/>
    <cellStyle name="Normal 4 3 2 2 2 3 2 2 5" xfId="11530" xr:uid="{7B0D1E0A-C152-4E5B-A783-59D5E3B22A79}"/>
    <cellStyle name="Normal 4 3 2 2 2 3 2 3" xfId="5161" xr:uid="{00000000-0005-0000-0000-000037140000}"/>
    <cellStyle name="Normal 4 3 2 2 2 3 2 3 2" xfId="22044" xr:uid="{AE1E84B0-9FA2-4FC9-9801-9BDCF64AE3B2}"/>
    <cellStyle name="Normal 4 3 2 2 2 3 2 3 3" xfId="30490" xr:uid="{F5C11918-0514-4401-ABFB-B573FBF2C3A6}"/>
    <cellStyle name="Normal 4 3 2 2 2 3 2 3 4" xfId="13603" xr:uid="{FABB0FBA-C0D8-408D-88F5-DB0EB6752F2B}"/>
    <cellStyle name="Normal 4 3 2 2 2 3 2 4" xfId="17826" xr:uid="{6BE9DE50-2F78-45AD-AA7E-4AC342B8B70D}"/>
    <cellStyle name="Normal 4 3 2 2 2 3 2 5" xfId="26271" xr:uid="{28A691DD-995D-4619-9387-892D91C6310C}"/>
    <cellStyle name="Normal 4 3 2 2 2 3 2 6" xfId="9385" xr:uid="{1302A152-715B-4981-9606-55AB2850FA7A}"/>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24602" xr:uid="{5FA91674-6020-412B-9ADF-98E4B7604D94}"/>
    <cellStyle name="Normal 4 3 2 2 2 3 3 2 2 3" xfId="33048" xr:uid="{4C51EC90-969A-42C7-8CB5-0C0C2E7525BB}"/>
    <cellStyle name="Normal 4 3 2 2 2 3 3 2 2 4" xfId="16161" xr:uid="{C9D5F24A-BB6A-4C4E-B720-62746C1D7891}"/>
    <cellStyle name="Normal 4 3 2 2 2 3 3 2 3" xfId="20384" xr:uid="{7C023B00-25B8-488D-A9F7-8B20BF1091CA}"/>
    <cellStyle name="Normal 4 3 2 2 2 3 3 2 4" xfId="28831" xr:uid="{303F677B-3B01-402B-BF34-A90C053B3D28}"/>
    <cellStyle name="Normal 4 3 2 2 2 3 3 2 5" xfId="11943" xr:uid="{AFC12D02-E4B3-484C-B584-F774D76BA439}"/>
    <cellStyle name="Normal 4 3 2 2 2 3 3 3" xfId="5574" xr:uid="{00000000-0005-0000-0000-00003B140000}"/>
    <cellStyle name="Normal 4 3 2 2 2 3 3 3 2" xfId="22457" xr:uid="{6E88FDC7-6C2B-4BB1-9834-E5C39F05EF37}"/>
    <cellStyle name="Normal 4 3 2 2 2 3 3 3 3" xfId="30903" xr:uid="{0253456E-783A-4477-AFB8-AE7477391282}"/>
    <cellStyle name="Normal 4 3 2 2 2 3 3 3 4" xfId="14016" xr:uid="{83369306-6417-4865-AA72-31AA39F10837}"/>
    <cellStyle name="Normal 4 3 2 2 2 3 3 4" xfId="18239" xr:uid="{AF12ED25-648E-4BE4-9632-1778619B4377}"/>
    <cellStyle name="Normal 4 3 2 2 2 3 3 5" xfId="26684" xr:uid="{44724159-F95F-4660-A7E2-4F3B595AD012}"/>
    <cellStyle name="Normal 4 3 2 2 2 3 3 6" xfId="9798" xr:uid="{0A551440-EEDD-4E9E-825E-65BBCA0EA241}"/>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25015" xr:uid="{BCCC0B77-E9E4-4E47-A38C-E5B126803499}"/>
    <cellStyle name="Normal 4 3 2 2 2 3 4 2 2 3" xfId="33461" xr:uid="{F2E48495-B444-4EA2-AC7B-378CFC4BFAB3}"/>
    <cellStyle name="Normal 4 3 2 2 2 3 4 2 2 4" xfId="16574" xr:uid="{753339A5-A736-49CE-BBE5-4A2D130767B6}"/>
    <cellStyle name="Normal 4 3 2 2 2 3 4 2 3" xfId="20797" xr:uid="{07FDC091-9187-4199-9BF0-E0415603F5A8}"/>
    <cellStyle name="Normal 4 3 2 2 2 3 4 2 4" xfId="29244" xr:uid="{64CD06DF-733A-4A8E-860E-23D9222BD68E}"/>
    <cellStyle name="Normal 4 3 2 2 2 3 4 2 5" xfId="12356" xr:uid="{C672F1C8-CA81-41B3-A51D-AD354DF32243}"/>
    <cellStyle name="Normal 4 3 2 2 2 3 4 3" xfId="5987" xr:uid="{00000000-0005-0000-0000-00003F140000}"/>
    <cellStyle name="Normal 4 3 2 2 2 3 4 3 2" xfId="22870" xr:uid="{F478A4CE-3A40-423B-A551-4972BCA6F429}"/>
    <cellStyle name="Normal 4 3 2 2 2 3 4 3 3" xfId="31316" xr:uid="{046E1444-3E34-4496-AE5E-E1FD8222FBD9}"/>
    <cellStyle name="Normal 4 3 2 2 2 3 4 3 4" xfId="14429" xr:uid="{A99C1092-FA3F-4B38-A4DA-1AE9A5CFBB9D}"/>
    <cellStyle name="Normal 4 3 2 2 2 3 4 4" xfId="18652" xr:uid="{97FD9F9F-EAF0-4040-91A2-BC2C6250C7B5}"/>
    <cellStyle name="Normal 4 3 2 2 2 3 4 5" xfId="27097" xr:uid="{77CF4C63-F7D0-4ED7-A52C-AC276EE47126}"/>
    <cellStyle name="Normal 4 3 2 2 2 3 4 6" xfId="10211" xr:uid="{D174552A-75B2-4AEA-A584-7CA7A2CC1C12}"/>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25428" xr:uid="{4DF6A431-1592-41E1-865C-018B55AA7C2F}"/>
    <cellStyle name="Normal 4 3 2 2 2 3 5 2 2 3" xfId="33874" xr:uid="{E096DFC9-6B08-4604-ADF0-E05B89326FE4}"/>
    <cellStyle name="Normal 4 3 2 2 2 3 5 2 2 4" xfId="16987" xr:uid="{AFD27171-D457-479E-9FE3-FF1D357DC9C6}"/>
    <cellStyle name="Normal 4 3 2 2 2 3 5 2 3" xfId="21210" xr:uid="{B259391D-057E-4761-8F70-360AAF83AE6B}"/>
    <cellStyle name="Normal 4 3 2 2 2 3 5 2 4" xfId="29657" xr:uid="{7228FD5B-5504-4BF7-B99F-9DEFDFD64A7A}"/>
    <cellStyle name="Normal 4 3 2 2 2 3 5 2 5" xfId="12769" xr:uid="{A197747A-D5C8-4484-AA26-442F26E57247}"/>
    <cellStyle name="Normal 4 3 2 2 2 3 5 3" xfId="6400" xr:uid="{00000000-0005-0000-0000-000043140000}"/>
    <cellStyle name="Normal 4 3 2 2 2 3 5 3 2" xfId="23283" xr:uid="{797AC93F-EEBB-4C86-8CA8-BB67E78D09E8}"/>
    <cellStyle name="Normal 4 3 2 2 2 3 5 3 3" xfId="31729" xr:uid="{AFEB9AB0-2277-4570-B862-32A8BAD8C85A}"/>
    <cellStyle name="Normal 4 3 2 2 2 3 5 3 4" xfId="14842" xr:uid="{E6EA7525-5E50-43AD-ADBF-A5F9351FC2BE}"/>
    <cellStyle name="Normal 4 3 2 2 2 3 5 4" xfId="19065" xr:uid="{32FF6881-13CA-4F63-8653-41AD72C0162E}"/>
    <cellStyle name="Normal 4 3 2 2 2 3 5 5" xfId="27510" xr:uid="{71DB59C1-6639-4B84-9BAF-B97847843954}"/>
    <cellStyle name="Normal 4 3 2 2 2 3 5 6" xfId="10624" xr:uid="{4ED7C624-BC4B-47A8-BEF7-FBE1CA18F064}"/>
    <cellStyle name="Normal 4 3 2 2 2 3 6" xfId="2529" xr:uid="{00000000-0005-0000-0000-000044140000}"/>
    <cellStyle name="Normal 4 3 2 2 2 3 6 2" xfId="6813" xr:uid="{00000000-0005-0000-0000-000045140000}"/>
    <cellStyle name="Normal 4 3 2 2 2 3 6 2 2" xfId="23696" xr:uid="{05DBF4B9-0A98-4AA7-9CA0-E5058FB916DB}"/>
    <cellStyle name="Normal 4 3 2 2 2 3 6 2 3" xfId="32142" xr:uid="{3EB08B22-638B-4B54-9E47-1F3FC5980A44}"/>
    <cellStyle name="Normal 4 3 2 2 2 3 6 2 4" xfId="15255" xr:uid="{0AB173A9-CC39-4DA2-80D3-A9002A893DC9}"/>
    <cellStyle name="Normal 4 3 2 2 2 3 6 3" xfId="19478" xr:uid="{41B52128-5CAB-485E-A42A-7A616B022927}"/>
    <cellStyle name="Normal 4 3 2 2 2 3 6 4" xfId="27923" xr:uid="{BFD3DB61-C0A4-4748-A00C-185CD03AEFC6}"/>
    <cellStyle name="Normal 4 3 2 2 2 3 6 5" xfId="11037" xr:uid="{4129BA41-455E-423D-B487-4A55EAD2551F}"/>
    <cellStyle name="Normal 4 3 2 2 2 3 7" xfId="4748" xr:uid="{00000000-0005-0000-0000-000046140000}"/>
    <cellStyle name="Normal 4 3 2 2 2 3 7 2" xfId="21631" xr:uid="{F130AD0B-E9B5-4EF3-8F91-EF9D3F88D0C2}"/>
    <cellStyle name="Normal 4 3 2 2 2 3 7 3" xfId="30077" xr:uid="{6DE080BA-FFBB-4874-B9A8-DECD3D112577}"/>
    <cellStyle name="Normal 4 3 2 2 2 3 7 4" xfId="13190" xr:uid="{6ACB2B32-D0BE-452D-B0F2-C6D6B75B7302}"/>
    <cellStyle name="Normal 4 3 2 2 2 3 8" xfId="17413" xr:uid="{6842B708-C2B7-40C2-858B-8E7913262D5F}"/>
    <cellStyle name="Normal 4 3 2 2 2 3 9" xfId="25857" xr:uid="{8BA460F7-46FB-44DB-9DF8-C611404A152D}"/>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24186" xr:uid="{329521DF-39AA-49D6-A83D-0936B2A0DA13}"/>
    <cellStyle name="Normal 4 3 2 2 2 4 2 2 3" xfId="32632" xr:uid="{402A8559-AAAA-4241-85CB-3899D783CC1A}"/>
    <cellStyle name="Normal 4 3 2 2 2 4 2 2 4" xfId="15745" xr:uid="{FA4D2C25-5C36-47A0-BAB5-B97E3F94DDD5}"/>
    <cellStyle name="Normal 4 3 2 2 2 4 2 3" xfId="19968" xr:uid="{82E990F5-4945-4E3F-92A5-B74B02C510DA}"/>
    <cellStyle name="Normal 4 3 2 2 2 4 2 4" xfId="28415" xr:uid="{4840B5BB-C903-4B20-8674-389CA6453464}"/>
    <cellStyle name="Normal 4 3 2 2 2 4 2 5" xfId="11527" xr:uid="{85FB589E-4917-4C9B-8AB0-78F700C535C2}"/>
    <cellStyle name="Normal 4 3 2 2 2 4 3" xfId="5158" xr:uid="{00000000-0005-0000-0000-00004A140000}"/>
    <cellStyle name="Normal 4 3 2 2 2 4 3 2" xfId="22041" xr:uid="{9462BEFA-C801-4926-937A-3489917F4F48}"/>
    <cellStyle name="Normal 4 3 2 2 2 4 3 3" xfId="30487" xr:uid="{FDE40DAE-4312-4630-94E2-596263F1395D}"/>
    <cellStyle name="Normal 4 3 2 2 2 4 3 4" xfId="13600" xr:uid="{9AD0D732-C2A0-42FF-B0EE-B773EC4D3FFA}"/>
    <cellStyle name="Normal 4 3 2 2 2 4 4" xfId="17823" xr:uid="{87C33A22-405F-4977-872F-629BE870721B}"/>
    <cellStyle name="Normal 4 3 2 2 2 4 5" xfId="26268" xr:uid="{A6918649-EF4D-4327-BC2B-AD99EF482136}"/>
    <cellStyle name="Normal 4 3 2 2 2 4 6" xfId="9382" xr:uid="{31581F84-EC1B-40F8-9E06-8DE20F3B7594}"/>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24599" xr:uid="{FFAF901A-0B08-4811-8D27-553B6BECBD6B}"/>
    <cellStyle name="Normal 4 3 2 2 2 5 2 2 3" xfId="33045" xr:uid="{D9BD364B-FA7A-4895-A8E9-BE1E3F3200BD}"/>
    <cellStyle name="Normal 4 3 2 2 2 5 2 2 4" xfId="16158" xr:uid="{DC481655-CECF-48F8-AA42-C118C9B584EE}"/>
    <cellStyle name="Normal 4 3 2 2 2 5 2 3" xfId="20381" xr:uid="{0436BA83-0F69-48C1-B985-E02384D87C9F}"/>
    <cellStyle name="Normal 4 3 2 2 2 5 2 4" xfId="28828" xr:uid="{098FA3B1-4ADF-4141-A01E-4EDC6FF26C5F}"/>
    <cellStyle name="Normal 4 3 2 2 2 5 2 5" xfId="11940" xr:uid="{0F5B6751-AEB7-4AB6-B8EF-EACD5C098943}"/>
    <cellStyle name="Normal 4 3 2 2 2 5 3" xfId="5571" xr:uid="{00000000-0005-0000-0000-00004E140000}"/>
    <cellStyle name="Normal 4 3 2 2 2 5 3 2" xfId="22454" xr:uid="{3EA24741-50C6-4EB1-9323-1762A19ABC5E}"/>
    <cellStyle name="Normal 4 3 2 2 2 5 3 3" xfId="30900" xr:uid="{C4BE8344-B546-44EB-9691-FB7FB1B8DADE}"/>
    <cellStyle name="Normal 4 3 2 2 2 5 3 4" xfId="14013" xr:uid="{185EA75F-2ADF-44B9-A658-8B0521D905C2}"/>
    <cellStyle name="Normal 4 3 2 2 2 5 4" xfId="18236" xr:uid="{2AD33B37-EE1B-4682-9BF0-AE9037CC9372}"/>
    <cellStyle name="Normal 4 3 2 2 2 5 5" xfId="26681" xr:uid="{83D78EDD-6CD7-4372-AA0C-8A7F769B550A}"/>
    <cellStyle name="Normal 4 3 2 2 2 5 6" xfId="9795" xr:uid="{9AD45B47-9F73-4198-A392-048ECC099C56}"/>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25012" xr:uid="{6BE621F4-D33E-4187-88A8-BF90AB807B02}"/>
    <cellStyle name="Normal 4 3 2 2 2 6 2 2 3" xfId="33458" xr:uid="{BA9E6562-62BB-4361-A6ED-C710E2D22330}"/>
    <cellStyle name="Normal 4 3 2 2 2 6 2 2 4" xfId="16571" xr:uid="{BE13E20D-02F9-4506-8993-9D5F95EB366C}"/>
    <cellStyle name="Normal 4 3 2 2 2 6 2 3" xfId="20794" xr:uid="{FDF78E61-00D3-4242-80D3-EFFA2A1E86D4}"/>
    <cellStyle name="Normal 4 3 2 2 2 6 2 4" xfId="29241" xr:uid="{9639F20D-F09A-4114-974D-097B3B217D68}"/>
    <cellStyle name="Normal 4 3 2 2 2 6 2 5" xfId="12353" xr:uid="{69BE64C3-B6BE-42FD-9DE8-AA4E8060A29F}"/>
    <cellStyle name="Normal 4 3 2 2 2 6 3" xfId="5984" xr:uid="{00000000-0005-0000-0000-000052140000}"/>
    <cellStyle name="Normal 4 3 2 2 2 6 3 2" xfId="22867" xr:uid="{9A573EB1-EDF5-4A5F-96F3-A4A71C839BA0}"/>
    <cellStyle name="Normal 4 3 2 2 2 6 3 3" xfId="31313" xr:uid="{28C14AE7-FCA8-4291-A9F0-F5F43EA991A5}"/>
    <cellStyle name="Normal 4 3 2 2 2 6 3 4" xfId="14426" xr:uid="{F81C5D6D-01AB-475D-BE6C-55B1B4B2C429}"/>
    <cellStyle name="Normal 4 3 2 2 2 6 4" xfId="18649" xr:uid="{701D82E4-0E80-4F0A-82D6-775A08EDF737}"/>
    <cellStyle name="Normal 4 3 2 2 2 6 5" xfId="27094" xr:uid="{F1683999-4222-4169-8BC4-E552320A6080}"/>
    <cellStyle name="Normal 4 3 2 2 2 6 6" xfId="10208" xr:uid="{50A96D71-353A-40DF-93C0-0428819CEA93}"/>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25425" xr:uid="{8F2F75D5-1731-43BF-A2DC-A8E7201D28F2}"/>
    <cellStyle name="Normal 4 3 2 2 2 7 2 2 3" xfId="33871" xr:uid="{CC82B9F9-4D14-462A-8DCF-459007DC42FA}"/>
    <cellStyle name="Normal 4 3 2 2 2 7 2 2 4" xfId="16984" xr:uid="{FDCAD006-498B-4800-ACFD-396E709AE155}"/>
    <cellStyle name="Normal 4 3 2 2 2 7 2 3" xfId="21207" xr:uid="{B2FE0DF8-8420-4667-B21E-F6A95B5216B3}"/>
    <cellStyle name="Normal 4 3 2 2 2 7 2 4" xfId="29654" xr:uid="{5BFD0D53-8161-4962-AF32-EA619F253B59}"/>
    <cellStyle name="Normal 4 3 2 2 2 7 2 5" xfId="12766" xr:uid="{E9867522-BDB9-4D1B-AE13-C939043279C9}"/>
    <cellStyle name="Normal 4 3 2 2 2 7 3" xfId="6397" xr:uid="{00000000-0005-0000-0000-000056140000}"/>
    <cellStyle name="Normal 4 3 2 2 2 7 3 2" xfId="23280" xr:uid="{C4F73077-01F9-4D97-B8AF-32D6DED05F37}"/>
    <cellStyle name="Normal 4 3 2 2 2 7 3 3" xfId="31726" xr:uid="{4B462FF4-36F7-4254-8699-A86293AB68FD}"/>
    <cellStyle name="Normal 4 3 2 2 2 7 3 4" xfId="14839" xr:uid="{761033FA-D4F2-48C5-9D60-DF306F1D95E7}"/>
    <cellStyle name="Normal 4 3 2 2 2 7 4" xfId="19062" xr:uid="{E576D3B9-727E-4F70-BF46-59BF1D406CAD}"/>
    <cellStyle name="Normal 4 3 2 2 2 7 5" xfId="27507" xr:uid="{DA027947-E51F-4990-AE74-D4FD576923CC}"/>
    <cellStyle name="Normal 4 3 2 2 2 7 6" xfId="10621" xr:uid="{80C44634-C7F6-49D0-B84E-A16888274DDD}"/>
    <cellStyle name="Normal 4 3 2 2 2 8" xfId="2526" xr:uid="{00000000-0005-0000-0000-000057140000}"/>
    <cellStyle name="Normal 4 3 2 2 2 8 2" xfId="6810" xr:uid="{00000000-0005-0000-0000-000058140000}"/>
    <cellStyle name="Normal 4 3 2 2 2 8 2 2" xfId="23693" xr:uid="{C3A5F1E1-F858-432C-B616-814F19EFBD69}"/>
    <cellStyle name="Normal 4 3 2 2 2 8 2 3" xfId="32139" xr:uid="{E99C97D1-6E37-4AED-A73D-0ADE5C4A4957}"/>
    <cellStyle name="Normal 4 3 2 2 2 8 2 4" xfId="15252" xr:uid="{552D8C2C-E959-47D3-BF8B-A1155877D7DD}"/>
    <cellStyle name="Normal 4 3 2 2 2 8 3" xfId="19475" xr:uid="{6F96D71E-1EC2-4EAB-B4F3-B41F7B7F4714}"/>
    <cellStyle name="Normal 4 3 2 2 2 8 4" xfId="27920" xr:uid="{DD42D458-75AF-49C2-8723-0BC4E5FE5367}"/>
    <cellStyle name="Normal 4 3 2 2 2 8 5" xfId="11034" xr:uid="{2A1F583F-5657-4E86-AB1F-5EA39E9BFF0D}"/>
    <cellStyle name="Normal 4 3 2 2 2 9" xfId="4745" xr:uid="{00000000-0005-0000-0000-000059140000}"/>
    <cellStyle name="Normal 4 3 2 2 2 9 2" xfId="21628" xr:uid="{962B708C-97ED-4DAF-83F1-0AFD50335301}"/>
    <cellStyle name="Normal 4 3 2 2 2 9 3" xfId="30074" xr:uid="{531B05FC-B38B-49B8-B077-81EB8AF9B114}"/>
    <cellStyle name="Normal 4 3 2 2 2 9 4" xfId="13187" xr:uid="{2F226469-1610-496E-8A65-12C53763EF16}"/>
    <cellStyle name="Normal 4 3 2 3" xfId="373" xr:uid="{00000000-0005-0000-0000-00005A140000}"/>
    <cellStyle name="Normal 4 3 2 3 2" xfId="848" xr:uid="{00000000-0005-0000-0000-00005B140000}"/>
    <cellStyle name="Normal 4 3 2 4" xfId="843" xr:uid="{00000000-0005-0000-0000-00005C140000}"/>
    <cellStyle name="Normal 4 3 2 5" xfId="34077" xr:uid="{6539142C-B8E4-49E9-9334-82E4E9BF130F}"/>
    <cellStyle name="Normal 4 3 3" xfId="374" xr:uid="{00000000-0005-0000-0000-00005D140000}"/>
    <cellStyle name="Normal 4 3 3 10" xfId="17414" xr:uid="{462FD127-9654-48B9-9D4D-BB60BBC79972}"/>
    <cellStyle name="Normal 4 3 3 11" xfId="25858" xr:uid="{D06063C1-D854-47C3-85D4-6905955795DD}"/>
    <cellStyle name="Normal 4 3 3 12" xfId="8973" xr:uid="{E575C806-2F88-4971-AE6B-B7669DAC59A9}"/>
    <cellStyle name="Normal 4 3 3 2" xfId="375" xr:uid="{00000000-0005-0000-0000-00005E140000}"/>
    <cellStyle name="Normal 4 3 3 2 10" xfId="25859" xr:uid="{38622D80-FD5C-4898-8B50-267453917609}"/>
    <cellStyle name="Normal 4 3 3 2 11" xfId="8974" xr:uid="{FE37B720-7ED7-436B-A838-7B104218FDCF}"/>
    <cellStyle name="Normal 4 3 3 2 2" xfId="376" xr:uid="{00000000-0005-0000-0000-00005F140000}"/>
    <cellStyle name="Normal 4 3 3 2 2 10" xfId="8975" xr:uid="{2CECFAA6-4BAC-4587-AA0E-560DFF20ACA6}"/>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24192" xr:uid="{28455AF6-5FB8-48CE-B790-6E8161B5193D}"/>
    <cellStyle name="Normal 4 3 3 2 2 2 2 2 3" xfId="32638" xr:uid="{2B29D906-6DCA-44E8-82B5-FBB603B07645}"/>
    <cellStyle name="Normal 4 3 3 2 2 2 2 2 4" xfId="15751" xr:uid="{4D4C44C0-527D-48B7-B499-0FADD98CDC1B}"/>
    <cellStyle name="Normal 4 3 3 2 2 2 2 3" xfId="19974" xr:uid="{76F2DDBC-D802-44B4-9B83-128CA404A196}"/>
    <cellStyle name="Normal 4 3 3 2 2 2 2 4" xfId="28421" xr:uid="{A7093688-8823-4955-A8CB-C93BF7CED311}"/>
    <cellStyle name="Normal 4 3 3 2 2 2 2 5" xfId="11533" xr:uid="{45F0E6D1-F767-4BF8-A2B4-EA25C9DB9632}"/>
    <cellStyle name="Normal 4 3 3 2 2 2 3" xfId="5164" xr:uid="{00000000-0005-0000-0000-000063140000}"/>
    <cellStyle name="Normal 4 3 3 2 2 2 3 2" xfId="22047" xr:uid="{3654E0D0-1C13-47EA-92BC-4DD37E583C74}"/>
    <cellStyle name="Normal 4 3 3 2 2 2 3 3" xfId="30493" xr:uid="{04FF4053-D0DD-4AD3-B9E4-CCBA7313BA22}"/>
    <cellStyle name="Normal 4 3 3 2 2 2 3 4" xfId="13606" xr:uid="{A232E797-5E49-42C6-BB79-4F0224692354}"/>
    <cellStyle name="Normal 4 3 3 2 2 2 4" xfId="17829" xr:uid="{F3F03DC4-6B9E-4339-94C8-671450FEEFC8}"/>
    <cellStyle name="Normal 4 3 3 2 2 2 5" xfId="26274" xr:uid="{06BC0BC0-1BC3-4376-AFBA-3E9B33C3F1CE}"/>
    <cellStyle name="Normal 4 3 3 2 2 2 6" xfId="9388" xr:uid="{39F7B7D7-26C7-48B7-A317-5269C408099F}"/>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24605" xr:uid="{E23FE058-B525-44A4-A4EC-5527C0E76459}"/>
    <cellStyle name="Normal 4 3 3 2 2 3 2 2 3" xfId="33051" xr:uid="{AA48B56E-F726-4A18-B66D-AD9167592E60}"/>
    <cellStyle name="Normal 4 3 3 2 2 3 2 2 4" xfId="16164" xr:uid="{6D56C65F-DC1F-4151-94F0-360B75FA5DFB}"/>
    <cellStyle name="Normal 4 3 3 2 2 3 2 3" xfId="20387" xr:uid="{7BDBCB03-B7B1-466C-B7BA-3F6EC665508A}"/>
    <cellStyle name="Normal 4 3 3 2 2 3 2 4" xfId="28834" xr:uid="{933C45C2-4E0D-456E-95C2-6CD994AA35F1}"/>
    <cellStyle name="Normal 4 3 3 2 2 3 2 5" xfId="11946" xr:uid="{0E89C6F9-CEC9-44F7-AC40-E8ACFA355EDA}"/>
    <cellStyle name="Normal 4 3 3 2 2 3 3" xfId="5577" xr:uid="{00000000-0005-0000-0000-000067140000}"/>
    <cellStyle name="Normal 4 3 3 2 2 3 3 2" xfId="22460" xr:uid="{F945DAF3-CB75-4F15-9FA2-8941696CEC99}"/>
    <cellStyle name="Normal 4 3 3 2 2 3 3 3" xfId="30906" xr:uid="{E10540BC-9E96-444A-B858-3F3093205951}"/>
    <cellStyle name="Normal 4 3 3 2 2 3 3 4" xfId="14019" xr:uid="{A924A9E2-5AB6-4C1B-8F8A-28FBEE561810}"/>
    <cellStyle name="Normal 4 3 3 2 2 3 4" xfId="18242" xr:uid="{55D8431D-B82A-4571-9C0A-8DB85DE16325}"/>
    <cellStyle name="Normal 4 3 3 2 2 3 5" xfId="26687" xr:uid="{5840B73C-B5BD-437E-9331-42E3F7C8CE01}"/>
    <cellStyle name="Normal 4 3 3 2 2 3 6" xfId="9801" xr:uid="{FE582F05-F0DE-4CA2-9BC8-AC9A9C7C8909}"/>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25018" xr:uid="{ADEC0361-5690-4E8A-A105-F590A41F5AFB}"/>
    <cellStyle name="Normal 4 3 3 2 2 4 2 2 3" xfId="33464" xr:uid="{A6E97993-A522-4351-B345-CBFB08A49D74}"/>
    <cellStyle name="Normal 4 3 3 2 2 4 2 2 4" xfId="16577" xr:uid="{6EAC2173-468E-463D-A792-CA0AD57192EE}"/>
    <cellStyle name="Normal 4 3 3 2 2 4 2 3" xfId="20800" xr:uid="{D2D07ACA-8873-4598-A9C8-38D2961B0E08}"/>
    <cellStyle name="Normal 4 3 3 2 2 4 2 4" xfId="29247" xr:uid="{B00A418B-C3A3-408B-848D-0C235B22DC2F}"/>
    <cellStyle name="Normal 4 3 3 2 2 4 2 5" xfId="12359" xr:uid="{6622B76E-8040-43C8-AF95-08E9C8F2F135}"/>
    <cellStyle name="Normal 4 3 3 2 2 4 3" xfId="5990" xr:uid="{00000000-0005-0000-0000-00006B140000}"/>
    <cellStyle name="Normal 4 3 3 2 2 4 3 2" xfId="22873" xr:uid="{C4C3E0B1-B6A3-4B82-B0A8-D754ADAC37CF}"/>
    <cellStyle name="Normal 4 3 3 2 2 4 3 3" xfId="31319" xr:uid="{1CE28734-41F3-4CE3-9378-48D2918BE787}"/>
    <cellStyle name="Normal 4 3 3 2 2 4 3 4" xfId="14432" xr:uid="{6DCF2B78-9322-467A-99FC-A810694E4FE2}"/>
    <cellStyle name="Normal 4 3 3 2 2 4 4" xfId="18655" xr:uid="{34B0CE1C-A4D4-4562-A1F2-C170A1A7F844}"/>
    <cellStyle name="Normal 4 3 3 2 2 4 5" xfId="27100" xr:uid="{BBBF24D8-92F6-40BC-B74C-F850E5C3059A}"/>
    <cellStyle name="Normal 4 3 3 2 2 4 6" xfId="10214" xr:uid="{43D5845B-7DB5-4D97-9F1A-0E3041E11ABF}"/>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25431" xr:uid="{866FFCD5-E487-446E-A21D-A3B85EB2AD5F}"/>
    <cellStyle name="Normal 4 3 3 2 2 5 2 2 3" xfId="33877" xr:uid="{2EDE3EE5-70F8-4849-B7A2-61C9B8A0EBB1}"/>
    <cellStyle name="Normal 4 3 3 2 2 5 2 2 4" xfId="16990" xr:uid="{76CC0D35-034E-4D2C-9B73-8D8DB203D5B9}"/>
    <cellStyle name="Normal 4 3 3 2 2 5 2 3" xfId="21213" xr:uid="{736E20A0-9993-4C97-9117-24209438CA25}"/>
    <cellStyle name="Normal 4 3 3 2 2 5 2 4" xfId="29660" xr:uid="{DD1CA41B-17F5-4C71-879C-7CC0F4DF6120}"/>
    <cellStyle name="Normal 4 3 3 2 2 5 2 5" xfId="12772" xr:uid="{71872DCC-0FF1-4955-AAFC-D48154871A32}"/>
    <cellStyle name="Normal 4 3 3 2 2 5 3" xfId="6403" xr:uid="{00000000-0005-0000-0000-00006F140000}"/>
    <cellStyle name="Normal 4 3 3 2 2 5 3 2" xfId="23286" xr:uid="{AFDA88B8-304F-41A6-A3BC-DA9BF4B3D8F8}"/>
    <cellStyle name="Normal 4 3 3 2 2 5 3 3" xfId="31732" xr:uid="{85D04E04-2CFE-49B0-88FF-3DB8DB87AAE7}"/>
    <cellStyle name="Normal 4 3 3 2 2 5 3 4" xfId="14845" xr:uid="{5633E866-C9B9-4E90-AF17-B4B1CA728F52}"/>
    <cellStyle name="Normal 4 3 3 2 2 5 4" xfId="19068" xr:uid="{75EDA011-009D-4247-BB1D-75CBA24984CE}"/>
    <cellStyle name="Normal 4 3 3 2 2 5 5" xfId="27513" xr:uid="{B74F3067-2201-4FCD-8E66-FA4EFF5FD63B}"/>
    <cellStyle name="Normal 4 3 3 2 2 5 6" xfId="10627" xr:uid="{78B17F4E-B2E6-4292-AEE0-CD8ECE2ADF87}"/>
    <cellStyle name="Normal 4 3 3 2 2 6" xfId="2532" xr:uid="{00000000-0005-0000-0000-000070140000}"/>
    <cellStyle name="Normal 4 3 3 2 2 6 2" xfId="6816" xr:uid="{00000000-0005-0000-0000-000071140000}"/>
    <cellStyle name="Normal 4 3 3 2 2 6 2 2" xfId="23699" xr:uid="{755891BC-3EFA-4CF1-A034-E876B0B9208D}"/>
    <cellStyle name="Normal 4 3 3 2 2 6 2 3" xfId="32145" xr:uid="{339E0B5B-0B33-4873-86E3-DBC50B642145}"/>
    <cellStyle name="Normal 4 3 3 2 2 6 2 4" xfId="15258" xr:uid="{FD555DA7-BB16-4B4B-AE3C-347FDA51F392}"/>
    <cellStyle name="Normal 4 3 3 2 2 6 3" xfId="19481" xr:uid="{5F7C6B29-AD64-4252-8103-A78EA50180A9}"/>
    <cellStyle name="Normal 4 3 3 2 2 6 4" xfId="27926" xr:uid="{AC513DFE-582C-42CA-AF4E-4D24DFDBBD24}"/>
    <cellStyle name="Normal 4 3 3 2 2 6 5" xfId="11040" xr:uid="{693EF381-858C-4857-8DB7-443CD9A00ED1}"/>
    <cellStyle name="Normal 4 3 3 2 2 7" xfId="4751" xr:uid="{00000000-0005-0000-0000-000072140000}"/>
    <cellStyle name="Normal 4 3 3 2 2 7 2" xfId="21634" xr:uid="{D7D64E19-5DFA-48EA-B09E-E629371527CE}"/>
    <cellStyle name="Normal 4 3 3 2 2 7 3" xfId="30080" xr:uid="{4398241F-5B45-4D9E-99F4-71C041548577}"/>
    <cellStyle name="Normal 4 3 3 2 2 7 4" xfId="13193" xr:uid="{B5D26F7B-CA22-4931-818E-2BE699965940}"/>
    <cellStyle name="Normal 4 3 3 2 2 8" xfId="17416" xr:uid="{5065E5E8-3D6D-4300-8F8D-D301174EF898}"/>
    <cellStyle name="Normal 4 3 3 2 2 9" xfId="25860" xr:uid="{094188A5-2212-48D0-9D9F-8A9BA049A20E}"/>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24191" xr:uid="{4AE27EB8-26A8-4E5A-8808-D7C7B78B4D71}"/>
    <cellStyle name="Normal 4 3 3 2 3 2 2 3" xfId="32637" xr:uid="{D287226E-EB75-4CB0-A02C-2578A04373A8}"/>
    <cellStyle name="Normal 4 3 3 2 3 2 2 4" xfId="15750" xr:uid="{E9D8A15C-78CB-4B0A-93BF-6AC0DB3C8305}"/>
    <cellStyle name="Normal 4 3 3 2 3 2 3" xfId="19973" xr:uid="{5CE3CCBF-7938-4FB6-AFD4-7C66D5D3ECEA}"/>
    <cellStyle name="Normal 4 3 3 2 3 2 4" xfId="28420" xr:uid="{9231660B-293A-4A38-918E-FD590B4CF9BC}"/>
    <cellStyle name="Normal 4 3 3 2 3 2 5" xfId="11532" xr:uid="{A4B9F318-5808-40B0-92CE-EBDC5D370E50}"/>
    <cellStyle name="Normal 4 3 3 2 3 3" xfId="5163" xr:uid="{00000000-0005-0000-0000-000076140000}"/>
    <cellStyle name="Normal 4 3 3 2 3 3 2" xfId="22046" xr:uid="{7F246CCC-A3DE-46C0-9B96-0F84A5F5F980}"/>
    <cellStyle name="Normal 4 3 3 2 3 3 3" xfId="30492" xr:uid="{8BE6C99D-A426-44D5-A16A-DE223493BDA5}"/>
    <cellStyle name="Normal 4 3 3 2 3 3 4" xfId="13605" xr:uid="{79FC9934-6F99-4734-8358-38B9C97171DB}"/>
    <cellStyle name="Normal 4 3 3 2 3 4" xfId="17828" xr:uid="{79A1F8E6-BF4B-4C48-AA47-B2A334CB30B5}"/>
    <cellStyle name="Normal 4 3 3 2 3 5" xfId="26273" xr:uid="{A33540E6-8CA2-4310-99D6-48AF40D3E793}"/>
    <cellStyle name="Normal 4 3 3 2 3 6" xfId="9387" xr:uid="{CD1AA34D-6F5E-473A-8400-EE330C105C71}"/>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24604" xr:uid="{D69446A3-53F8-47F2-BB1A-E767258E610D}"/>
    <cellStyle name="Normal 4 3 3 2 4 2 2 3" xfId="33050" xr:uid="{F45AF456-7827-43E6-8D7F-F7C1798D3B3D}"/>
    <cellStyle name="Normal 4 3 3 2 4 2 2 4" xfId="16163" xr:uid="{A0DD7765-88D3-47D9-9FBD-1119FEAF5963}"/>
    <cellStyle name="Normal 4 3 3 2 4 2 3" xfId="20386" xr:uid="{5F6E52AB-A474-4101-9B3D-D00EDFACA29D}"/>
    <cellStyle name="Normal 4 3 3 2 4 2 4" xfId="28833" xr:uid="{08124B0A-1B2D-4D04-A789-7471EAE50A9B}"/>
    <cellStyle name="Normal 4 3 3 2 4 2 5" xfId="11945" xr:uid="{44BE84AA-0CB3-4058-B21F-77162DD950C3}"/>
    <cellStyle name="Normal 4 3 3 2 4 3" xfId="5576" xr:uid="{00000000-0005-0000-0000-00007A140000}"/>
    <cellStyle name="Normal 4 3 3 2 4 3 2" xfId="22459" xr:uid="{268B0CE4-F55A-4163-85B4-62A000A9F83E}"/>
    <cellStyle name="Normal 4 3 3 2 4 3 3" xfId="30905" xr:uid="{4601B048-E0ED-4958-BF2B-A84B121892D0}"/>
    <cellStyle name="Normal 4 3 3 2 4 3 4" xfId="14018" xr:uid="{3B941629-21F7-412A-B07F-D8447FDA831D}"/>
    <cellStyle name="Normal 4 3 3 2 4 4" xfId="18241" xr:uid="{CFE8549A-3749-4564-940F-FEF2C97EACE9}"/>
    <cellStyle name="Normal 4 3 3 2 4 5" xfId="26686" xr:uid="{4FD59559-7E62-4E69-8C18-6455EC1E978C}"/>
    <cellStyle name="Normal 4 3 3 2 4 6" xfId="9800" xr:uid="{2A9D5D51-D1E8-431B-8CFE-41979AFEC238}"/>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25017" xr:uid="{5DDB62CD-33CC-4CE1-97D6-B12942C60BB6}"/>
    <cellStyle name="Normal 4 3 3 2 5 2 2 3" xfId="33463" xr:uid="{4CF67867-7CA6-4580-8255-43A82D270C40}"/>
    <cellStyle name="Normal 4 3 3 2 5 2 2 4" xfId="16576" xr:uid="{7DD82023-74E3-4768-9CE2-ABE298679A2F}"/>
    <cellStyle name="Normal 4 3 3 2 5 2 3" xfId="20799" xr:uid="{023B12A9-BD2C-4785-A4E5-6B7885CF05CB}"/>
    <cellStyle name="Normal 4 3 3 2 5 2 4" xfId="29246" xr:uid="{DD7107E1-3DA6-4F94-812C-130F0C10C9D4}"/>
    <cellStyle name="Normal 4 3 3 2 5 2 5" xfId="12358" xr:uid="{BF45648D-E355-45B2-AB86-1BC3E551B57D}"/>
    <cellStyle name="Normal 4 3 3 2 5 3" xfId="5989" xr:uid="{00000000-0005-0000-0000-00007E140000}"/>
    <cellStyle name="Normal 4 3 3 2 5 3 2" xfId="22872" xr:uid="{77E72D43-A009-449B-A774-FD2AB37F7FA0}"/>
    <cellStyle name="Normal 4 3 3 2 5 3 3" xfId="31318" xr:uid="{59D7B765-42CA-4041-9B4B-987E4A8FDEEB}"/>
    <cellStyle name="Normal 4 3 3 2 5 3 4" xfId="14431" xr:uid="{D240CA6C-B57E-4064-96C0-CEA37E5CA009}"/>
    <cellStyle name="Normal 4 3 3 2 5 4" xfId="18654" xr:uid="{03E20233-A0B8-45B3-927C-5C3DDB5AA923}"/>
    <cellStyle name="Normal 4 3 3 2 5 5" xfId="27099" xr:uid="{18D1E0E8-2166-46F8-8AB0-C92562C7FB5F}"/>
    <cellStyle name="Normal 4 3 3 2 5 6" xfId="10213" xr:uid="{11799C9D-600C-437E-960D-CD976E9A8243}"/>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25430" xr:uid="{3BF9FAB8-7397-468C-81ED-ACF0CA6A0476}"/>
    <cellStyle name="Normal 4 3 3 2 6 2 2 3" xfId="33876" xr:uid="{866CCC27-B1BB-44C0-B4A2-EA2776E520EE}"/>
    <cellStyle name="Normal 4 3 3 2 6 2 2 4" xfId="16989" xr:uid="{F8D0FF5F-A8C3-4427-8AD9-BFD1EDBA6BED}"/>
    <cellStyle name="Normal 4 3 3 2 6 2 3" xfId="21212" xr:uid="{01C59BB5-BFBB-435A-96D6-74585E77C6D7}"/>
    <cellStyle name="Normal 4 3 3 2 6 2 4" xfId="29659" xr:uid="{0F2DF314-E236-4608-8CAA-BD84A4E61B8F}"/>
    <cellStyle name="Normal 4 3 3 2 6 2 5" xfId="12771" xr:uid="{9092C2BB-DD39-456B-B88A-D3DC3D46C35B}"/>
    <cellStyle name="Normal 4 3 3 2 6 3" xfId="6402" xr:uid="{00000000-0005-0000-0000-000082140000}"/>
    <cellStyle name="Normal 4 3 3 2 6 3 2" xfId="23285" xr:uid="{DD9388A3-F10A-4754-B905-8B1258A64EA1}"/>
    <cellStyle name="Normal 4 3 3 2 6 3 3" xfId="31731" xr:uid="{4E506E1F-E81C-48B6-9640-9391E2DFC278}"/>
    <cellStyle name="Normal 4 3 3 2 6 3 4" xfId="14844" xr:uid="{4F6EFD4B-A9A0-4AF6-924D-80E022857612}"/>
    <cellStyle name="Normal 4 3 3 2 6 4" xfId="19067" xr:uid="{98001813-AAF4-47D4-9374-3E34F4DF21CF}"/>
    <cellStyle name="Normal 4 3 3 2 6 5" xfId="27512" xr:uid="{8AF691FB-BBC9-4716-9F3D-F4C91D9BC513}"/>
    <cellStyle name="Normal 4 3 3 2 6 6" xfId="10626" xr:uid="{2E80F0EF-B3E5-4234-AE23-3FE3A25B1D04}"/>
    <cellStyle name="Normal 4 3 3 2 7" xfId="2531" xr:uid="{00000000-0005-0000-0000-000083140000}"/>
    <cellStyle name="Normal 4 3 3 2 7 2" xfId="6815" xr:uid="{00000000-0005-0000-0000-000084140000}"/>
    <cellStyle name="Normal 4 3 3 2 7 2 2" xfId="23698" xr:uid="{27E53D27-B37F-46D4-9860-567292F3DC0C}"/>
    <cellStyle name="Normal 4 3 3 2 7 2 3" xfId="32144" xr:uid="{CE90110E-C73C-4CD9-A4C2-BDEFC37330FF}"/>
    <cellStyle name="Normal 4 3 3 2 7 2 4" xfId="15257" xr:uid="{7C00B92B-C190-41F2-9CD3-5468FED3431D}"/>
    <cellStyle name="Normal 4 3 3 2 7 3" xfId="19480" xr:uid="{54E04B3D-464E-4A77-BC7F-08826A95C7C2}"/>
    <cellStyle name="Normal 4 3 3 2 7 4" xfId="27925" xr:uid="{072D10D5-E330-4078-9A27-0C192BCCB014}"/>
    <cellStyle name="Normal 4 3 3 2 7 5" xfId="11039" xr:uid="{E752F609-5FAB-4CD5-A72A-0D95E22FA8C8}"/>
    <cellStyle name="Normal 4 3 3 2 8" xfId="4750" xr:uid="{00000000-0005-0000-0000-000085140000}"/>
    <cellStyle name="Normal 4 3 3 2 8 2" xfId="21633" xr:uid="{DF2594F5-1635-4C67-8257-F4A3F6840F5E}"/>
    <cellStyle name="Normal 4 3 3 2 8 3" xfId="30079" xr:uid="{62D16349-559C-46B4-9470-D078140F8B98}"/>
    <cellStyle name="Normal 4 3 3 2 8 4" xfId="13192" xr:uid="{787AE321-5005-4BA1-BB8F-98BE4FD840AE}"/>
    <cellStyle name="Normal 4 3 3 2 9" xfId="17415" xr:uid="{525458B5-CAF1-47E9-AC05-AACF09B0BDB3}"/>
    <cellStyle name="Normal 4 3 3 3" xfId="377" xr:uid="{00000000-0005-0000-0000-000086140000}"/>
    <cellStyle name="Normal 4 3 3 3 10" xfId="8976" xr:uid="{7A1FD706-48E8-4F3C-9546-973E5CFAD474}"/>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24193" xr:uid="{8F3A6C8B-9130-4FEE-9CBC-7D24275AC483}"/>
    <cellStyle name="Normal 4 3 3 3 2 2 2 3" xfId="32639" xr:uid="{C601C4B9-9405-4804-84A7-166B0C8D0EF8}"/>
    <cellStyle name="Normal 4 3 3 3 2 2 2 4" xfId="15752" xr:uid="{32FE4429-4B24-4C0C-88E6-8E6BEBF1C67D}"/>
    <cellStyle name="Normal 4 3 3 3 2 2 3" xfId="19975" xr:uid="{C4BC86BD-2177-4576-8E83-535A59539834}"/>
    <cellStyle name="Normal 4 3 3 3 2 2 4" xfId="28422" xr:uid="{57664ABC-505A-456A-B903-4E898B4083CC}"/>
    <cellStyle name="Normal 4 3 3 3 2 2 5" xfId="11534" xr:uid="{2ADB57A7-BE44-4075-81E0-C3A01FB3B72B}"/>
    <cellStyle name="Normal 4 3 3 3 2 3" xfId="5165" xr:uid="{00000000-0005-0000-0000-00008A140000}"/>
    <cellStyle name="Normal 4 3 3 3 2 3 2" xfId="22048" xr:uid="{9E83C053-7CA7-41F9-8F95-7598A031F7F9}"/>
    <cellStyle name="Normal 4 3 3 3 2 3 3" xfId="30494" xr:uid="{874B187C-1AE2-46D8-8902-8C2BA96C8E93}"/>
    <cellStyle name="Normal 4 3 3 3 2 3 4" xfId="13607" xr:uid="{F0C8553A-B5A9-4CBE-B0D1-4271B1277F1E}"/>
    <cellStyle name="Normal 4 3 3 3 2 4" xfId="17830" xr:uid="{616232FA-D738-44E0-865F-31CA358EB4AA}"/>
    <cellStyle name="Normal 4 3 3 3 2 5" xfId="26275" xr:uid="{709598B8-937C-4C29-8C8B-865753BFB4AF}"/>
    <cellStyle name="Normal 4 3 3 3 2 6" xfId="9389" xr:uid="{BA34FEE7-AB7C-454A-A394-DCDE9608C7D7}"/>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24606" xr:uid="{7F226E5C-3C61-44AE-85D4-34B17C147C8D}"/>
    <cellStyle name="Normal 4 3 3 3 3 2 2 3" xfId="33052" xr:uid="{4CC17363-213E-45D7-B122-F2B19CE67E29}"/>
    <cellStyle name="Normal 4 3 3 3 3 2 2 4" xfId="16165" xr:uid="{91F39C74-ADF8-4F9A-9378-ECE085102A5E}"/>
    <cellStyle name="Normal 4 3 3 3 3 2 3" xfId="20388" xr:uid="{3165BB99-E62C-4528-95A5-002D873BBCF3}"/>
    <cellStyle name="Normal 4 3 3 3 3 2 4" xfId="28835" xr:uid="{BC55BB19-0668-411C-98F7-AC3C0BF22BA8}"/>
    <cellStyle name="Normal 4 3 3 3 3 2 5" xfId="11947" xr:uid="{F2EBA164-7882-47A5-9B8E-A4B1E0A666C2}"/>
    <cellStyle name="Normal 4 3 3 3 3 3" xfId="5578" xr:uid="{00000000-0005-0000-0000-00008E140000}"/>
    <cellStyle name="Normal 4 3 3 3 3 3 2" xfId="22461" xr:uid="{EBAB79DC-29D0-494F-B4C7-857235407C09}"/>
    <cellStyle name="Normal 4 3 3 3 3 3 3" xfId="30907" xr:uid="{A4B79346-A7AC-4827-8794-0043CAA127BB}"/>
    <cellStyle name="Normal 4 3 3 3 3 3 4" xfId="14020" xr:uid="{43385F0E-FFDF-4D5E-A964-0164B4EE5437}"/>
    <cellStyle name="Normal 4 3 3 3 3 4" xfId="18243" xr:uid="{374A1BF9-22FE-4A5A-B5A9-C543C9244D6A}"/>
    <cellStyle name="Normal 4 3 3 3 3 5" xfId="26688" xr:uid="{872CE9E0-9585-4815-97E1-8CB2C832753D}"/>
    <cellStyle name="Normal 4 3 3 3 3 6" xfId="9802" xr:uid="{1969995E-85A1-45C0-8111-EC1699920D33}"/>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25019" xr:uid="{08BB861B-DC87-4C0B-B6E3-9CE747E705FC}"/>
    <cellStyle name="Normal 4 3 3 3 4 2 2 3" xfId="33465" xr:uid="{7A4F71F6-9B5E-4C40-9D4A-A1B141A0770F}"/>
    <cellStyle name="Normal 4 3 3 3 4 2 2 4" xfId="16578" xr:uid="{C76512D4-9D35-442C-ABE4-C3F46704D998}"/>
    <cellStyle name="Normal 4 3 3 3 4 2 3" xfId="20801" xr:uid="{4F08708B-8475-4F33-927D-C82140D8F770}"/>
    <cellStyle name="Normal 4 3 3 3 4 2 4" xfId="29248" xr:uid="{2C59FB64-E1E3-44A9-AF2D-63B104E8BFAE}"/>
    <cellStyle name="Normal 4 3 3 3 4 2 5" xfId="12360" xr:uid="{F02D5AAD-AC4A-457E-B122-EDC57CA2BCF2}"/>
    <cellStyle name="Normal 4 3 3 3 4 3" xfId="5991" xr:uid="{00000000-0005-0000-0000-000092140000}"/>
    <cellStyle name="Normal 4 3 3 3 4 3 2" xfId="22874" xr:uid="{335831A0-EAF5-4346-9C18-F9CFCF8C9AE0}"/>
    <cellStyle name="Normal 4 3 3 3 4 3 3" xfId="31320" xr:uid="{A031DFF4-1079-495D-A01C-1F18401DB36C}"/>
    <cellStyle name="Normal 4 3 3 3 4 3 4" xfId="14433" xr:uid="{CD758F33-43F3-42A5-8ED7-68DFF342FBDA}"/>
    <cellStyle name="Normal 4 3 3 3 4 4" xfId="18656" xr:uid="{5914904A-B8D2-40A3-904E-E7FEE11CD174}"/>
    <cellStyle name="Normal 4 3 3 3 4 5" xfId="27101" xr:uid="{4CA6AFFC-F995-4B91-B8F7-AEC1950DC5D5}"/>
    <cellStyle name="Normal 4 3 3 3 4 6" xfId="10215" xr:uid="{FDF09FF4-E406-4751-9113-4BEDFA5EC489}"/>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25432" xr:uid="{227C7786-2457-4A16-9B6C-C2F71110128B}"/>
    <cellStyle name="Normal 4 3 3 3 5 2 2 3" xfId="33878" xr:uid="{F45DDE55-6FD3-4EA5-80E1-794840F53A95}"/>
    <cellStyle name="Normal 4 3 3 3 5 2 2 4" xfId="16991" xr:uid="{69A6095F-19D0-4F19-94CE-F7E1D9363CA8}"/>
    <cellStyle name="Normal 4 3 3 3 5 2 3" xfId="21214" xr:uid="{5300FA98-DF09-489F-BDD9-65CEEED3991B}"/>
    <cellStyle name="Normal 4 3 3 3 5 2 4" xfId="29661" xr:uid="{D98987FC-5FE8-4233-A6D2-4375CA8826C9}"/>
    <cellStyle name="Normal 4 3 3 3 5 2 5" xfId="12773" xr:uid="{A1EC9C4F-CEF5-4D5A-85E8-4AEB7633F25A}"/>
    <cellStyle name="Normal 4 3 3 3 5 3" xfId="6404" xr:uid="{00000000-0005-0000-0000-000096140000}"/>
    <cellStyle name="Normal 4 3 3 3 5 3 2" xfId="23287" xr:uid="{4C7E468C-1350-4E04-AC46-CCC0C875972C}"/>
    <cellStyle name="Normal 4 3 3 3 5 3 3" xfId="31733" xr:uid="{D3B8951A-4242-471D-8974-B5CD5D36F63F}"/>
    <cellStyle name="Normal 4 3 3 3 5 3 4" xfId="14846" xr:uid="{187C2659-B93B-4046-B391-159330056D21}"/>
    <cellStyle name="Normal 4 3 3 3 5 4" xfId="19069" xr:uid="{2066E4B0-9878-4942-BAA0-0E66736B3CC7}"/>
    <cellStyle name="Normal 4 3 3 3 5 5" xfId="27514" xr:uid="{C78BD6A2-55CC-484B-AFE2-1B2E07AA324A}"/>
    <cellStyle name="Normal 4 3 3 3 5 6" xfId="10628" xr:uid="{A1F6E847-B5D9-44A0-A501-1EC0CB5A52D0}"/>
    <cellStyle name="Normal 4 3 3 3 6" xfId="2533" xr:uid="{00000000-0005-0000-0000-000097140000}"/>
    <cellStyle name="Normal 4 3 3 3 6 2" xfId="6817" xr:uid="{00000000-0005-0000-0000-000098140000}"/>
    <cellStyle name="Normal 4 3 3 3 6 2 2" xfId="23700" xr:uid="{12545658-48E0-4642-93CA-657DD69551CD}"/>
    <cellStyle name="Normal 4 3 3 3 6 2 3" xfId="32146" xr:uid="{01E1C41C-F42E-494A-9A77-C90EFCAB5502}"/>
    <cellStyle name="Normal 4 3 3 3 6 2 4" xfId="15259" xr:uid="{03EFCDD8-CCC5-43F1-84B5-044168ABD646}"/>
    <cellStyle name="Normal 4 3 3 3 6 3" xfId="19482" xr:uid="{057D73E9-EBCB-4F0E-8341-FDA7E42314F9}"/>
    <cellStyle name="Normal 4 3 3 3 6 4" xfId="27927" xr:uid="{2DC70AA3-E002-43EC-A0DC-D4B558688731}"/>
    <cellStyle name="Normal 4 3 3 3 6 5" xfId="11041" xr:uid="{CAF60565-D21E-4703-9685-934E29F66F89}"/>
    <cellStyle name="Normal 4 3 3 3 7" xfId="4752" xr:uid="{00000000-0005-0000-0000-000099140000}"/>
    <cellStyle name="Normal 4 3 3 3 7 2" xfId="21635" xr:uid="{E5457EBD-8B86-43E1-96BD-E5A4491208DA}"/>
    <cellStyle name="Normal 4 3 3 3 7 3" xfId="30081" xr:uid="{9F69C6F7-5D42-4854-B76E-44760E51FD22}"/>
    <cellStyle name="Normal 4 3 3 3 7 4" xfId="13194" xr:uid="{DF9CAD4A-F509-4959-AD12-B609BACEC4B3}"/>
    <cellStyle name="Normal 4 3 3 3 8" xfId="17417" xr:uid="{A125341B-F74C-4D15-966B-99C1D770560B}"/>
    <cellStyle name="Normal 4 3 3 3 9" xfId="25861" xr:uid="{E5A85960-D0D2-4F0E-A95A-8681E010B57B}"/>
    <cellStyle name="Normal 4 3 3 4" xfId="849" xr:uid="{00000000-0005-0000-0000-00009A140000}"/>
    <cellStyle name="Normal 4 3 3 4 2" xfId="3084" xr:uid="{00000000-0005-0000-0000-00009B140000}"/>
    <cellStyle name="Normal 4 3 3 4 2 2" xfId="7307" xr:uid="{00000000-0005-0000-0000-00009C140000}"/>
    <cellStyle name="Normal 4 3 3 4 2 2 2" xfId="24190" xr:uid="{9D5F3365-1C9B-4448-AA49-BB13D8E094E6}"/>
    <cellStyle name="Normal 4 3 3 4 2 2 3" xfId="32636" xr:uid="{8B12201F-C5BA-49B3-B59D-2779893F166C}"/>
    <cellStyle name="Normal 4 3 3 4 2 2 4" xfId="15749" xr:uid="{DD635EC7-2617-4332-B9A6-64D375BC128F}"/>
    <cellStyle name="Normal 4 3 3 4 2 3" xfId="19972" xr:uid="{F4B6B66C-285F-4971-8EE6-18330EB621E5}"/>
    <cellStyle name="Normal 4 3 3 4 2 4" xfId="28419" xr:uid="{61456897-4B3C-4CA1-BDD8-144B74200A03}"/>
    <cellStyle name="Normal 4 3 3 4 2 5" xfId="11531" xr:uid="{B99AC835-D1E3-4EAF-AEB8-8C8ADD1CEC2D}"/>
    <cellStyle name="Normal 4 3 3 4 3" xfId="5162" xr:uid="{00000000-0005-0000-0000-00009D140000}"/>
    <cellStyle name="Normal 4 3 3 4 3 2" xfId="22045" xr:uid="{739B9849-AB34-436A-A8E0-3E0DF7EB0743}"/>
    <cellStyle name="Normal 4 3 3 4 3 3" xfId="30491" xr:uid="{AB606A95-EDFB-4B74-9AE9-64DDBB552556}"/>
    <cellStyle name="Normal 4 3 3 4 3 4" xfId="13604" xr:uid="{8BA98F46-D683-4840-9E42-AD30E4C7E482}"/>
    <cellStyle name="Normal 4 3 3 4 4" xfId="17827" xr:uid="{15415818-F64E-4EBD-BA6B-20AB14A24693}"/>
    <cellStyle name="Normal 4 3 3 4 5" xfId="26272" xr:uid="{45EB629F-44DB-4A45-85BC-8688AF090513}"/>
    <cellStyle name="Normal 4 3 3 4 6" xfId="9386" xr:uid="{E86EA485-05B2-4C51-A49E-CFBA64AF3172}"/>
    <cellStyle name="Normal 4 3 3 5" xfId="1267" xr:uid="{00000000-0005-0000-0000-00009E140000}"/>
    <cellStyle name="Normal 4 3 3 5 2" xfId="3497" xr:uid="{00000000-0005-0000-0000-00009F140000}"/>
    <cellStyle name="Normal 4 3 3 5 2 2" xfId="7720" xr:uid="{00000000-0005-0000-0000-0000A0140000}"/>
    <cellStyle name="Normal 4 3 3 5 2 2 2" xfId="24603" xr:uid="{E1819CC2-E4C8-4908-94F0-04273E25C6FA}"/>
    <cellStyle name="Normal 4 3 3 5 2 2 3" xfId="33049" xr:uid="{69D3D4B3-A885-436B-AF4F-8051A3C46A8C}"/>
    <cellStyle name="Normal 4 3 3 5 2 2 4" xfId="16162" xr:uid="{F5C7F9ED-A634-4CB8-ADA2-DC355E8F02E1}"/>
    <cellStyle name="Normal 4 3 3 5 2 3" xfId="20385" xr:uid="{054BD7F0-B54D-44E7-9DFC-E2F891073360}"/>
    <cellStyle name="Normal 4 3 3 5 2 4" xfId="28832" xr:uid="{3E415C41-E77C-4A90-8641-2C40DC0DD452}"/>
    <cellStyle name="Normal 4 3 3 5 2 5" xfId="11944" xr:uid="{D38634A2-C5F1-4692-94FA-EF09706D0FB1}"/>
    <cellStyle name="Normal 4 3 3 5 3" xfId="5575" xr:uid="{00000000-0005-0000-0000-0000A1140000}"/>
    <cellStyle name="Normal 4 3 3 5 3 2" xfId="22458" xr:uid="{6CB86D50-AEB7-4A6B-8CDD-7CB1F88D8873}"/>
    <cellStyle name="Normal 4 3 3 5 3 3" xfId="30904" xr:uid="{3A3980F9-89D6-4AE0-8B8F-51DA22C17687}"/>
    <cellStyle name="Normal 4 3 3 5 3 4" xfId="14017" xr:uid="{97346D97-732D-4CE9-8C8D-B6EDA2702E09}"/>
    <cellStyle name="Normal 4 3 3 5 4" xfId="18240" xr:uid="{ADC0F776-A8E6-48E6-BA18-0A236DF2FB79}"/>
    <cellStyle name="Normal 4 3 3 5 5" xfId="26685" xr:uid="{31DC2F35-1688-432F-B6F1-23A39EC4F8CE}"/>
    <cellStyle name="Normal 4 3 3 5 6" xfId="9799" xr:uid="{5431DB07-EC41-42EE-AA25-88A5F71C502F}"/>
    <cellStyle name="Normal 4 3 3 6" xfId="1680" xr:uid="{00000000-0005-0000-0000-0000A2140000}"/>
    <cellStyle name="Normal 4 3 3 6 2" xfId="3910" xr:uid="{00000000-0005-0000-0000-0000A3140000}"/>
    <cellStyle name="Normal 4 3 3 6 2 2" xfId="8133" xr:uid="{00000000-0005-0000-0000-0000A4140000}"/>
    <cellStyle name="Normal 4 3 3 6 2 2 2" xfId="25016" xr:uid="{78675233-F251-4539-9A5F-9114B4726425}"/>
    <cellStyle name="Normal 4 3 3 6 2 2 3" xfId="33462" xr:uid="{7F93C8F9-14D7-49C0-9161-4FC3FFA95A08}"/>
    <cellStyle name="Normal 4 3 3 6 2 2 4" xfId="16575" xr:uid="{D0B9E12E-E734-4BCC-A0DF-ACB80E4F0097}"/>
    <cellStyle name="Normal 4 3 3 6 2 3" xfId="20798" xr:uid="{689B4248-EDB3-48AC-A656-E36DABD5B626}"/>
    <cellStyle name="Normal 4 3 3 6 2 4" xfId="29245" xr:uid="{F601910E-BF17-4BFA-8DA8-C67C8A02CB87}"/>
    <cellStyle name="Normal 4 3 3 6 2 5" xfId="12357" xr:uid="{07C4ADE4-BEC7-47BA-9A54-8E094354D7DB}"/>
    <cellStyle name="Normal 4 3 3 6 3" xfId="5988" xr:uid="{00000000-0005-0000-0000-0000A5140000}"/>
    <cellStyle name="Normal 4 3 3 6 3 2" xfId="22871" xr:uid="{8F122F33-718C-44E8-BB0B-CCBC3C4C993B}"/>
    <cellStyle name="Normal 4 3 3 6 3 3" xfId="31317" xr:uid="{266D2D7D-1C57-4E80-B787-D8E5C774BBDB}"/>
    <cellStyle name="Normal 4 3 3 6 3 4" xfId="14430" xr:uid="{9B586B0B-4B15-4E43-9694-BA48D9E54F1F}"/>
    <cellStyle name="Normal 4 3 3 6 4" xfId="18653" xr:uid="{7314D95B-AE0C-4903-AC6E-A4111209AE51}"/>
    <cellStyle name="Normal 4 3 3 6 5" xfId="27098" xr:uid="{B705B9B8-DFB3-413A-B572-6F7B4CB3AADD}"/>
    <cellStyle name="Normal 4 3 3 6 6" xfId="10212" xr:uid="{0BD54D6D-679A-49D0-8F63-5A1C94945DCD}"/>
    <cellStyle name="Normal 4 3 3 7" xfId="2094" xr:uid="{00000000-0005-0000-0000-0000A6140000}"/>
    <cellStyle name="Normal 4 3 3 7 2" xfId="4323" xr:uid="{00000000-0005-0000-0000-0000A7140000}"/>
    <cellStyle name="Normal 4 3 3 7 2 2" xfId="8546" xr:uid="{00000000-0005-0000-0000-0000A8140000}"/>
    <cellStyle name="Normal 4 3 3 7 2 2 2" xfId="25429" xr:uid="{F38809EF-6547-48BF-B10C-DEB391EDAD59}"/>
    <cellStyle name="Normal 4 3 3 7 2 2 3" xfId="33875" xr:uid="{DC302F23-0490-445C-BDAB-CE8C4AFE3880}"/>
    <cellStyle name="Normal 4 3 3 7 2 2 4" xfId="16988" xr:uid="{DEACE220-E91A-40BF-AFAE-00FCB364376C}"/>
    <cellStyle name="Normal 4 3 3 7 2 3" xfId="21211" xr:uid="{E3C41B66-DFFC-4EE1-BA7E-51CB84F97439}"/>
    <cellStyle name="Normal 4 3 3 7 2 4" xfId="29658" xr:uid="{1C565307-B83F-4A2E-A666-51628552BEB5}"/>
    <cellStyle name="Normal 4 3 3 7 2 5" xfId="12770" xr:uid="{FEF9CCD6-7BD6-4AA9-99FB-D3F138204AD5}"/>
    <cellStyle name="Normal 4 3 3 7 3" xfId="6401" xr:uid="{00000000-0005-0000-0000-0000A9140000}"/>
    <cellStyle name="Normal 4 3 3 7 3 2" xfId="23284" xr:uid="{D4349E6E-E66D-46E1-8744-5A8A1FC39357}"/>
    <cellStyle name="Normal 4 3 3 7 3 3" xfId="31730" xr:uid="{9B19F487-6949-4565-BC8C-BD90A04373B4}"/>
    <cellStyle name="Normal 4 3 3 7 3 4" xfId="14843" xr:uid="{83331FE5-A9F8-41B6-BD56-B7FDD2B55BD3}"/>
    <cellStyle name="Normal 4 3 3 7 4" xfId="19066" xr:uid="{E483353F-8DEA-4753-B998-0B282CF834CD}"/>
    <cellStyle name="Normal 4 3 3 7 5" xfId="27511" xr:uid="{60BE41CC-3686-4735-A8C6-664620180740}"/>
    <cellStyle name="Normal 4 3 3 7 6" xfId="10625" xr:uid="{46031A02-B80D-438E-80F3-DEF758781E5B}"/>
    <cellStyle name="Normal 4 3 3 8" xfId="2530" xr:uid="{00000000-0005-0000-0000-0000AA140000}"/>
    <cellStyle name="Normal 4 3 3 8 2" xfId="6814" xr:uid="{00000000-0005-0000-0000-0000AB140000}"/>
    <cellStyle name="Normal 4 3 3 8 2 2" xfId="23697" xr:uid="{BDDEE509-1A26-46B2-A1A9-ADEF7802F6B9}"/>
    <cellStyle name="Normal 4 3 3 8 2 3" xfId="32143" xr:uid="{5B467E77-9E14-4EBF-9BBA-AF5F6D58EC57}"/>
    <cellStyle name="Normal 4 3 3 8 2 4" xfId="15256" xr:uid="{CD149EFC-312A-41EB-9AAC-9F4C911373C2}"/>
    <cellStyle name="Normal 4 3 3 8 3" xfId="19479" xr:uid="{A588B15E-35D3-44B5-B8F2-A9FDB915DF5D}"/>
    <cellStyle name="Normal 4 3 3 8 4" xfId="27924" xr:uid="{642BAA90-6FF7-4826-ACE5-95C70705C829}"/>
    <cellStyle name="Normal 4 3 3 8 5" xfId="11038" xr:uid="{D1159E73-D789-45B2-9D2A-864E844556BA}"/>
    <cellStyle name="Normal 4 3 3 9" xfId="4749" xr:uid="{00000000-0005-0000-0000-0000AC140000}"/>
    <cellStyle name="Normal 4 3 3 9 2" xfId="21632" xr:uid="{B01C9BEF-1602-4CA7-886F-5BFE63458067}"/>
    <cellStyle name="Normal 4 3 3 9 3" xfId="30078" xr:uid="{0B5E657F-47CE-4B9B-AC9F-2ECA53C28B63}"/>
    <cellStyle name="Normal 4 3 3 9 4" xfId="13191" xr:uid="{47E01179-A820-4CFB-92AD-D36F9D4D891A}"/>
    <cellStyle name="Normal 4 3 4" xfId="842" xr:uid="{00000000-0005-0000-0000-0000AD140000}"/>
    <cellStyle name="Normal 4 3 4 2" xfId="3079" xr:uid="{00000000-0005-0000-0000-0000AE140000}"/>
    <cellStyle name="Normal 4 3 4 2 2" xfId="7302" xr:uid="{00000000-0005-0000-0000-0000AF140000}"/>
    <cellStyle name="Normal 4 3 4 2 2 2" xfId="24185" xr:uid="{B8CEF517-79CB-41F4-8E08-FEF08BA2450E}"/>
    <cellStyle name="Normal 4 3 4 2 2 3" xfId="32631" xr:uid="{12F7733E-A63E-49F6-B6B2-11754355ADC8}"/>
    <cellStyle name="Normal 4 3 4 2 2 4" xfId="15744" xr:uid="{9CDB93F3-DF65-44AC-8868-46E49962715A}"/>
    <cellStyle name="Normal 4 3 4 2 3" xfId="19967" xr:uid="{C1284022-E99B-4842-BA55-7D0D9647ED3A}"/>
    <cellStyle name="Normal 4 3 4 2 4" xfId="28414" xr:uid="{096CFFFE-A623-4D52-A9BE-EE61080CD6A4}"/>
    <cellStyle name="Normal 4 3 4 2 5" xfId="11526" xr:uid="{3A0D274C-1402-497D-894F-6AC33777C3F4}"/>
    <cellStyle name="Normal 4 3 4 3" xfId="5157" xr:uid="{00000000-0005-0000-0000-0000B0140000}"/>
    <cellStyle name="Normal 4 3 4 3 2" xfId="22040" xr:uid="{F8C6BBF7-081E-4B0D-A579-1EEC1BD7BF66}"/>
    <cellStyle name="Normal 4 3 4 3 3" xfId="30486" xr:uid="{08657B9D-7960-48E2-A2F5-B872AC75C4D1}"/>
    <cellStyle name="Normal 4 3 4 3 4" xfId="13599" xr:uid="{4617622F-5DEF-47BD-A0E3-8FE38C5CB89B}"/>
    <cellStyle name="Normal 4 3 4 4" xfId="17822" xr:uid="{8E043859-B8DC-4A5D-AB76-52D62A6113BA}"/>
    <cellStyle name="Normal 4 3 4 5" xfId="26267" xr:uid="{5B5E3374-3BA6-464F-A32D-F71854A42571}"/>
    <cellStyle name="Normal 4 3 4 6" xfId="9381" xr:uid="{642DFAFF-88C8-4CCE-8A31-C81C7200FFDC}"/>
    <cellStyle name="Normal 4 3 5" xfId="1262" xr:uid="{00000000-0005-0000-0000-0000B1140000}"/>
    <cellStyle name="Normal 4 3 5 2" xfId="3492" xr:uid="{00000000-0005-0000-0000-0000B2140000}"/>
    <cellStyle name="Normal 4 3 5 2 2" xfId="7715" xr:uid="{00000000-0005-0000-0000-0000B3140000}"/>
    <cellStyle name="Normal 4 3 5 2 2 2" xfId="24598" xr:uid="{17B1B781-0D35-462F-9A85-0C86133CDEE6}"/>
    <cellStyle name="Normal 4 3 5 2 2 3" xfId="33044" xr:uid="{5862807C-FE7B-4591-860C-B4F4AA469EC0}"/>
    <cellStyle name="Normal 4 3 5 2 2 4" xfId="16157" xr:uid="{28F00535-0C49-4453-9907-91972A227150}"/>
    <cellStyle name="Normal 4 3 5 2 3" xfId="20380" xr:uid="{06D713B2-37D4-488E-A21C-A401371FD15A}"/>
    <cellStyle name="Normal 4 3 5 2 4" xfId="28827" xr:uid="{C7A9B8F3-7100-486C-A8C4-96ADB902BB2F}"/>
    <cellStyle name="Normal 4 3 5 2 5" xfId="11939" xr:uid="{174AF3D0-A97D-4237-90AC-F0B4C34E89CD}"/>
    <cellStyle name="Normal 4 3 5 3" xfId="5570" xr:uid="{00000000-0005-0000-0000-0000B4140000}"/>
    <cellStyle name="Normal 4 3 5 3 2" xfId="22453" xr:uid="{92AA3489-5F90-418E-AB30-9A8D8AEEF48B}"/>
    <cellStyle name="Normal 4 3 5 3 3" xfId="30899" xr:uid="{6EC48665-1B01-474D-82EA-F0942558C4E0}"/>
    <cellStyle name="Normal 4 3 5 3 4" xfId="14012" xr:uid="{B359472C-1086-47F4-8FD4-DBD1BAF1D85E}"/>
    <cellStyle name="Normal 4 3 5 4" xfId="18235" xr:uid="{10E910F2-6404-4B00-B25F-A9325965FF05}"/>
    <cellStyle name="Normal 4 3 5 5" xfId="26680" xr:uid="{9831CA00-A94E-42E5-B4A1-0FE5170CB7D2}"/>
    <cellStyle name="Normal 4 3 5 6" xfId="9794" xr:uid="{3F4C9C50-C999-489B-9E9F-0325DD47E2A8}"/>
    <cellStyle name="Normal 4 3 6" xfId="1675" xr:uid="{00000000-0005-0000-0000-0000B5140000}"/>
    <cellStyle name="Normal 4 3 6 2" xfId="3905" xr:uid="{00000000-0005-0000-0000-0000B6140000}"/>
    <cellStyle name="Normal 4 3 6 2 2" xfId="8128" xr:uid="{00000000-0005-0000-0000-0000B7140000}"/>
    <cellStyle name="Normal 4 3 6 2 2 2" xfId="25011" xr:uid="{F081B918-AEC2-457E-9702-69A437307E73}"/>
    <cellStyle name="Normal 4 3 6 2 2 3" xfId="33457" xr:uid="{74F457B2-B316-4DC5-951A-CBCEDDFE03FC}"/>
    <cellStyle name="Normal 4 3 6 2 2 4" xfId="16570" xr:uid="{C97B9068-57F1-4191-BD32-53D922BD435E}"/>
    <cellStyle name="Normal 4 3 6 2 3" xfId="20793" xr:uid="{E075AEEC-12DD-4F10-8694-4FC36A2E85FA}"/>
    <cellStyle name="Normal 4 3 6 2 4" xfId="29240" xr:uid="{38D15A2D-1C6E-4BEC-BE9F-6AA9F23D9B87}"/>
    <cellStyle name="Normal 4 3 6 2 5" xfId="12352" xr:uid="{0926FE58-F8FE-4A71-BEB3-FFED14036094}"/>
    <cellStyle name="Normal 4 3 6 3" xfId="5983" xr:uid="{00000000-0005-0000-0000-0000B8140000}"/>
    <cellStyle name="Normal 4 3 6 3 2" xfId="22866" xr:uid="{BB808BE1-FB49-47BE-91AB-BD1289D790A9}"/>
    <cellStyle name="Normal 4 3 6 3 3" xfId="31312" xr:uid="{A6B5018E-154E-42EC-9185-2D800542C7FF}"/>
    <cellStyle name="Normal 4 3 6 3 4" xfId="14425" xr:uid="{4167A1E3-2EF8-4096-8217-09C68E3F3998}"/>
    <cellStyle name="Normal 4 3 6 4" xfId="18648" xr:uid="{09E6C687-5C09-4E55-BF70-877A025A6757}"/>
    <cellStyle name="Normal 4 3 6 5" xfId="27093" xr:uid="{68B43628-EC86-42CC-951D-A0E1D2B5E252}"/>
    <cellStyle name="Normal 4 3 6 6" xfId="10207" xr:uid="{CEAD1546-0132-41EF-BAF5-608696DF12E7}"/>
    <cellStyle name="Normal 4 3 7" xfId="2089" xr:uid="{00000000-0005-0000-0000-0000B9140000}"/>
    <cellStyle name="Normal 4 3 7 2" xfId="4318" xr:uid="{00000000-0005-0000-0000-0000BA140000}"/>
    <cellStyle name="Normal 4 3 7 2 2" xfId="8541" xr:uid="{00000000-0005-0000-0000-0000BB140000}"/>
    <cellStyle name="Normal 4 3 7 2 2 2" xfId="25424" xr:uid="{9B4FDCAC-DAA6-4548-BFFD-265CE8F44788}"/>
    <cellStyle name="Normal 4 3 7 2 2 3" xfId="33870" xr:uid="{A5863C1E-3DBD-446B-AB55-0EEEA61CE5A2}"/>
    <cellStyle name="Normal 4 3 7 2 2 4" xfId="16983" xr:uid="{5B805BBE-ADC9-421D-B5FA-1709DE165FA2}"/>
    <cellStyle name="Normal 4 3 7 2 3" xfId="21206" xr:uid="{D6FEFEAF-B1C0-4F0E-AFE0-FBA756651E15}"/>
    <cellStyle name="Normal 4 3 7 2 4" xfId="29653" xr:uid="{BD9707CD-27BD-4D51-B104-96904B2188DB}"/>
    <cellStyle name="Normal 4 3 7 2 5" xfId="12765" xr:uid="{2B6A3C9D-E358-4773-8CF4-64CBB67F5245}"/>
    <cellStyle name="Normal 4 3 7 3" xfId="6396" xr:uid="{00000000-0005-0000-0000-0000BC140000}"/>
    <cellStyle name="Normal 4 3 7 3 2" xfId="23279" xr:uid="{CFE9CA00-E628-4D09-891A-0ED98C8EF009}"/>
    <cellStyle name="Normal 4 3 7 3 3" xfId="31725" xr:uid="{4B73638D-09EE-4CEC-A10A-F47EA6C8A29E}"/>
    <cellStyle name="Normal 4 3 7 3 4" xfId="14838" xr:uid="{E6B59D54-57FD-4782-8726-E8FE60279AFA}"/>
    <cellStyle name="Normal 4 3 7 4" xfId="19061" xr:uid="{E2E90FB2-3ED9-47F8-BDE5-7D1DB4704CA6}"/>
    <cellStyle name="Normal 4 3 7 5" xfId="27506" xr:uid="{0E51E80C-8DC5-4C1D-9029-A36D72ED017B}"/>
    <cellStyle name="Normal 4 3 7 6" xfId="10620" xr:uid="{4A192244-52DE-49A4-97C7-2D11F1FD7944}"/>
    <cellStyle name="Normal 4 3 8" xfId="2525" xr:uid="{00000000-0005-0000-0000-0000BD140000}"/>
    <cellStyle name="Normal 4 3 8 2" xfId="6809" xr:uid="{00000000-0005-0000-0000-0000BE140000}"/>
    <cellStyle name="Normal 4 3 8 2 2" xfId="23692" xr:uid="{DA6E3F81-D141-4293-A12E-CB9B72C57770}"/>
    <cellStyle name="Normal 4 3 8 2 3" xfId="32138" xr:uid="{68F41A57-2783-43FF-B5A5-57E316FAB373}"/>
    <cellStyle name="Normal 4 3 8 2 4" xfId="15251" xr:uid="{1B86C91A-4E05-4C2D-BB61-432BCC2EBA70}"/>
    <cellStyle name="Normal 4 3 8 3" xfId="19474" xr:uid="{488464BF-E1A8-47F3-AD54-D92EE159079B}"/>
    <cellStyle name="Normal 4 3 8 4" xfId="27919" xr:uid="{AC2FE436-36C8-4380-80BD-120FA46B53E0}"/>
    <cellStyle name="Normal 4 3 8 5" xfId="11033" xr:uid="{38CF40C2-759C-4613-8268-3B76BCACA235}"/>
    <cellStyle name="Normal 4 3 9" xfId="4744" xr:uid="{00000000-0005-0000-0000-0000BF140000}"/>
    <cellStyle name="Normal 4 3 9 2" xfId="21627" xr:uid="{5051A676-9D51-4A22-9CA5-8057EC81B440}"/>
    <cellStyle name="Normal 4 3 9 3" xfId="30073" xr:uid="{AAC96B07-F143-4FF2-B969-BFFE253162FC}"/>
    <cellStyle name="Normal 4 3 9 4" xfId="13186" xr:uid="{C3D93087-3DAA-4BC0-BEC9-97DA33422DB4}"/>
    <cellStyle name="Normal 4 3_Item C7" xfId="34058" xr:uid="{6C3BA35C-3A24-4A86-AE28-9D3EC723351E}"/>
    <cellStyle name="Normal 4 4" xfId="378" xr:uid="{00000000-0005-0000-0000-0000C0140000}"/>
    <cellStyle name="Normal 4 4 10" xfId="2534" xr:uid="{00000000-0005-0000-0000-0000C1140000}"/>
    <cellStyle name="Normal 4 4 10 2" xfId="6818" xr:uid="{00000000-0005-0000-0000-0000C2140000}"/>
    <cellStyle name="Normal 4 4 10 2 2" xfId="23701" xr:uid="{917201D9-D192-433D-9637-88BE1545A0F3}"/>
    <cellStyle name="Normal 4 4 10 2 3" xfId="32147" xr:uid="{95F72AE6-DC97-4165-AC52-253A538EBA68}"/>
    <cellStyle name="Normal 4 4 10 2 4" xfId="15260" xr:uid="{C422A392-09C3-4F9B-BEEF-7E12262430AE}"/>
    <cellStyle name="Normal 4 4 10 3" xfId="19483" xr:uid="{E52D8BB7-41B4-450F-BD99-C54B895F50F1}"/>
    <cellStyle name="Normal 4 4 10 4" xfId="27928" xr:uid="{B2C875C3-132D-4F67-A2D6-E9DA5B1AD709}"/>
    <cellStyle name="Normal 4 4 10 5" xfId="11042" xr:uid="{F3CEEB9A-ADB6-423C-A9C9-EBADE82C294F}"/>
    <cellStyle name="Normal 4 4 11" xfId="4753" xr:uid="{00000000-0005-0000-0000-0000C3140000}"/>
    <cellStyle name="Normal 4 4 11 2" xfId="21636" xr:uid="{00DBD005-82E4-4456-852C-34F8C94C670D}"/>
    <cellStyle name="Normal 4 4 11 3" xfId="30082" xr:uid="{CE399868-E508-4DCB-9550-A710E5FDF35C}"/>
    <cellStyle name="Normal 4 4 11 4" xfId="13195" xr:uid="{42FA6E17-A9BB-470A-A3A2-AFEA82F9688E}"/>
    <cellStyle name="Normal 4 4 12" xfId="17418" xr:uid="{48EE253F-9E3F-4B68-8E16-BBFA454A30F2}"/>
    <cellStyle name="Normal 4 4 13" xfId="25862" xr:uid="{6D2C3EAB-3342-4C38-961A-1B62588A7C91}"/>
    <cellStyle name="Normal 4 4 14" xfId="34161" xr:uid="{2B05D7A2-5B8A-48DA-ADB3-AD574C22D364}"/>
    <cellStyle name="Normal 4 4 15" xfId="8977" xr:uid="{C57F3F46-EAFE-4B62-964D-E8D89C8AD169}"/>
    <cellStyle name="Normal 4 4 2" xfId="379" xr:uid="{00000000-0005-0000-0000-0000C4140000}"/>
    <cellStyle name="Normal 4 4 2 10" xfId="4754" xr:uid="{00000000-0005-0000-0000-0000C5140000}"/>
    <cellStyle name="Normal 4 4 2 10 2" xfId="21637" xr:uid="{2B73B9AF-25A4-4BC8-B460-B3B60C4CF605}"/>
    <cellStyle name="Normal 4 4 2 10 3" xfId="30083" xr:uid="{64EFDD33-1BA9-426A-940B-F914DC165CB6}"/>
    <cellStyle name="Normal 4 4 2 10 4" xfId="13196" xr:uid="{099D7522-DC67-4531-815A-DE2F38CE0BC5}"/>
    <cellStyle name="Normal 4 4 2 11" xfId="17419" xr:uid="{5C008EBA-DB57-4817-AF42-8A4E4BF910A2}"/>
    <cellStyle name="Normal 4 4 2 12" xfId="25863" xr:uid="{B50B1DB4-F816-4B23-BBC8-82567CC11546}"/>
    <cellStyle name="Normal 4 4 2 13" xfId="8978" xr:uid="{DA19C9FC-0170-480F-8726-FC23929D8DF1}"/>
    <cellStyle name="Normal 4 4 2 2" xfId="380" xr:uid="{00000000-0005-0000-0000-0000C6140000}"/>
    <cellStyle name="Normal 4 4 2 2 10" xfId="17420" xr:uid="{DC303827-8DB6-4D22-A925-C808E8C4FF54}"/>
    <cellStyle name="Normal 4 4 2 2 11" xfId="25864" xr:uid="{190D4F29-7F88-4DED-8013-57560DE0DB88}"/>
    <cellStyle name="Normal 4 4 2 2 12" xfId="8979" xr:uid="{AEBCBB31-4C49-41B5-ACCA-62D5E5639AB6}"/>
    <cellStyle name="Normal 4 4 2 2 2" xfId="381" xr:uid="{00000000-0005-0000-0000-0000C7140000}"/>
    <cellStyle name="Normal 4 4 2 2 2 10" xfId="25865" xr:uid="{F2BCA6FC-38D8-4E6E-8AB5-82C702790F74}"/>
    <cellStyle name="Normal 4 4 2 2 2 11" xfId="8980" xr:uid="{09330776-4C6D-4675-97CA-D2385B2C9E91}"/>
    <cellStyle name="Normal 4 4 2 2 2 2" xfId="382" xr:uid="{00000000-0005-0000-0000-0000C8140000}"/>
    <cellStyle name="Normal 4 4 2 2 2 2 10" xfId="8981" xr:uid="{F0F13DB1-D5E5-4574-BE6F-DDEDA218379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24198" xr:uid="{3C324A9B-A954-42B1-B3C3-7E1C54A434E7}"/>
    <cellStyle name="Normal 4 4 2 2 2 2 2 2 2 3" xfId="32644" xr:uid="{65F7D9A0-9B53-4498-8803-7E0C0E1B9A21}"/>
    <cellStyle name="Normal 4 4 2 2 2 2 2 2 2 4" xfId="15757" xr:uid="{E2AF1240-7ECA-465B-AB45-B633DC9CA487}"/>
    <cellStyle name="Normal 4 4 2 2 2 2 2 2 3" xfId="19980" xr:uid="{06A78B4F-A2D9-4AB5-A98E-D3EF4B5ABC8B}"/>
    <cellStyle name="Normal 4 4 2 2 2 2 2 2 4" xfId="28427" xr:uid="{5E2A38F8-66DA-4A33-8156-EE540C0AAE37}"/>
    <cellStyle name="Normal 4 4 2 2 2 2 2 2 5" xfId="11539" xr:uid="{A2FB6A46-E8CD-43A0-8C68-2E6BF6A6CA4D}"/>
    <cellStyle name="Normal 4 4 2 2 2 2 2 3" xfId="5170" xr:uid="{00000000-0005-0000-0000-0000CC140000}"/>
    <cellStyle name="Normal 4 4 2 2 2 2 2 3 2" xfId="22053" xr:uid="{5C8CD43F-9B46-4CF5-B414-69E2866A40EF}"/>
    <cellStyle name="Normal 4 4 2 2 2 2 2 3 3" xfId="30499" xr:uid="{D3F8099C-C7EC-44AE-BAA5-328DE901D3D3}"/>
    <cellStyle name="Normal 4 4 2 2 2 2 2 3 4" xfId="13612" xr:uid="{939260D5-5988-4C67-9FD4-281B63DE1826}"/>
    <cellStyle name="Normal 4 4 2 2 2 2 2 4" xfId="17835" xr:uid="{CFEA93C0-DB83-4A82-9DFA-9656BD45373A}"/>
    <cellStyle name="Normal 4 4 2 2 2 2 2 5" xfId="26280" xr:uid="{5D19476E-77C1-4EC3-A577-817A66A7CBCD}"/>
    <cellStyle name="Normal 4 4 2 2 2 2 2 6" xfId="9394" xr:uid="{B084C64C-FF4D-4A1F-AABA-4DE243B9DADE}"/>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24611" xr:uid="{882F87F9-7AB4-43A2-9668-D1F40C50D4B6}"/>
    <cellStyle name="Normal 4 4 2 2 2 2 3 2 2 3" xfId="33057" xr:uid="{049E5078-2CB2-4A78-AC9D-178C750E82CA}"/>
    <cellStyle name="Normal 4 4 2 2 2 2 3 2 2 4" xfId="16170" xr:uid="{6F99749A-4757-405E-86F1-4FBC1FD65ACE}"/>
    <cellStyle name="Normal 4 4 2 2 2 2 3 2 3" xfId="20393" xr:uid="{C454630B-80D7-4A65-A26E-3C27C2035467}"/>
    <cellStyle name="Normal 4 4 2 2 2 2 3 2 4" xfId="28840" xr:uid="{185C8D7B-827D-413B-B1A1-56927BAA2D2C}"/>
    <cellStyle name="Normal 4 4 2 2 2 2 3 2 5" xfId="11952" xr:uid="{CE464A87-3AEF-4F63-993F-1F4DC10CAD94}"/>
    <cellStyle name="Normal 4 4 2 2 2 2 3 3" xfId="5583" xr:uid="{00000000-0005-0000-0000-0000D0140000}"/>
    <cellStyle name="Normal 4 4 2 2 2 2 3 3 2" xfId="22466" xr:uid="{DD579EBB-A3C7-48F8-BFA9-8CF6FC605512}"/>
    <cellStyle name="Normal 4 4 2 2 2 2 3 3 3" xfId="30912" xr:uid="{29AB0892-FC0F-48C3-8D12-938F7B537A33}"/>
    <cellStyle name="Normal 4 4 2 2 2 2 3 3 4" xfId="14025" xr:uid="{49CC531F-2685-4B2D-ABA1-B7FA66553759}"/>
    <cellStyle name="Normal 4 4 2 2 2 2 3 4" xfId="18248" xr:uid="{4B26025D-B302-43F7-9A88-627BD0370C6F}"/>
    <cellStyle name="Normal 4 4 2 2 2 2 3 5" xfId="26693" xr:uid="{7B99B8BF-72EF-4331-A4A1-7650954CFFCC}"/>
    <cellStyle name="Normal 4 4 2 2 2 2 3 6" xfId="9807" xr:uid="{AA132DF8-342A-4CDB-9B0C-76C30625545F}"/>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25024" xr:uid="{66B5949C-AF69-4F5F-91CE-A3E65278F611}"/>
    <cellStyle name="Normal 4 4 2 2 2 2 4 2 2 3" xfId="33470" xr:uid="{F11F5542-72BC-4A28-B1D4-C52F06278030}"/>
    <cellStyle name="Normal 4 4 2 2 2 2 4 2 2 4" xfId="16583" xr:uid="{D5F559BD-230F-4697-90AC-5529BCD803FF}"/>
    <cellStyle name="Normal 4 4 2 2 2 2 4 2 3" xfId="20806" xr:uid="{ADB6FE23-91FF-4006-9E95-A47963D0161F}"/>
    <cellStyle name="Normal 4 4 2 2 2 2 4 2 4" xfId="29253" xr:uid="{9A4E49E8-869C-4040-A69B-57A709C7329C}"/>
    <cellStyle name="Normal 4 4 2 2 2 2 4 2 5" xfId="12365" xr:uid="{2498DAB8-03D9-4B01-B926-B10A6D49C7FA}"/>
    <cellStyle name="Normal 4 4 2 2 2 2 4 3" xfId="5996" xr:uid="{00000000-0005-0000-0000-0000D4140000}"/>
    <cellStyle name="Normal 4 4 2 2 2 2 4 3 2" xfId="22879" xr:uid="{04A46CA6-1BCC-4D20-8093-F35266BD09C5}"/>
    <cellStyle name="Normal 4 4 2 2 2 2 4 3 3" xfId="31325" xr:uid="{00E536B0-FE12-45EB-B748-97F57D1414CF}"/>
    <cellStyle name="Normal 4 4 2 2 2 2 4 3 4" xfId="14438" xr:uid="{770FB994-D14E-4AD7-B1F0-9F2D3F8655B8}"/>
    <cellStyle name="Normal 4 4 2 2 2 2 4 4" xfId="18661" xr:uid="{F194D77C-90DE-44F0-BB02-426740E94C43}"/>
    <cellStyle name="Normal 4 4 2 2 2 2 4 5" xfId="27106" xr:uid="{1DCBC6CC-D0E6-4B4C-BE87-558C883FEAA2}"/>
    <cellStyle name="Normal 4 4 2 2 2 2 4 6" xfId="10220" xr:uid="{1AC08517-B207-4B2F-BC2B-84BE23AC4C24}"/>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25437" xr:uid="{860A848F-9F0B-4B11-AA03-1234C3E2402A}"/>
    <cellStyle name="Normal 4 4 2 2 2 2 5 2 2 3" xfId="33883" xr:uid="{20E5364B-BA1C-42BA-B572-F65CA4BDB288}"/>
    <cellStyle name="Normal 4 4 2 2 2 2 5 2 2 4" xfId="16996" xr:uid="{EA3D4F42-C6F7-46D0-B220-CD9BF2BD22B2}"/>
    <cellStyle name="Normal 4 4 2 2 2 2 5 2 3" xfId="21219" xr:uid="{F2A97472-CD2B-4D76-A4CA-F15D23A21DEF}"/>
    <cellStyle name="Normal 4 4 2 2 2 2 5 2 4" xfId="29666" xr:uid="{9CD4B4A7-CAE2-41EF-AF4D-2E1AF8FA9FB4}"/>
    <cellStyle name="Normal 4 4 2 2 2 2 5 2 5" xfId="12778" xr:uid="{D8F5486F-A06F-410F-926C-A90B4A515AA3}"/>
    <cellStyle name="Normal 4 4 2 2 2 2 5 3" xfId="6409" xr:uid="{00000000-0005-0000-0000-0000D8140000}"/>
    <cellStyle name="Normal 4 4 2 2 2 2 5 3 2" xfId="23292" xr:uid="{601BF6B0-016A-404C-BA6D-C1A75CF2BE26}"/>
    <cellStyle name="Normal 4 4 2 2 2 2 5 3 3" xfId="31738" xr:uid="{3A2229D4-DE35-4294-A91F-241D715F98C7}"/>
    <cellStyle name="Normal 4 4 2 2 2 2 5 3 4" xfId="14851" xr:uid="{79F4E94B-8DF6-4AF0-9CD1-3C891CF4896B}"/>
    <cellStyle name="Normal 4 4 2 2 2 2 5 4" xfId="19074" xr:uid="{45D11AF6-DD56-462F-8D8D-819A7EE005E6}"/>
    <cellStyle name="Normal 4 4 2 2 2 2 5 5" xfId="27519" xr:uid="{F700D8D7-3C92-488A-A27A-63E3B330365F}"/>
    <cellStyle name="Normal 4 4 2 2 2 2 5 6" xfId="10633" xr:uid="{F2C896E7-9241-4ED5-96E2-DCFCE619065F}"/>
    <cellStyle name="Normal 4 4 2 2 2 2 6" xfId="2538" xr:uid="{00000000-0005-0000-0000-0000D9140000}"/>
    <cellStyle name="Normal 4 4 2 2 2 2 6 2" xfId="6822" xr:uid="{00000000-0005-0000-0000-0000DA140000}"/>
    <cellStyle name="Normal 4 4 2 2 2 2 6 2 2" xfId="23705" xr:uid="{CC5A58B8-C33B-49F6-96E4-899BF0AA2181}"/>
    <cellStyle name="Normal 4 4 2 2 2 2 6 2 3" xfId="32151" xr:uid="{0D061819-302C-4BA6-A32A-A7BEB06DA45D}"/>
    <cellStyle name="Normal 4 4 2 2 2 2 6 2 4" xfId="15264" xr:uid="{85F9B671-02AE-4191-9A3A-21410872AE93}"/>
    <cellStyle name="Normal 4 4 2 2 2 2 6 3" xfId="19487" xr:uid="{A0886F1A-5D76-4C4F-82BC-B0F1DC3ACEA7}"/>
    <cellStyle name="Normal 4 4 2 2 2 2 6 4" xfId="27932" xr:uid="{A4036E2B-9D41-44D6-9AAE-C59D3BE10B6D}"/>
    <cellStyle name="Normal 4 4 2 2 2 2 6 5" xfId="11046" xr:uid="{142204E6-86BF-4F1A-9461-8B8B5BD9D11D}"/>
    <cellStyle name="Normal 4 4 2 2 2 2 7" xfId="4757" xr:uid="{00000000-0005-0000-0000-0000DB140000}"/>
    <cellStyle name="Normal 4 4 2 2 2 2 7 2" xfId="21640" xr:uid="{99827E98-97E4-4ACD-99F5-FB102FA43661}"/>
    <cellStyle name="Normal 4 4 2 2 2 2 7 3" xfId="30086" xr:uid="{AB74240C-7B79-4016-B04A-4F171F1039F4}"/>
    <cellStyle name="Normal 4 4 2 2 2 2 7 4" xfId="13199" xr:uid="{FE2D668D-FEA1-4640-B82D-7B3E0D3DE0BA}"/>
    <cellStyle name="Normal 4 4 2 2 2 2 8" xfId="17422" xr:uid="{11DBFC2B-3E7A-4FBF-BCF6-E3967C095BFD}"/>
    <cellStyle name="Normal 4 4 2 2 2 2 9" xfId="25866" xr:uid="{C1A24FEC-45E0-4934-AA4B-6B5E9A95DD84}"/>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24197" xr:uid="{B1C26E52-486D-4526-910D-DCCCFBC4AC0E}"/>
    <cellStyle name="Normal 4 4 2 2 2 3 2 2 3" xfId="32643" xr:uid="{F01DB8D4-105F-4E31-B7F3-5F5FF541472D}"/>
    <cellStyle name="Normal 4 4 2 2 2 3 2 2 4" xfId="15756" xr:uid="{CF1CDB20-C262-4C67-891D-CC1700950804}"/>
    <cellStyle name="Normal 4 4 2 2 2 3 2 3" xfId="19979" xr:uid="{BDC20C22-A298-476D-B046-0A26110E8ABF}"/>
    <cellStyle name="Normal 4 4 2 2 2 3 2 4" xfId="28426" xr:uid="{89C10610-A7F0-463E-B5C4-1DB8133FE49F}"/>
    <cellStyle name="Normal 4 4 2 2 2 3 2 5" xfId="11538" xr:uid="{04F0781A-FE56-42F3-8C50-F92F6EC937BF}"/>
    <cellStyle name="Normal 4 4 2 2 2 3 3" xfId="5169" xr:uid="{00000000-0005-0000-0000-0000DF140000}"/>
    <cellStyle name="Normal 4 4 2 2 2 3 3 2" xfId="22052" xr:uid="{527EDDE6-17D2-431A-94A6-945EA9882B02}"/>
    <cellStyle name="Normal 4 4 2 2 2 3 3 3" xfId="30498" xr:uid="{FF51BB07-9A9D-4825-B0A0-A50408737A73}"/>
    <cellStyle name="Normal 4 4 2 2 2 3 3 4" xfId="13611" xr:uid="{2224A091-4A62-433F-9FD3-21669641BCE1}"/>
    <cellStyle name="Normal 4 4 2 2 2 3 4" xfId="17834" xr:uid="{EBC498F9-5930-4965-8F12-B5C7336CC709}"/>
    <cellStyle name="Normal 4 4 2 2 2 3 5" xfId="26279" xr:uid="{64F22FF6-DAC6-4AA8-AAB0-1A5D9D45A833}"/>
    <cellStyle name="Normal 4 4 2 2 2 3 6" xfId="9393" xr:uid="{8702D31C-920B-403A-BEA9-B4609936ADDB}"/>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24610" xr:uid="{7F911174-437E-436F-BB89-E69C6BFA6D74}"/>
    <cellStyle name="Normal 4 4 2 2 2 4 2 2 3" xfId="33056" xr:uid="{2E431A16-00AC-4852-9BE2-0D4F1DABF431}"/>
    <cellStyle name="Normal 4 4 2 2 2 4 2 2 4" xfId="16169" xr:uid="{B66A04B3-4299-4155-8BA2-9844E121E26F}"/>
    <cellStyle name="Normal 4 4 2 2 2 4 2 3" xfId="20392" xr:uid="{313B1299-EC31-4E21-A87D-E3720BFA5987}"/>
    <cellStyle name="Normal 4 4 2 2 2 4 2 4" xfId="28839" xr:uid="{7866434B-B17C-49ED-9E6F-56D0918EC2E5}"/>
    <cellStyle name="Normal 4 4 2 2 2 4 2 5" xfId="11951" xr:uid="{536F9377-70FC-4D25-869E-466306248E22}"/>
    <cellStyle name="Normal 4 4 2 2 2 4 3" xfId="5582" xr:uid="{00000000-0005-0000-0000-0000E3140000}"/>
    <cellStyle name="Normal 4 4 2 2 2 4 3 2" xfId="22465" xr:uid="{094245A6-00E0-4107-886F-CDA61C7459D8}"/>
    <cellStyle name="Normal 4 4 2 2 2 4 3 3" xfId="30911" xr:uid="{A1D012A5-6A48-4D7A-8703-A7E0BBF8F59C}"/>
    <cellStyle name="Normal 4 4 2 2 2 4 3 4" xfId="14024" xr:uid="{70CFB946-6301-496F-8F83-29F2B684B2A5}"/>
    <cellStyle name="Normal 4 4 2 2 2 4 4" xfId="18247" xr:uid="{2EF341BD-8DD1-470C-987E-F64B65D2919D}"/>
    <cellStyle name="Normal 4 4 2 2 2 4 5" xfId="26692" xr:uid="{1242D87E-32DD-4AA9-BA4D-14BAC8DC82AF}"/>
    <cellStyle name="Normal 4 4 2 2 2 4 6" xfId="9806" xr:uid="{D3C56545-2297-4553-9AB4-D15315CE779F}"/>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25023" xr:uid="{320D863C-A40A-4D05-A6DC-A4AA996491F1}"/>
    <cellStyle name="Normal 4 4 2 2 2 5 2 2 3" xfId="33469" xr:uid="{7868C248-130E-4645-853A-0B72C2C2671D}"/>
    <cellStyle name="Normal 4 4 2 2 2 5 2 2 4" xfId="16582" xr:uid="{AE085785-7F0A-45B7-A9FD-F90A676F49C2}"/>
    <cellStyle name="Normal 4 4 2 2 2 5 2 3" xfId="20805" xr:uid="{1A08A830-E90C-4F74-9BA0-07277F5820AA}"/>
    <cellStyle name="Normal 4 4 2 2 2 5 2 4" xfId="29252" xr:uid="{68602BB7-8B55-422A-A647-05855B9584CE}"/>
    <cellStyle name="Normal 4 4 2 2 2 5 2 5" xfId="12364" xr:uid="{2A96BC09-7982-4FE6-B894-68F4F558C8FC}"/>
    <cellStyle name="Normal 4 4 2 2 2 5 3" xfId="5995" xr:uid="{00000000-0005-0000-0000-0000E7140000}"/>
    <cellStyle name="Normal 4 4 2 2 2 5 3 2" xfId="22878" xr:uid="{4C60D178-B511-450F-A4F7-70A4A70E285C}"/>
    <cellStyle name="Normal 4 4 2 2 2 5 3 3" xfId="31324" xr:uid="{8F8167CE-FCE5-4BFC-A4AA-D7FC13673FA8}"/>
    <cellStyle name="Normal 4 4 2 2 2 5 3 4" xfId="14437" xr:uid="{B8E88CF5-4F1F-4896-9F3B-34352860678B}"/>
    <cellStyle name="Normal 4 4 2 2 2 5 4" xfId="18660" xr:uid="{E499CCDC-91C4-46A4-AC85-181A236635AF}"/>
    <cellStyle name="Normal 4 4 2 2 2 5 5" xfId="27105" xr:uid="{D1CF4DCA-4544-4959-8E57-6F8E0DCFF4AD}"/>
    <cellStyle name="Normal 4 4 2 2 2 5 6" xfId="10219" xr:uid="{9F6D4BEA-4329-47A1-8084-BFF9F5A34AA4}"/>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25436" xr:uid="{77CE394D-AAAC-463F-90BC-85D3A6220F2C}"/>
    <cellStyle name="Normal 4 4 2 2 2 6 2 2 3" xfId="33882" xr:uid="{435F963A-9ACE-4AF8-87D5-15C4BC377A5B}"/>
    <cellStyle name="Normal 4 4 2 2 2 6 2 2 4" xfId="16995" xr:uid="{416E5F3C-A22A-43A4-9337-536CA2E68151}"/>
    <cellStyle name="Normal 4 4 2 2 2 6 2 3" xfId="21218" xr:uid="{AA454BE5-0D14-44D9-864B-821A5C7130DC}"/>
    <cellStyle name="Normal 4 4 2 2 2 6 2 4" xfId="29665" xr:uid="{06C26DDB-D124-4F05-88E9-39BE81AFD72D}"/>
    <cellStyle name="Normal 4 4 2 2 2 6 2 5" xfId="12777" xr:uid="{50039507-7B6F-4AA4-B25E-379809ADF156}"/>
    <cellStyle name="Normal 4 4 2 2 2 6 3" xfId="6408" xr:uid="{00000000-0005-0000-0000-0000EB140000}"/>
    <cellStyle name="Normal 4 4 2 2 2 6 3 2" xfId="23291" xr:uid="{FAB9918C-54F5-4C01-B5E4-DED63F24BAA0}"/>
    <cellStyle name="Normal 4 4 2 2 2 6 3 3" xfId="31737" xr:uid="{78165B1F-0DFB-4BA4-8C3B-915BD6A3CCCF}"/>
    <cellStyle name="Normal 4 4 2 2 2 6 3 4" xfId="14850" xr:uid="{DE383FE8-13FD-4816-AF0C-71EFB75A78DA}"/>
    <cellStyle name="Normal 4 4 2 2 2 6 4" xfId="19073" xr:uid="{80107BBC-444B-41F2-834A-E8A21907416F}"/>
    <cellStyle name="Normal 4 4 2 2 2 6 5" xfId="27518" xr:uid="{385C3E2A-CDA5-4ACD-8838-2D96CDD59D71}"/>
    <cellStyle name="Normal 4 4 2 2 2 6 6" xfId="10632" xr:uid="{3786D046-A3A0-41BC-A926-F605AF5944B9}"/>
    <cellStyle name="Normal 4 4 2 2 2 7" xfId="2537" xr:uid="{00000000-0005-0000-0000-0000EC140000}"/>
    <cellStyle name="Normal 4 4 2 2 2 7 2" xfId="6821" xr:uid="{00000000-0005-0000-0000-0000ED140000}"/>
    <cellStyle name="Normal 4 4 2 2 2 7 2 2" xfId="23704" xr:uid="{F6EE0E69-B833-4053-9229-8B01412407BF}"/>
    <cellStyle name="Normal 4 4 2 2 2 7 2 3" xfId="32150" xr:uid="{269999F0-AF89-4117-8E1B-799C8472F040}"/>
    <cellStyle name="Normal 4 4 2 2 2 7 2 4" xfId="15263" xr:uid="{D379FF06-3D8E-40DB-921B-76E01C56F1B6}"/>
    <cellStyle name="Normal 4 4 2 2 2 7 3" xfId="19486" xr:uid="{9E260D78-25CE-4193-88E3-F44E8855A91D}"/>
    <cellStyle name="Normal 4 4 2 2 2 7 4" xfId="27931" xr:uid="{E774C576-FA47-4594-B0B8-AC762C478FCE}"/>
    <cellStyle name="Normal 4 4 2 2 2 7 5" xfId="11045" xr:uid="{DA85924B-4961-485B-B9C0-A206CE25F931}"/>
    <cellStyle name="Normal 4 4 2 2 2 8" xfId="4756" xr:uid="{00000000-0005-0000-0000-0000EE140000}"/>
    <cellStyle name="Normal 4 4 2 2 2 8 2" xfId="21639" xr:uid="{59712F9C-AEB2-4C83-8E1E-043B085FBC8A}"/>
    <cellStyle name="Normal 4 4 2 2 2 8 3" xfId="30085" xr:uid="{DE360BAB-690C-4A81-BE9F-AF0E36C5FFBD}"/>
    <cellStyle name="Normal 4 4 2 2 2 8 4" xfId="13198" xr:uid="{39361BF9-8624-4B91-AE5A-7F2C2E262DB0}"/>
    <cellStyle name="Normal 4 4 2 2 2 9" xfId="17421" xr:uid="{4D967879-9E6B-4C77-A6C2-EA55515B0F87}"/>
    <cellStyle name="Normal 4 4 2 2 3" xfId="383" xr:uid="{00000000-0005-0000-0000-0000EF140000}"/>
    <cellStyle name="Normal 4 4 2 2 3 10" xfId="8982" xr:uid="{69841BBB-26AB-43D3-89D1-5F4B0F725381}"/>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24199" xr:uid="{6685DBD2-433D-4287-B3C3-9949EEE55AD4}"/>
    <cellStyle name="Normal 4 4 2 2 3 2 2 2 3" xfId="32645" xr:uid="{C66DEB88-A5C3-4B2C-8ACF-EE9C7E3675B1}"/>
    <cellStyle name="Normal 4 4 2 2 3 2 2 2 4" xfId="15758" xr:uid="{16131D6A-2901-413D-8151-A195B61B5018}"/>
    <cellStyle name="Normal 4 4 2 2 3 2 2 3" xfId="19981" xr:uid="{0DDA0D0E-CE14-45BE-A596-D0B776E42C4E}"/>
    <cellStyle name="Normal 4 4 2 2 3 2 2 4" xfId="28428" xr:uid="{BF11576E-4836-424B-9C48-4A0B90F9730B}"/>
    <cellStyle name="Normal 4 4 2 2 3 2 2 5" xfId="11540" xr:uid="{32D350F1-5F77-41DC-B91D-47942C052159}"/>
    <cellStyle name="Normal 4 4 2 2 3 2 3" xfId="5171" xr:uid="{00000000-0005-0000-0000-0000F3140000}"/>
    <cellStyle name="Normal 4 4 2 2 3 2 3 2" xfId="22054" xr:uid="{6DB8DB8E-4C07-4CC5-91C1-0142E5FDE255}"/>
    <cellStyle name="Normal 4 4 2 2 3 2 3 3" xfId="30500" xr:uid="{AFD7CC98-191E-4E9B-A836-9C4F655523EF}"/>
    <cellStyle name="Normal 4 4 2 2 3 2 3 4" xfId="13613" xr:uid="{EBF35EE6-9AC0-4356-8680-DD15A95F57BA}"/>
    <cellStyle name="Normal 4 4 2 2 3 2 4" xfId="17836" xr:uid="{0B97D830-348F-4CA9-98C4-62B6719B29D7}"/>
    <cellStyle name="Normal 4 4 2 2 3 2 5" xfId="26281" xr:uid="{5C9DDC67-97B4-4C82-86A9-D1597367B885}"/>
    <cellStyle name="Normal 4 4 2 2 3 2 6" xfId="9395" xr:uid="{CF124DDF-7E6B-4135-BF76-B19640D770F9}"/>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24612" xr:uid="{C5AD2144-9F23-4C17-B6B8-ED76F14C88E6}"/>
    <cellStyle name="Normal 4 4 2 2 3 3 2 2 3" xfId="33058" xr:uid="{F13ED26F-E0F0-4075-ADF6-E71A135445C8}"/>
    <cellStyle name="Normal 4 4 2 2 3 3 2 2 4" xfId="16171" xr:uid="{5D9656E0-33BF-40A0-A092-8AC84CEE81BB}"/>
    <cellStyle name="Normal 4 4 2 2 3 3 2 3" xfId="20394" xr:uid="{59873520-57C3-42D6-8184-383BF0D734A7}"/>
    <cellStyle name="Normal 4 4 2 2 3 3 2 4" xfId="28841" xr:uid="{EEF72FAF-650B-4866-A244-91BC9F91FD77}"/>
    <cellStyle name="Normal 4 4 2 2 3 3 2 5" xfId="11953" xr:uid="{252915B8-34CE-4C0C-9843-567DF55C860E}"/>
    <cellStyle name="Normal 4 4 2 2 3 3 3" xfId="5584" xr:uid="{00000000-0005-0000-0000-0000F7140000}"/>
    <cellStyle name="Normal 4 4 2 2 3 3 3 2" xfId="22467" xr:uid="{FC145F58-747A-41FB-8994-A06236DF86FA}"/>
    <cellStyle name="Normal 4 4 2 2 3 3 3 3" xfId="30913" xr:uid="{F807BFFD-A77B-496C-836C-E4D88543420D}"/>
    <cellStyle name="Normal 4 4 2 2 3 3 3 4" xfId="14026" xr:uid="{EED95F4A-376E-49EC-A669-BB76565FC125}"/>
    <cellStyle name="Normal 4 4 2 2 3 3 4" xfId="18249" xr:uid="{E4AA692A-056C-4A6B-B526-E875B45448EB}"/>
    <cellStyle name="Normal 4 4 2 2 3 3 5" xfId="26694" xr:uid="{97B82C0B-A4A4-4E43-9A90-EB37EBD1E6DC}"/>
    <cellStyle name="Normal 4 4 2 2 3 3 6" xfId="9808" xr:uid="{220C88AA-E48C-4B21-81FC-DF28ECD7D83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25025" xr:uid="{2672C5C4-522D-4788-B3FC-DF993EFE6531}"/>
    <cellStyle name="Normal 4 4 2 2 3 4 2 2 3" xfId="33471" xr:uid="{6E7BC7CF-CD94-4661-9584-8E205E465A91}"/>
    <cellStyle name="Normal 4 4 2 2 3 4 2 2 4" xfId="16584" xr:uid="{F67E05F6-C533-4434-8D0D-0003A701243C}"/>
    <cellStyle name="Normal 4 4 2 2 3 4 2 3" xfId="20807" xr:uid="{6982A591-1793-44A8-9B47-A774C8698A5B}"/>
    <cellStyle name="Normal 4 4 2 2 3 4 2 4" xfId="29254" xr:uid="{F71479DC-A735-4D35-9DEE-01D654012885}"/>
    <cellStyle name="Normal 4 4 2 2 3 4 2 5" xfId="12366" xr:uid="{F037C547-BE56-4565-BB54-45F32C6789BC}"/>
    <cellStyle name="Normal 4 4 2 2 3 4 3" xfId="5997" xr:uid="{00000000-0005-0000-0000-0000FB140000}"/>
    <cellStyle name="Normal 4 4 2 2 3 4 3 2" xfId="22880" xr:uid="{0F861685-E876-4BE0-A446-2AF1B9B35723}"/>
    <cellStyle name="Normal 4 4 2 2 3 4 3 3" xfId="31326" xr:uid="{4A6881CF-2865-40FD-8E51-B6F178BBF477}"/>
    <cellStyle name="Normal 4 4 2 2 3 4 3 4" xfId="14439" xr:uid="{9EC53F9B-D4B6-4CDE-B379-2FA63BB691CE}"/>
    <cellStyle name="Normal 4 4 2 2 3 4 4" xfId="18662" xr:uid="{8907DD91-0DD9-43B1-ADB4-D45C2AD099F2}"/>
    <cellStyle name="Normal 4 4 2 2 3 4 5" xfId="27107" xr:uid="{29251EDE-76F5-4EFB-8D2C-6F765E07A62F}"/>
    <cellStyle name="Normal 4 4 2 2 3 4 6" xfId="10221" xr:uid="{9AE9DD61-E71F-4A40-926A-1F095BF0B6EE}"/>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25438" xr:uid="{DFA627D6-FFCC-49BD-9205-8A9A6AC3FAC0}"/>
    <cellStyle name="Normal 4 4 2 2 3 5 2 2 3" xfId="33884" xr:uid="{153C3DF1-3098-488A-89BB-6918F8051A32}"/>
    <cellStyle name="Normal 4 4 2 2 3 5 2 2 4" xfId="16997" xr:uid="{ED15902A-F061-49F8-8C61-14BA0477FE42}"/>
    <cellStyle name="Normal 4 4 2 2 3 5 2 3" xfId="21220" xr:uid="{2F935C48-D680-4B60-BF05-60F66A297106}"/>
    <cellStyle name="Normal 4 4 2 2 3 5 2 4" xfId="29667" xr:uid="{430696BC-DE34-4284-84C7-1C6EF0206D52}"/>
    <cellStyle name="Normal 4 4 2 2 3 5 2 5" xfId="12779" xr:uid="{991A7F4D-57A3-439C-89A1-A74EB13C060B}"/>
    <cellStyle name="Normal 4 4 2 2 3 5 3" xfId="6410" xr:uid="{00000000-0005-0000-0000-0000FF140000}"/>
    <cellStyle name="Normal 4 4 2 2 3 5 3 2" xfId="23293" xr:uid="{47CB9E8A-1C9D-41FE-804E-EF16CCAAC8F4}"/>
    <cellStyle name="Normal 4 4 2 2 3 5 3 3" xfId="31739" xr:uid="{50606481-AD73-43CA-944F-86BA6A2513A4}"/>
    <cellStyle name="Normal 4 4 2 2 3 5 3 4" xfId="14852" xr:uid="{F9B8C956-8D59-4106-AEE5-0E8845AC904F}"/>
    <cellStyle name="Normal 4 4 2 2 3 5 4" xfId="19075" xr:uid="{1F2FE8AA-985A-473B-A5FA-EC3BADB907BC}"/>
    <cellStyle name="Normal 4 4 2 2 3 5 5" xfId="27520" xr:uid="{41573CF7-5D7B-445C-8F7B-37D3F85ACAA5}"/>
    <cellStyle name="Normal 4 4 2 2 3 5 6" xfId="10634" xr:uid="{4D7BE24C-73E1-4529-BCF8-94189A027358}"/>
    <cellStyle name="Normal 4 4 2 2 3 6" xfId="2539" xr:uid="{00000000-0005-0000-0000-000000150000}"/>
    <cellStyle name="Normal 4 4 2 2 3 6 2" xfId="6823" xr:uid="{00000000-0005-0000-0000-000001150000}"/>
    <cellStyle name="Normal 4 4 2 2 3 6 2 2" xfId="23706" xr:uid="{ED15CEEB-D1D9-422E-B738-693E80598760}"/>
    <cellStyle name="Normal 4 4 2 2 3 6 2 3" xfId="32152" xr:uid="{15E7CEC4-5059-42E4-B017-E1F51981D8B1}"/>
    <cellStyle name="Normal 4 4 2 2 3 6 2 4" xfId="15265" xr:uid="{DF2FCD88-3915-4BD7-AEE2-E4A945A56C2D}"/>
    <cellStyle name="Normal 4 4 2 2 3 6 3" xfId="19488" xr:uid="{C0DD2213-FD72-4053-A22A-06F09CD58688}"/>
    <cellStyle name="Normal 4 4 2 2 3 6 4" xfId="27933" xr:uid="{A8C459E7-C67D-4A89-B70C-EB6022ACBB27}"/>
    <cellStyle name="Normal 4 4 2 2 3 6 5" xfId="11047" xr:uid="{81BEAD6E-24E9-4FD3-B801-FE1BAC69BDDD}"/>
    <cellStyle name="Normal 4 4 2 2 3 7" xfId="4758" xr:uid="{00000000-0005-0000-0000-000002150000}"/>
    <cellStyle name="Normal 4 4 2 2 3 7 2" xfId="21641" xr:uid="{25F68A43-F541-4F27-B03A-EB267B7B4652}"/>
    <cellStyle name="Normal 4 4 2 2 3 7 3" xfId="30087" xr:uid="{515EF843-3369-40C6-9BDA-2B493546B820}"/>
    <cellStyle name="Normal 4 4 2 2 3 7 4" xfId="13200" xr:uid="{0FB71772-62C5-4289-B132-BCC27042FCF7}"/>
    <cellStyle name="Normal 4 4 2 2 3 8" xfId="17423" xr:uid="{9A7A9BAD-D954-454F-9E67-B57C48292F24}"/>
    <cellStyle name="Normal 4 4 2 2 3 9" xfId="25867" xr:uid="{0B965549-D8E8-4433-9C8D-D07CA4DC344E}"/>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24196" xr:uid="{662B3C4D-5D96-4183-AE8B-635AD032AB41}"/>
    <cellStyle name="Normal 4 4 2 2 4 2 2 3" xfId="32642" xr:uid="{ABC9CB16-C536-4389-8313-9C77E09BB685}"/>
    <cellStyle name="Normal 4 4 2 2 4 2 2 4" xfId="15755" xr:uid="{9A07D638-16AA-4617-9FBB-94C2F8F370D2}"/>
    <cellStyle name="Normal 4 4 2 2 4 2 3" xfId="19978" xr:uid="{180C153B-50D2-47F7-AAF9-5E21BD4888CD}"/>
    <cellStyle name="Normal 4 4 2 2 4 2 4" xfId="28425" xr:uid="{6B1C8615-010E-4108-9977-0E210B2D9D2F}"/>
    <cellStyle name="Normal 4 4 2 2 4 2 5" xfId="11537" xr:uid="{6FD5DB42-DFC6-438D-905E-3427F68EE476}"/>
    <cellStyle name="Normal 4 4 2 2 4 3" xfId="5168" xr:uid="{00000000-0005-0000-0000-000006150000}"/>
    <cellStyle name="Normal 4 4 2 2 4 3 2" xfId="22051" xr:uid="{79C56A93-2BB0-4739-A595-B93EC211A3D7}"/>
    <cellStyle name="Normal 4 4 2 2 4 3 3" xfId="30497" xr:uid="{C9DAF002-28CF-48D9-847B-8122A0D5D1BD}"/>
    <cellStyle name="Normal 4 4 2 2 4 3 4" xfId="13610" xr:uid="{062D5861-ABC3-41D0-B82E-AE034AC68C5A}"/>
    <cellStyle name="Normal 4 4 2 2 4 4" xfId="17833" xr:uid="{4E22434F-4EB3-497F-8744-4B90D2FA4EF0}"/>
    <cellStyle name="Normal 4 4 2 2 4 5" xfId="26278" xr:uid="{A4C487FA-BF02-4C14-8933-9B3FACD0E662}"/>
    <cellStyle name="Normal 4 4 2 2 4 6" xfId="9392" xr:uid="{4D5F7126-889A-49C8-A3FE-A52F6E902E1F}"/>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24609" xr:uid="{155F5CE0-7D2F-4070-A4FC-4C0F3FD2F30B}"/>
    <cellStyle name="Normal 4 4 2 2 5 2 2 3" xfId="33055" xr:uid="{9D5095EB-DA09-40BD-A094-57CD00655334}"/>
    <cellStyle name="Normal 4 4 2 2 5 2 2 4" xfId="16168" xr:uid="{CF1CE1D3-19EF-4638-AA7C-111DEC7E0040}"/>
    <cellStyle name="Normal 4 4 2 2 5 2 3" xfId="20391" xr:uid="{BB711930-AFEC-4756-A0A3-0FFAE6391294}"/>
    <cellStyle name="Normal 4 4 2 2 5 2 4" xfId="28838" xr:uid="{698E9C52-75DA-42CA-8806-B4A564290494}"/>
    <cellStyle name="Normal 4 4 2 2 5 2 5" xfId="11950" xr:uid="{9EAF8396-9A9B-4C50-9E84-2FC6C97F7CBB}"/>
    <cellStyle name="Normal 4 4 2 2 5 3" xfId="5581" xr:uid="{00000000-0005-0000-0000-00000A150000}"/>
    <cellStyle name="Normal 4 4 2 2 5 3 2" xfId="22464" xr:uid="{2C1712D8-FC85-418D-A871-E6689C44E2E6}"/>
    <cellStyle name="Normal 4 4 2 2 5 3 3" xfId="30910" xr:uid="{DB659F8A-44EC-475E-BD73-57C945D45873}"/>
    <cellStyle name="Normal 4 4 2 2 5 3 4" xfId="14023" xr:uid="{6192AE60-5949-41B2-9D39-391D2766B1CB}"/>
    <cellStyle name="Normal 4 4 2 2 5 4" xfId="18246" xr:uid="{433DEF23-B527-4DB4-8239-3362D4879133}"/>
    <cellStyle name="Normal 4 4 2 2 5 5" xfId="26691" xr:uid="{1128417C-C911-46AE-8FA9-D1FE7F0AE359}"/>
    <cellStyle name="Normal 4 4 2 2 5 6" xfId="9805" xr:uid="{8E085DC7-72F1-42FF-B1A3-88382052C7E3}"/>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25022" xr:uid="{1006F54B-C421-4042-891D-27CB297A7C7B}"/>
    <cellStyle name="Normal 4 4 2 2 6 2 2 3" xfId="33468" xr:uid="{37B12D6D-5937-47A4-835B-6BAA463F38C5}"/>
    <cellStyle name="Normal 4 4 2 2 6 2 2 4" xfId="16581" xr:uid="{D185DE88-0549-4DCA-AFB1-CFBA2FB88603}"/>
    <cellStyle name="Normal 4 4 2 2 6 2 3" xfId="20804" xr:uid="{C42A8067-0F3F-4A77-A170-F371305F9830}"/>
    <cellStyle name="Normal 4 4 2 2 6 2 4" xfId="29251" xr:uid="{B4B1399E-46AE-4A59-B234-3181A3119A9F}"/>
    <cellStyle name="Normal 4 4 2 2 6 2 5" xfId="12363" xr:uid="{C4189341-4543-4F88-9B31-446C8123FDA8}"/>
    <cellStyle name="Normal 4 4 2 2 6 3" xfId="5994" xr:uid="{00000000-0005-0000-0000-00000E150000}"/>
    <cellStyle name="Normal 4 4 2 2 6 3 2" xfId="22877" xr:uid="{5FB2932F-D0D2-4A85-A93A-5A09424A7F90}"/>
    <cellStyle name="Normal 4 4 2 2 6 3 3" xfId="31323" xr:uid="{0EB38E0C-E917-4B31-A453-A78A6A4C2622}"/>
    <cellStyle name="Normal 4 4 2 2 6 3 4" xfId="14436" xr:uid="{BD6232AA-3696-4E25-B378-7E4BBCC60EB3}"/>
    <cellStyle name="Normal 4 4 2 2 6 4" xfId="18659" xr:uid="{37DDCCE8-B6C8-4146-8AF7-5E18393C4E70}"/>
    <cellStyle name="Normal 4 4 2 2 6 5" xfId="27104" xr:uid="{3B77B894-9AD5-464B-8B38-6FF9E2E8DCD0}"/>
    <cellStyle name="Normal 4 4 2 2 6 6" xfId="10218" xr:uid="{058EC2F3-567D-4498-90D3-2E340CC91049}"/>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25435" xr:uid="{A4C0A394-8AC3-4DFD-850D-A965BADDDBBB}"/>
    <cellStyle name="Normal 4 4 2 2 7 2 2 3" xfId="33881" xr:uid="{30E648A3-5236-40ED-B849-7C0DAFF05854}"/>
    <cellStyle name="Normal 4 4 2 2 7 2 2 4" xfId="16994" xr:uid="{2912A0B7-6D47-43E8-8D0C-255112D7A36C}"/>
    <cellStyle name="Normal 4 4 2 2 7 2 3" xfId="21217" xr:uid="{4F8BD8A5-ACB2-4E1E-84DF-9A3C48A95E4F}"/>
    <cellStyle name="Normal 4 4 2 2 7 2 4" xfId="29664" xr:uid="{1B71B5D0-5FF2-4204-B447-215EDCF89AF4}"/>
    <cellStyle name="Normal 4 4 2 2 7 2 5" xfId="12776" xr:uid="{616F1432-95FE-4618-8F85-9B69476D490D}"/>
    <cellStyle name="Normal 4 4 2 2 7 3" xfId="6407" xr:uid="{00000000-0005-0000-0000-000012150000}"/>
    <cellStyle name="Normal 4 4 2 2 7 3 2" xfId="23290" xr:uid="{724CF2D9-3A9E-4D46-AFD0-426D0A0CF041}"/>
    <cellStyle name="Normal 4 4 2 2 7 3 3" xfId="31736" xr:uid="{ED772B26-0BAC-44A9-9FAA-C5883D9273EF}"/>
    <cellStyle name="Normal 4 4 2 2 7 3 4" xfId="14849" xr:uid="{50274280-E727-4BB0-AE2C-A332B543C6A5}"/>
    <cellStyle name="Normal 4 4 2 2 7 4" xfId="19072" xr:uid="{9AFBEA8C-79C2-4EC8-ACC2-F99E68E2AE89}"/>
    <cellStyle name="Normal 4 4 2 2 7 5" xfId="27517" xr:uid="{B795AAB7-2226-49CF-8AEE-6D902485DE30}"/>
    <cellStyle name="Normal 4 4 2 2 7 6" xfId="10631" xr:uid="{882CC39D-726E-4411-B71E-0D78860D7A9F}"/>
    <cellStyle name="Normal 4 4 2 2 8" xfId="2536" xr:uid="{00000000-0005-0000-0000-000013150000}"/>
    <cellStyle name="Normal 4 4 2 2 8 2" xfId="6820" xr:uid="{00000000-0005-0000-0000-000014150000}"/>
    <cellStyle name="Normal 4 4 2 2 8 2 2" xfId="23703" xr:uid="{F5F22587-D813-4CBF-A218-57D3610B4D30}"/>
    <cellStyle name="Normal 4 4 2 2 8 2 3" xfId="32149" xr:uid="{B338BC3D-1483-4E08-9914-75203D7F662F}"/>
    <cellStyle name="Normal 4 4 2 2 8 2 4" xfId="15262" xr:uid="{738D03D7-8151-4027-8F40-799FFC18997A}"/>
    <cellStyle name="Normal 4 4 2 2 8 3" xfId="19485" xr:uid="{49C1912A-2256-46A8-B0A7-5D5B8C74A29A}"/>
    <cellStyle name="Normal 4 4 2 2 8 4" xfId="27930" xr:uid="{B72E5990-445D-48B1-9838-05884610402B}"/>
    <cellStyle name="Normal 4 4 2 2 8 5" xfId="11044" xr:uid="{C6A9102F-C3B2-46A7-9D49-FF48DD072D3A}"/>
    <cellStyle name="Normal 4 4 2 2 9" xfId="4755" xr:uid="{00000000-0005-0000-0000-000015150000}"/>
    <cellStyle name="Normal 4 4 2 2 9 2" xfId="21638" xr:uid="{AA1A8173-D594-418E-8533-48075E7E424B}"/>
    <cellStyle name="Normal 4 4 2 2 9 3" xfId="30084" xr:uid="{7740AC4E-3A86-4E0C-96A6-B6DB34B01114}"/>
    <cellStyle name="Normal 4 4 2 2 9 4" xfId="13197" xr:uid="{1CAEDCE7-4CDE-49B2-A457-CA4455C2DAF4}"/>
    <cellStyle name="Normal 4 4 2 3" xfId="384" xr:uid="{00000000-0005-0000-0000-000016150000}"/>
    <cellStyle name="Normal 4 4 2 3 10" xfId="25868" xr:uid="{D03C01D1-7886-4204-9ED7-01C9A7B8DF32}"/>
    <cellStyle name="Normal 4 4 2 3 11" xfId="8983" xr:uid="{47F8723C-98A9-47CE-B837-B217C9CC05DB}"/>
    <cellStyle name="Normal 4 4 2 3 2" xfId="385" xr:uid="{00000000-0005-0000-0000-000017150000}"/>
    <cellStyle name="Normal 4 4 2 3 2 10" xfId="8984" xr:uid="{7D5AEEE6-8B44-490C-BE7D-D4EA42E805BE}"/>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24201" xr:uid="{A1BC4976-3A0C-4320-8459-061B2BC6AA5B}"/>
    <cellStyle name="Normal 4 4 2 3 2 2 2 2 3" xfId="32647" xr:uid="{C9670DF4-B248-4DED-A07C-276AAA5BE7C0}"/>
    <cellStyle name="Normal 4 4 2 3 2 2 2 2 4" xfId="15760" xr:uid="{97CC48F1-34EE-402C-BCDA-63303DDBA21C}"/>
    <cellStyle name="Normal 4 4 2 3 2 2 2 3" xfId="19983" xr:uid="{905DDB61-3F28-41FA-8C58-E80B08711877}"/>
    <cellStyle name="Normal 4 4 2 3 2 2 2 4" xfId="28430" xr:uid="{FCC5E29D-6945-436C-A040-6A4C06FDD986}"/>
    <cellStyle name="Normal 4 4 2 3 2 2 2 5" xfId="11542" xr:uid="{A26E7AFE-DA43-48A1-8862-6F5ACDDCF987}"/>
    <cellStyle name="Normal 4 4 2 3 2 2 3" xfId="5173" xr:uid="{00000000-0005-0000-0000-00001B150000}"/>
    <cellStyle name="Normal 4 4 2 3 2 2 3 2" xfId="22056" xr:uid="{DA4A42F2-6026-4E83-A167-5E4446FCE053}"/>
    <cellStyle name="Normal 4 4 2 3 2 2 3 3" xfId="30502" xr:uid="{F292D850-75BF-4FEC-876F-A0F1F2F31FC4}"/>
    <cellStyle name="Normal 4 4 2 3 2 2 3 4" xfId="13615" xr:uid="{364B3AA1-D896-4079-A169-61D09AADF3AE}"/>
    <cellStyle name="Normal 4 4 2 3 2 2 4" xfId="17838" xr:uid="{320C4727-8CD2-4C0E-A063-E53F1D1CCB36}"/>
    <cellStyle name="Normal 4 4 2 3 2 2 5" xfId="26283" xr:uid="{27A55AA1-FBC7-4A1D-8335-FFC1C93D73C1}"/>
    <cellStyle name="Normal 4 4 2 3 2 2 6" xfId="9397" xr:uid="{4447DEE5-456A-40C2-A130-FB6ADAE1FAC3}"/>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24614" xr:uid="{96911113-5244-41F4-84F9-537750B7E3D2}"/>
    <cellStyle name="Normal 4 4 2 3 2 3 2 2 3" xfId="33060" xr:uid="{C5A46C5A-4C05-453E-B7F4-152B00A992B5}"/>
    <cellStyle name="Normal 4 4 2 3 2 3 2 2 4" xfId="16173" xr:uid="{6EA43FC3-DFD0-4D0D-B3D9-79F689828E8F}"/>
    <cellStyle name="Normal 4 4 2 3 2 3 2 3" xfId="20396" xr:uid="{5922E7C4-B72B-4E95-A001-A7EFFFCF2818}"/>
    <cellStyle name="Normal 4 4 2 3 2 3 2 4" xfId="28843" xr:uid="{06463077-6D0F-42B4-9061-606AAC4CD042}"/>
    <cellStyle name="Normal 4 4 2 3 2 3 2 5" xfId="11955" xr:uid="{B936F5F1-20B5-4FCB-B53D-E1B1C904B868}"/>
    <cellStyle name="Normal 4 4 2 3 2 3 3" xfId="5586" xr:uid="{00000000-0005-0000-0000-00001F150000}"/>
    <cellStyle name="Normal 4 4 2 3 2 3 3 2" xfId="22469" xr:uid="{8256E0FF-5EEA-42EA-A2EB-70463DA2FC01}"/>
    <cellStyle name="Normal 4 4 2 3 2 3 3 3" xfId="30915" xr:uid="{90CC5F21-C5B8-4846-ACB2-9E226FAF5D76}"/>
    <cellStyle name="Normal 4 4 2 3 2 3 3 4" xfId="14028" xr:uid="{CCAF10AF-3F2E-4C44-96E7-C5A3365F0240}"/>
    <cellStyle name="Normal 4 4 2 3 2 3 4" xfId="18251" xr:uid="{D2AEB0F5-363E-4F59-8255-304C2D77D4EF}"/>
    <cellStyle name="Normal 4 4 2 3 2 3 5" xfId="26696" xr:uid="{18D888E4-6497-49D1-B9F3-472F8DF728B3}"/>
    <cellStyle name="Normal 4 4 2 3 2 3 6" xfId="9810" xr:uid="{4C2937EF-99CB-453D-8656-B85564A5375F}"/>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25027" xr:uid="{233802EA-D251-486D-809D-E8BE84578026}"/>
    <cellStyle name="Normal 4 4 2 3 2 4 2 2 3" xfId="33473" xr:uid="{84116D57-FC8C-4ADC-8BB9-82BEA6299D70}"/>
    <cellStyle name="Normal 4 4 2 3 2 4 2 2 4" xfId="16586" xr:uid="{B0D0CF94-47B2-4D78-B246-E1180006A0DB}"/>
    <cellStyle name="Normal 4 4 2 3 2 4 2 3" xfId="20809" xr:uid="{B99B5A04-1E29-4E75-B51E-3D9544FD7CCE}"/>
    <cellStyle name="Normal 4 4 2 3 2 4 2 4" xfId="29256" xr:uid="{4CBBC659-1477-4908-9CEC-F01D655AC513}"/>
    <cellStyle name="Normal 4 4 2 3 2 4 2 5" xfId="12368" xr:uid="{7EEA2842-8686-4446-80BD-F451FA821B3E}"/>
    <cellStyle name="Normal 4 4 2 3 2 4 3" xfId="5999" xr:uid="{00000000-0005-0000-0000-000023150000}"/>
    <cellStyle name="Normal 4 4 2 3 2 4 3 2" xfId="22882" xr:uid="{B6C49C3B-490C-4A22-86AF-C84468A40BBE}"/>
    <cellStyle name="Normal 4 4 2 3 2 4 3 3" xfId="31328" xr:uid="{E4CDAD43-8436-495D-9E26-4E6B0EFF64F2}"/>
    <cellStyle name="Normal 4 4 2 3 2 4 3 4" xfId="14441" xr:uid="{934EBD33-4C9A-4033-986B-10C99A5559E8}"/>
    <cellStyle name="Normal 4 4 2 3 2 4 4" xfId="18664" xr:uid="{E8E4939D-10FF-4D35-BD0D-085606EBD4F9}"/>
    <cellStyle name="Normal 4 4 2 3 2 4 5" xfId="27109" xr:uid="{43252DC5-ED24-40AC-A283-965FF7C4B108}"/>
    <cellStyle name="Normal 4 4 2 3 2 4 6" xfId="10223" xr:uid="{4BE9F761-83B7-4852-8144-98A2725E9CF2}"/>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25440" xr:uid="{65747A60-BB53-41D9-BA6B-3DD04E95C965}"/>
    <cellStyle name="Normal 4 4 2 3 2 5 2 2 3" xfId="33886" xr:uid="{53AC376F-A60A-464B-A1AF-3ECB54F70CCA}"/>
    <cellStyle name="Normal 4 4 2 3 2 5 2 2 4" xfId="16999" xr:uid="{E17F7FD1-1342-42FC-AC46-4809348F31E3}"/>
    <cellStyle name="Normal 4 4 2 3 2 5 2 3" xfId="21222" xr:uid="{28899121-9057-420F-890B-09D27FCECF74}"/>
    <cellStyle name="Normal 4 4 2 3 2 5 2 4" xfId="29669" xr:uid="{098A5A33-B90E-4438-A25A-193E2F476012}"/>
    <cellStyle name="Normal 4 4 2 3 2 5 2 5" xfId="12781" xr:uid="{2733C652-B3B6-4F51-A4A6-3BEAE233E6A4}"/>
    <cellStyle name="Normal 4 4 2 3 2 5 3" xfId="6412" xr:uid="{00000000-0005-0000-0000-000027150000}"/>
    <cellStyle name="Normal 4 4 2 3 2 5 3 2" xfId="23295" xr:uid="{778448EE-191C-4DF0-AD36-F75F9334EA0E}"/>
    <cellStyle name="Normal 4 4 2 3 2 5 3 3" xfId="31741" xr:uid="{A2752C60-9699-40C4-BCBB-C1904F7FA741}"/>
    <cellStyle name="Normal 4 4 2 3 2 5 3 4" xfId="14854" xr:uid="{EF887716-9CB8-400E-BD4C-270157CE7D93}"/>
    <cellStyle name="Normal 4 4 2 3 2 5 4" xfId="19077" xr:uid="{120BE7B6-FB2D-4D86-B498-7E85FB388A73}"/>
    <cellStyle name="Normal 4 4 2 3 2 5 5" xfId="27522" xr:uid="{1D7AE7F0-BD48-4D60-BD50-DC4BFD119C13}"/>
    <cellStyle name="Normal 4 4 2 3 2 5 6" xfId="10636" xr:uid="{6115F6C3-E225-43B6-88ED-FA0EB83B03A0}"/>
    <cellStyle name="Normal 4 4 2 3 2 6" xfId="2541" xr:uid="{00000000-0005-0000-0000-000028150000}"/>
    <cellStyle name="Normal 4 4 2 3 2 6 2" xfId="6825" xr:uid="{00000000-0005-0000-0000-000029150000}"/>
    <cellStyle name="Normal 4 4 2 3 2 6 2 2" xfId="23708" xr:uid="{7A1536D1-3E0F-4590-BA2F-6C9E19A6A823}"/>
    <cellStyle name="Normal 4 4 2 3 2 6 2 3" xfId="32154" xr:uid="{2F0E0C40-4E05-479F-812A-80D20546CC30}"/>
    <cellStyle name="Normal 4 4 2 3 2 6 2 4" xfId="15267" xr:uid="{AF30B037-27D0-4DD5-A08F-7F148CCC84B9}"/>
    <cellStyle name="Normal 4 4 2 3 2 6 3" xfId="19490" xr:uid="{12397F2F-5AB9-4807-85A5-4E0EB6BDE57D}"/>
    <cellStyle name="Normal 4 4 2 3 2 6 4" xfId="27935" xr:uid="{0E062E3C-948E-40AA-A752-38C67CEABE80}"/>
    <cellStyle name="Normal 4 4 2 3 2 6 5" xfId="11049" xr:uid="{A6E6353F-3718-4B1C-9838-8018F4EFC314}"/>
    <cellStyle name="Normal 4 4 2 3 2 7" xfId="4760" xr:uid="{00000000-0005-0000-0000-00002A150000}"/>
    <cellStyle name="Normal 4 4 2 3 2 7 2" xfId="21643" xr:uid="{2A8EA199-A1BA-404F-9D03-CF8FAE2A17C5}"/>
    <cellStyle name="Normal 4 4 2 3 2 7 3" xfId="30089" xr:uid="{EE8F5F30-45E0-4C36-8294-0724DEE13655}"/>
    <cellStyle name="Normal 4 4 2 3 2 7 4" xfId="13202" xr:uid="{47CFE602-2363-4E25-9539-C98736CC7D67}"/>
    <cellStyle name="Normal 4 4 2 3 2 8" xfId="17425" xr:uid="{020D070B-E4C3-4FD8-83BE-B14E7A36B442}"/>
    <cellStyle name="Normal 4 4 2 3 2 9" xfId="25869" xr:uid="{5FD7F41C-649A-428B-B38D-32DF218DF088}"/>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24200" xr:uid="{BF0369DC-2275-4E62-995A-736578EF31C1}"/>
    <cellStyle name="Normal 4 4 2 3 3 2 2 3" xfId="32646" xr:uid="{0AC36A63-35DA-4899-9B39-AF4E504220A5}"/>
    <cellStyle name="Normal 4 4 2 3 3 2 2 4" xfId="15759" xr:uid="{53223E58-2353-4241-99AC-F64F65979A99}"/>
    <cellStyle name="Normal 4 4 2 3 3 2 3" xfId="19982" xr:uid="{CC1AC070-620D-4FE6-9BD2-6180FA0B39C2}"/>
    <cellStyle name="Normal 4 4 2 3 3 2 4" xfId="28429" xr:uid="{38F4746D-998C-4261-8C24-A0E1A6E15E63}"/>
    <cellStyle name="Normal 4 4 2 3 3 2 5" xfId="11541" xr:uid="{2DF7EEA7-31A4-4A19-B6F6-585DDB0876F7}"/>
    <cellStyle name="Normal 4 4 2 3 3 3" xfId="5172" xr:uid="{00000000-0005-0000-0000-00002E150000}"/>
    <cellStyle name="Normal 4 4 2 3 3 3 2" xfId="22055" xr:uid="{D6A81F55-1D3B-4309-83FB-574D1A6201A8}"/>
    <cellStyle name="Normal 4 4 2 3 3 3 3" xfId="30501" xr:uid="{BD73DFE7-7343-4AE8-B028-0E54FBB64079}"/>
    <cellStyle name="Normal 4 4 2 3 3 3 4" xfId="13614" xr:uid="{F9066078-C5BA-47EB-9ABF-91837BEEEFC9}"/>
    <cellStyle name="Normal 4 4 2 3 3 4" xfId="17837" xr:uid="{351E7D55-CD74-4E18-8D12-81375E81009D}"/>
    <cellStyle name="Normal 4 4 2 3 3 5" xfId="26282" xr:uid="{AD54C46C-DA93-499B-A7AC-5CAA0E91B081}"/>
    <cellStyle name="Normal 4 4 2 3 3 6" xfId="9396" xr:uid="{2B599374-AC58-45AD-BE21-D3E5DC907C55}"/>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24613" xr:uid="{88A7FAC3-D65A-4A3C-B1E0-E2E06C8693A7}"/>
    <cellStyle name="Normal 4 4 2 3 4 2 2 3" xfId="33059" xr:uid="{F2D97623-1629-4820-8DD8-C858A3D76770}"/>
    <cellStyle name="Normal 4 4 2 3 4 2 2 4" xfId="16172" xr:uid="{7D3D151A-94A8-4708-B13E-1EBAC635F9BB}"/>
    <cellStyle name="Normal 4 4 2 3 4 2 3" xfId="20395" xr:uid="{511FB13E-AC75-4BCF-8E54-269AFB879F49}"/>
    <cellStyle name="Normal 4 4 2 3 4 2 4" xfId="28842" xr:uid="{660B349B-2625-4E48-B90D-AF256FA07555}"/>
    <cellStyle name="Normal 4 4 2 3 4 2 5" xfId="11954" xr:uid="{EFB5FE39-6592-46CE-B3E9-1A4ABB31A43A}"/>
    <cellStyle name="Normal 4 4 2 3 4 3" xfId="5585" xr:uid="{00000000-0005-0000-0000-000032150000}"/>
    <cellStyle name="Normal 4 4 2 3 4 3 2" xfId="22468" xr:uid="{9536E0B8-9E94-4B7E-A97E-4C2786CE7F18}"/>
    <cellStyle name="Normal 4 4 2 3 4 3 3" xfId="30914" xr:uid="{47670CAD-2884-44C7-BA49-8115E612DC4F}"/>
    <cellStyle name="Normal 4 4 2 3 4 3 4" xfId="14027" xr:uid="{C097E0C0-05A4-4E71-935C-3E048583DD0C}"/>
    <cellStyle name="Normal 4 4 2 3 4 4" xfId="18250" xr:uid="{FA7B8DB9-36EB-4CA4-9705-526EE4866F77}"/>
    <cellStyle name="Normal 4 4 2 3 4 5" xfId="26695" xr:uid="{21FD8EA9-7E6B-4A2A-97E8-A8A153C0231E}"/>
    <cellStyle name="Normal 4 4 2 3 4 6" xfId="9809" xr:uid="{22348640-03AF-428B-A199-37583A6E4D7E}"/>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25026" xr:uid="{992380FE-E69B-4410-952B-758E4A2974F1}"/>
    <cellStyle name="Normal 4 4 2 3 5 2 2 3" xfId="33472" xr:uid="{07DE3A38-3225-49DA-9C0A-223C21EBF854}"/>
    <cellStyle name="Normal 4 4 2 3 5 2 2 4" xfId="16585" xr:uid="{272870B8-A698-41D2-AF6B-9CA65BD6AFD5}"/>
    <cellStyle name="Normal 4 4 2 3 5 2 3" xfId="20808" xr:uid="{C2222E19-0C1F-4CB5-9FDD-B2DDE878CCEC}"/>
    <cellStyle name="Normal 4 4 2 3 5 2 4" xfId="29255" xr:uid="{D66C5917-48DF-4F61-97FE-504284F60E87}"/>
    <cellStyle name="Normal 4 4 2 3 5 2 5" xfId="12367" xr:uid="{0EE64BD9-A8EB-49B1-95B0-754CF996DF70}"/>
    <cellStyle name="Normal 4 4 2 3 5 3" xfId="5998" xr:uid="{00000000-0005-0000-0000-000036150000}"/>
    <cellStyle name="Normal 4 4 2 3 5 3 2" xfId="22881" xr:uid="{4DEACA77-F16F-4392-B3BB-7ADCCA095604}"/>
    <cellStyle name="Normal 4 4 2 3 5 3 3" xfId="31327" xr:uid="{E5F1B5EF-0D1C-431F-8DF4-2CEB56D8B32B}"/>
    <cellStyle name="Normal 4 4 2 3 5 3 4" xfId="14440" xr:uid="{30BCBF2B-BE2A-4C6F-9416-B517E1C663A8}"/>
    <cellStyle name="Normal 4 4 2 3 5 4" xfId="18663" xr:uid="{D7BA56B3-5827-4001-884C-70A9349EB8A9}"/>
    <cellStyle name="Normal 4 4 2 3 5 5" xfId="27108" xr:uid="{C0E6C0E6-B341-4DE1-8513-D5CEB1CF42DC}"/>
    <cellStyle name="Normal 4 4 2 3 5 6" xfId="10222" xr:uid="{5E5A530F-9F36-41CE-9A94-E9C62D615F27}"/>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25439" xr:uid="{D8C01C7D-1B54-441F-B7A1-94140C752821}"/>
    <cellStyle name="Normal 4 4 2 3 6 2 2 3" xfId="33885" xr:uid="{1D91291D-355B-4E2B-8385-F6FA28732E23}"/>
    <cellStyle name="Normal 4 4 2 3 6 2 2 4" xfId="16998" xr:uid="{00A0AC77-2535-4200-949B-14F49C4992E9}"/>
    <cellStyle name="Normal 4 4 2 3 6 2 3" xfId="21221" xr:uid="{66F6BFE4-A71A-4CA0-A630-0B84E4FEB1AA}"/>
    <cellStyle name="Normal 4 4 2 3 6 2 4" xfId="29668" xr:uid="{77CA222E-3D21-48B3-9CB3-7991044B7AE4}"/>
    <cellStyle name="Normal 4 4 2 3 6 2 5" xfId="12780" xr:uid="{CB8E130A-1003-44BE-AD21-3BDB51B202DE}"/>
    <cellStyle name="Normal 4 4 2 3 6 3" xfId="6411" xr:uid="{00000000-0005-0000-0000-00003A150000}"/>
    <cellStyle name="Normal 4 4 2 3 6 3 2" xfId="23294" xr:uid="{D333013D-AD7E-406F-9BD3-43F875DDC6D8}"/>
    <cellStyle name="Normal 4 4 2 3 6 3 3" xfId="31740" xr:uid="{E08ED880-CF0D-4C4A-93B7-4F56435625D3}"/>
    <cellStyle name="Normal 4 4 2 3 6 3 4" xfId="14853" xr:uid="{17DC75EC-702A-496A-BB41-215EE1E2E2E7}"/>
    <cellStyle name="Normal 4 4 2 3 6 4" xfId="19076" xr:uid="{7FA9DC90-FB70-4F69-A60E-082C3A62792A}"/>
    <cellStyle name="Normal 4 4 2 3 6 5" xfId="27521" xr:uid="{8275D7EF-DC4D-4244-AEB7-3B79E1152108}"/>
    <cellStyle name="Normal 4 4 2 3 6 6" xfId="10635" xr:uid="{65D01B37-6C60-44C9-97E7-3642A0222A31}"/>
    <cellStyle name="Normal 4 4 2 3 7" xfId="2540" xr:uid="{00000000-0005-0000-0000-00003B150000}"/>
    <cellStyle name="Normal 4 4 2 3 7 2" xfId="6824" xr:uid="{00000000-0005-0000-0000-00003C150000}"/>
    <cellStyle name="Normal 4 4 2 3 7 2 2" xfId="23707" xr:uid="{F0C722B0-5D78-40E1-89E5-89BC18B4AA68}"/>
    <cellStyle name="Normal 4 4 2 3 7 2 3" xfId="32153" xr:uid="{F9D7B574-2B07-45D2-B7A5-0365142898D4}"/>
    <cellStyle name="Normal 4 4 2 3 7 2 4" xfId="15266" xr:uid="{13976980-1487-40AF-BB58-BE463777F454}"/>
    <cellStyle name="Normal 4 4 2 3 7 3" xfId="19489" xr:uid="{F2B4D420-3566-4415-AED4-4DE4C270939A}"/>
    <cellStyle name="Normal 4 4 2 3 7 4" xfId="27934" xr:uid="{A2794779-50B4-4E9F-BE6B-722372262E46}"/>
    <cellStyle name="Normal 4 4 2 3 7 5" xfId="11048" xr:uid="{A17827A5-2F79-4EB4-9957-0F056C2C3390}"/>
    <cellStyle name="Normal 4 4 2 3 8" xfId="4759" xr:uid="{00000000-0005-0000-0000-00003D150000}"/>
    <cellStyle name="Normal 4 4 2 3 8 2" xfId="21642" xr:uid="{1CF8DBA3-8FB2-445D-A5B5-BFEE0720927E}"/>
    <cellStyle name="Normal 4 4 2 3 8 3" xfId="30088" xr:uid="{57B6DD19-12C9-40F2-A63D-7EBFA7B5EAD4}"/>
    <cellStyle name="Normal 4 4 2 3 8 4" xfId="13201" xr:uid="{A25F58DF-5C83-4AF3-92C9-EC2E02AC7CB1}"/>
    <cellStyle name="Normal 4 4 2 3 9" xfId="17424" xr:uid="{64C1C957-51B7-4D4F-B72A-07348DC2273C}"/>
    <cellStyle name="Normal 4 4 2 4" xfId="386" xr:uid="{00000000-0005-0000-0000-00003E150000}"/>
    <cellStyle name="Normal 4 4 2 4 10" xfId="8985" xr:uid="{F4EF847F-93CF-428A-8157-958ACF8E3C78}"/>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24202" xr:uid="{249E7786-785A-4869-9697-9626A2A59F25}"/>
    <cellStyle name="Normal 4 4 2 4 2 2 2 3" xfId="32648" xr:uid="{75A3FA03-3724-4BB8-BFCF-BF2D28093C89}"/>
    <cellStyle name="Normal 4 4 2 4 2 2 2 4" xfId="15761" xr:uid="{999ADE95-9902-45C6-BEA5-1F1F3E7B6E13}"/>
    <cellStyle name="Normal 4 4 2 4 2 2 3" xfId="19984" xr:uid="{7CCFDF87-E252-4496-B3F9-53918E6CAC5F}"/>
    <cellStyle name="Normal 4 4 2 4 2 2 4" xfId="28431" xr:uid="{D1C21C52-F635-407B-960E-93E594DAAEEB}"/>
    <cellStyle name="Normal 4 4 2 4 2 2 5" xfId="11543" xr:uid="{B79459CB-121D-408A-87E9-E9B99E7BB46B}"/>
    <cellStyle name="Normal 4 4 2 4 2 3" xfId="5174" xr:uid="{00000000-0005-0000-0000-000042150000}"/>
    <cellStyle name="Normal 4 4 2 4 2 3 2" xfId="22057" xr:uid="{48B8569A-44AA-4269-9C0F-C76728C9B8BB}"/>
    <cellStyle name="Normal 4 4 2 4 2 3 3" xfId="30503" xr:uid="{A2E73637-0906-4150-AF91-9125B2E488F4}"/>
    <cellStyle name="Normal 4 4 2 4 2 3 4" xfId="13616" xr:uid="{459EC993-A4C3-410E-956D-0991047E41E9}"/>
    <cellStyle name="Normal 4 4 2 4 2 4" xfId="17839" xr:uid="{BE885665-3289-446B-B040-F909FEED36D2}"/>
    <cellStyle name="Normal 4 4 2 4 2 5" xfId="26284" xr:uid="{A77FF214-14A3-4C8D-8C0A-33E5344DD043}"/>
    <cellStyle name="Normal 4 4 2 4 2 6" xfId="9398" xr:uid="{47424AE7-F4E4-4205-8F17-9FBE9FBAD56D}"/>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24615" xr:uid="{F748041A-9F3F-435A-8E69-087A10BCDCDA}"/>
    <cellStyle name="Normal 4 4 2 4 3 2 2 3" xfId="33061" xr:uid="{ED9E3DC4-2FA7-4A7E-9D71-3AE4D64C1601}"/>
    <cellStyle name="Normal 4 4 2 4 3 2 2 4" xfId="16174" xr:uid="{CA1EE96A-400B-4F60-BD03-D725D600936C}"/>
    <cellStyle name="Normal 4 4 2 4 3 2 3" xfId="20397" xr:uid="{D8BF8FFD-3816-4FBD-ABDA-1DA8F977F2FA}"/>
    <cellStyle name="Normal 4 4 2 4 3 2 4" xfId="28844" xr:uid="{DA09AF5A-C1C7-41BB-BAEE-6CE7FEA19A01}"/>
    <cellStyle name="Normal 4 4 2 4 3 2 5" xfId="11956" xr:uid="{80F57A25-7535-4708-AF96-007CB0745051}"/>
    <cellStyle name="Normal 4 4 2 4 3 3" xfId="5587" xr:uid="{00000000-0005-0000-0000-000046150000}"/>
    <cellStyle name="Normal 4 4 2 4 3 3 2" xfId="22470" xr:uid="{4C51E2FC-1F2E-4810-A9A3-4B0B47B4A3F3}"/>
    <cellStyle name="Normal 4 4 2 4 3 3 3" xfId="30916" xr:uid="{784BE51B-01CD-4A69-9C93-0D7597F1F644}"/>
    <cellStyle name="Normal 4 4 2 4 3 3 4" xfId="14029" xr:uid="{30EE2B01-8796-4AA5-8742-0224998F9CE6}"/>
    <cellStyle name="Normal 4 4 2 4 3 4" xfId="18252" xr:uid="{B514E329-31B4-4E3E-AF37-C030D8959FF5}"/>
    <cellStyle name="Normal 4 4 2 4 3 5" xfId="26697" xr:uid="{AAB558EE-973E-48EE-ABB5-C8054BB6FA98}"/>
    <cellStyle name="Normal 4 4 2 4 3 6" xfId="9811" xr:uid="{CC5A8B68-754C-4099-8B6C-0D4724D31ACF}"/>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25028" xr:uid="{98DA2335-CEAF-4BE7-BAFB-EAF91D50CB17}"/>
    <cellStyle name="Normal 4 4 2 4 4 2 2 3" xfId="33474" xr:uid="{C7734284-3ADF-4D1A-8D09-82BFADD45511}"/>
    <cellStyle name="Normal 4 4 2 4 4 2 2 4" xfId="16587" xr:uid="{320D078D-5643-4CF0-87C9-091E6546E5AD}"/>
    <cellStyle name="Normal 4 4 2 4 4 2 3" xfId="20810" xr:uid="{0BE92AFF-7DE1-4EF5-A9F2-8DAB67034FBF}"/>
    <cellStyle name="Normal 4 4 2 4 4 2 4" xfId="29257" xr:uid="{B4411984-0AA8-4DED-B011-33C7DD4B4124}"/>
    <cellStyle name="Normal 4 4 2 4 4 2 5" xfId="12369" xr:uid="{857216A8-A896-4D83-A607-DB2FC945B759}"/>
    <cellStyle name="Normal 4 4 2 4 4 3" xfId="6000" xr:uid="{00000000-0005-0000-0000-00004A150000}"/>
    <cellStyle name="Normal 4 4 2 4 4 3 2" xfId="22883" xr:uid="{7E67F8FE-1B34-47D6-9A7F-50490CE65CF9}"/>
    <cellStyle name="Normal 4 4 2 4 4 3 3" xfId="31329" xr:uid="{2AD230EF-2B1D-4F32-B883-6BF457EB3C5C}"/>
    <cellStyle name="Normal 4 4 2 4 4 3 4" xfId="14442" xr:uid="{5645F336-979C-42C3-A681-CD87F2B16EB5}"/>
    <cellStyle name="Normal 4 4 2 4 4 4" xfId="18665" xr:uid="{ABBE3BBD-90EF-41E0-A931-C919F77377EF}"/>
    <cellStyle name="Normal 4 4 2 4 4 5" xfId="27110" xr:uid="{8802343A-502B-400F-96FA-DA54B19DE67D}"/>
    <cellStyle name="Normal 4 4 2 4 4 6" xfId="10224" xr:uid="{6BAB153F-219C-457E-8D1D-5A4DE328C68B}"/>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25441" xr:uid="{58EE3363-C4B2-41BE-89C7-D3F41E3D6688}"/>
    <cellStyle name="Normal 4 4 2 4 5 2 2 3" xfId="33887" xr:uid="{04EC9CDE-EACE-4D22-950F-CFD037D1FD50}"/>
    <cellStyle name="Normal 4 4 2 4 5 2 2 4" xfId="17000" xr:uid="{76F50412-B62A-47D5-A2DB-19A7CB912B6F}"/>
    <cellStyle name="Normal 4 4 2 4 5 2 3" xfId="21223" xr:uid="{363D2E8A-1221-4781-AB1C-3AFA37AD5FD8}"/>
    <cellStyle name="Normal 4 4 2 4 5 2 4" xfId="29670" xr:uid="{E67E17B4-10CA-4C1A-9997-A0C09B8942E9}"/>
    <cellStyle name="Normal 4 4 2 4 5 2 5" xfId="12782" xr:uid="{AD261E3F-DCEB-4D65-9432-6694A90DDE86}"/>
    <cellStyle name="Normal 4 4 2 4 5 3" xfId="6413" xr:uid="{00000000-0005-0000-0000-00004E150000}"/>
    <cellStyle name="Normal 4 4 2 4 5 3 2" xfId="23296" xr:uid="{F46B0EFC-49EA-4A74-8760-15BCA28DC243}"/>
    <cellStyle name="Normal 4 4 2 4 5 3 3" xfId="31742" xr:uid="{7D7C2762-ECAD-4F8B-84D0-9CC53DFA8A49}"/>
    <cellStyle name="Normal 4 4 2 4 5 3 4" xfId="14855" xr:uid="{B64EA32A-78F4-4CDA-A697-602179D1E42C}"/>
    <cellStyle name="Normal 4 4 2 4 5 4" xfId="19078" xr:uid="{85AE0274-A82D-4B50-B397-CF9DEC2448EB}"/>
    <cellStyle name="Normal 4 4 2 4 5 5" xfId="27523" xr:uid="{0EA5F8BF-E50F-49D5-B649-6A949E9C4E95}"/>
    <cellStyle name="Normal 4 4 2 4 5 6" xfId="10637" xr:uid="{B1D0F527-439E-4474-A330-3C6278EAEC1E}"/>
    <cellStyle name="Normal 4 4 2 4 6" xfId="2542" xr:uid="{00000000-0005-0000-0000-00004F150000}"/>
    <cellStyle name="Normal 4 4 2 4 6 2" xfId="6826" xr:uid="{00000000-0005-0000-0000-000050150000}"/>
    <cellStyle name="Normal 4 4 2 4 6 2 2" xfId="23709" xr:uid="{43308FD7-B1DA-4A49-9E93-B174A77F8952}"/>
    <cellStyle name="Normal 4 4 2 4 6 2 3" xfId="32155" xr:uid="{3704AB51-3CEB-47BC-AA51-248479BAF07F}"/>
    <cellStyle name="Normal 4 4 2 4 6 2 4" xfId="15268" xr:uid="{F6548898-2EC6-44F1-997E-A404B7D9BF9A}"/>
    <cellStyle name="Normal 4 4 2 4 6 3" xfId="19491" xr:uid="{67174C2E-7C73-4BBC-8082-773FF642222E}"/>
    <cellStyle name="Normal 4 4 2 4 6 4" xfId="27936" xr:uid="{0B25504A-F10B-43B3-A331-7CA25606C3D9}"/>
    <cellStyle name="Normal 4 4 2 4 6 5" xfId="11050" xr:uid="{D9A5A3D3-1E5C-4BBC-9EEC-187933BD5C67}"/>
    <cellStyle name="Normal 4 4 2 4 7" xfId="4761" xr:uid="{00000000-0005-0000-0000-000051150000}"/>
    <cellStyle name="Normal 4 4 2 4 7 2" xfId="21644" xr:uid="{67327765-E9C5-46AB-96EC-B1298888BEAF}"/>
    <cellStyle name="Normal 4 4 2 4 7 3" xfId="30090" xr:uid="{6B159C3C-4A81-4AEA-BB7C-0A325D2E0B06}"/>
    <cellStyle name="Normal 4 4 2 4 7 4" xfId="13203" xr:uid="{72865CC3-AA38-4481-9BE9-D17FBF2A1871}"/>
    <cellStyle name="Normal 4 4 2 4 8" xfId="17426" xr:uid="{69F7E4E3-D3C2-4029-AD38-97019AEC319F}"/>
    <cellStyle name="Normal 4 4 2 4 9" xfId="25870" xr:uid="{3BA1F461-2AD4-428F-8373-639A6C844503}"/>
    <cellStyle name="Normal 4 4 2 5" xfId="854" xr:uid="{00000000-0005-0000-0000-000052150000}"/>
    <cellStyle name="Normal 4 4 2 5 2" xfId="3089" xr:uid="{00000000-0005-0000-0000-000053150000}"/>
    <cellStyle name="Normal 4 4 2 5 2 2" xfId="7312" xr:uid="{00000000-0005-0000-0000-000054150000}"/>
    <cellStyle name="Normal 4 4 2 5 2 2 2" xfId="24195" xr:uid="{32811F13-66DC-4FE1-A092-6DEF5FF64AF2}"/>
    <cellStyle name="Normal 4 4 2 5 2 2 3" xfId="32641" xr:uid="{9826AA75-1F3A-4612-ACD5-0E946FEDDEA5}"/>
    <cellStyle name="Normal 4 4 2 5 2 2 4" xfId="15754" xr:uid="{354EF2F6-3FCB-4D74-AE00-8BCEDB32950B}"/>
    <cellStyle name="Normal 4 4 2 5 2 3" xfId="19977" xr:uid="{B8E09E71-AD8C-44BF-991E-E35B5DD351D7}"/>
    <cellStyle name="Normal 4 4 2 5 2 4" xfId="28424" xr:uid="{98FA7877-8A3D-442E-983F-2817222D0D0C}"/>
    <cellStyle name="Normal 4 4 2 5 2 5" xfId="11536" xr:uid="{DA9C1BD4-EEEE-4718-AC3B-22E3DE5E0D35}"/>
    <cellStyle name="Normal 4 4 2 5 3" xfId="5167" xr:uid="{00000000-0005-0000-0000-000055150000}"/>
    <cellStyle name="Normal 4 4 2 5 3 2" xfId="22050" xr:uid="{F5B3FC72-68DB-4E53-97E9-AF0BEFEE8FCA}"/>
    <cellStyle name="Normal 4 4 2 5 3 3" xfId="30496" xr:uid="{E8A884D9-6EF8-4E57-8BE8-3B1058E5D81D}"/>
    <cellStyle name="Normal 4 4 2 5 3 4" xfId="13609" xr:uid="{F5795381-DC77-4A38-8A26-3E5E79EAEA9A}"/>
    <cellStyle name="Normal 4 4 2 5 4" xfId="17832" xr:uid="{30813B2D-D22B-4DD1-9E5C-85A3111BFFE7}"/>
    <cellStyle name="Normal 4 4 2 5 5" xfId="26277" xr:uid="{2ACD3012-8941-405F-BB86-10954BC3F54D}"/>
    <cellStyle name="Normal 4 4 2 5 6" xfId="9391" xr:uid="{BCA8D6E2-379A-4AD3-AE11-E48DAB47628E}"/>
    <cellStyle name="Normal 4 4 2 6" xfId="1272" xr:uid="{00000000-0005-0000-0000-000056150000}"/>
    <cellStyle name="Normal 4 4 2 6 2" xfId="3502" xr:uid="{00000000-0005-0000-0000-000057150000}"/>
    <cellStyle name="Normal 4 4 2 6 2 2" xfId="7725" xr:uid="{00000000-0005-0000-0000-000058150000}"/>
    <cellStyle name="Normal 4 4 2 6 2 2 2" xfId="24608" xr:uid="{98972762-00D3-4B54-8344-1B124B1F8BCB}"/>
    <cellStyle name="Normal 4 4 2 6 2 2 3" xfId="33054" xr:uid="{1C25346B-3795-4240-9A20-5AEC8D6A0801}"/>
    <cellStyle name="Normal 4 4 2 6 2 2 4" xfId="16167" xr:uid="{53CAD043-8281-4E72-AD81-128ABA778FC2}"/>
    <cellStyle name="Normal 4 4 2 6 2 3" xfId="20390" xr:uid="{C1875615-7C70-4DE1-A12A-F299C41585AD}"/>
    <cellStyle name="Normal 4 4 2 6 2 4" xfId="28837" xr:uid="{D17ACE53-13DF-45A7-9F7B-1F6F3D9BD8AF}"/>
    <cellStyle name="Normal 4 4 2 6 2 5" xfId="11949" xr:uid="{1ABCDA15-A95E-419C-894D-5D6A95A8B079}"/>
    <cellStyle name="Normal 4 4 2 6 3" xfId="5580" xr:uid="{00000000-0005-0000-0000-000059150000}"/>
    <cellStyle name="Normal 4 4 2 6 3 2" xfId="22463" xr:uid="{760AF29F-907B-4A93-8E36-B78F675F8600}"/>
    <cellStyle name="Normal 4 4 2 6 3 3" xfId="30909" xr:uid="{B848013F-C980-4835-89B6-96FE73E7D7EB}"/>
    <cellStyle name="Normal 4 4 2 6 3 4" xfId="14022" xr:uid="{F5DEFDF6-2325-4E00-9BE2-1C97B4CCE1FD}"/>
    <cellStyle name="Normal 4 4 2 6 4" xfId="18245" xr:uid="{BE2BC7DE-5EE7-474C-ACEA-526211FBCAAA}"/>
    <cellStyle name="Normal 4 4 2 6 5" xfId="26690" xr:uid="{83E40908-BDE0-4577-AAC4-D89F5B5BCEF5}"/>
    <cellStyle name="Normal 4 4 2 6 6" xfId="9804" xr:uid="{B26F7415-ADBB-4ED4-A9F9-CF4228E80CA3}"/>
    <cellStyle name="Normal 4 4 2 7" xfId="1685" xr:uid="{00000000-0005-0000-0000-00005A150000}"/>
    <cellStyle name="Normal 4 4 2 7 2" xfId="3915" xr:uid="{00000000-0005-0000-0000-00005B150000}"/>
    <cellStyle name="Normal 4 4 2 7 2 2" xfId="8138" xr:uid="{00000000-0005-0000-0000-00005C150000}"/>
    <cellStyle name="Normal 4 4 2 7 2 2 2" xfId="25021" xr:uid="{083A2D8C-3E9F-401A-AD34-AD7C5559A49D}"/>
    <cellStyle name="Normal 4 4 2 7 2 2 3" xfId="33467" xr:uid="{502390E9-1DA9-479D-90CE-0832DA682895}"/>
    <cellStyle name="Normal 4 4 2 7 2 2 4" xfId="16580" xr:uid="{EBD1F02D-C3A1-4C06-A6FA-F5DF9FBF713A}"/>
    <cellStyle name="Normal 4 4 2 7 2 3" xfId="20803" xr:uid="{209D6D3A-F9F7-4B14-9FD2-CE85029CAC59}"/>
    <cellStyle name="Normal 4 4 2 7 2 4" xfId="29250" xr:uid="{29A771E7-F6E0-4898-805A-A893A5B8F686}"/>
    <cellStyle name="Normal 4 4 2 7 2 5" xfId="12362" xr:uid="{19BFD81A-8CBA-4516-B8A5-54C1ABA19D5C}"/>
    <cellStyle name="Normal 4 4 2 7 3" xfId="5993" xr:uid="{00000000-0005-0000-0000-00005D150000}"/>
    <cellStyle name="Normal 4 4 2 7 3 2" xfId="22876" xr:uid="{0099E76D-38B5-4518-B148-3B5F5AB4C396}"/>
    <cellStyle name="Normal 4 4 2 7 3 3" xfId="31322" xr:uid="{CFD3498F-8E17-423A-A9D1-C27C8601E8E2}"/>
    <cellStyle name="Normal 4 4 2 7 3 4" xfId="14435" xr:uid="{56D07C8B-8123-4BE4-A128-5E17698C647E}"/>
    <cellStyle name="Normal 4 4 2 7 4" xfId="18658" xr:uid="{5D293335-B16F-476C-A4B4-56D6F57CA01A}"/>
    <cellStyle name="Normal 4 4 2 7 5" xfId="27103" xr:uid="{C94040A9-5D3C-4BB7-96E7-D71D7BBC70D7}"/>
    <cellStyle name="Normal 4 4 2 7 6" xfId="10217" xr:uid="{CAF8734E-D41F-46EC-A508-50E826BDF707}"/>
    <cellStyle name="Normal 4 4 2 8" xfId="2099" xr:uid="{00000000-0005-0000-0000-00005E150000}"/>
    <cellStyle name="Normal 4 4 2 8 2" xfId="4328" xr:uid="{00000000-0005-0000-0000-00005F150000}"/>
    <cellStyle name="Normal 4 4 2 8 2 2" xfId="8551" xr:uid="{00000000-0005-0000-0000-000060150000}"/>
    <cellStyle name="Normal 4 4 2 8 2 2 2" xfId="25434" xr:uid="{CAE1717B-61A4-4F6A-95FD-1C607CF5B3B8}"/>
    <cellStyle name="Normal 4 4 2 8 2 2 3" xfId="33880" xr:uid="{9DE5FEE8-BAC6-491A-AAD3-579374A75C4A}"/>
    <cellStyle name="Normal 4 4 2 8 2 2 4" xfId="16993" xr:uid="{D596718A-FAC1-4179-94D7-6893B9F1834E}"/>
    <cellStyle name="Normal 4 4 2 8 2 3" xfId="21216" xr:uid="{D5AFB0B3-7D11-465D-A143-19B0386C002D}"/>
    <cellStyle name="Normal 4 4 2 8 2 4" xfId="29663" xr:uid="{B0C846AC-04E6-41BC-BB56-511E57D17834}"/>
    <cellStyle name="Normal 4 4 2 8 2 5" xfId="12775" xr:uid="{98C6AA07-C235-4DD3-ACE0-5EF601C8DC85}"/>
    <cellStyle name="Normal 4 4 2 8 3" xfId="6406" xr:uid="{00000000-0005-0000-0000-000061150000}"/>
    <cellStyle name="Normal 4 4 2 8 3 2" xfId="23289" xr:uid="{1B73C0E7-6FF3-46D0-9C54-BAE47DD6519D}"/>
    <cellStyle name="Normal 4 4 2 8 3 3" xfId="31735" xr:uid="{3B105E36-72C9-4E11-87CE-8EC7E927D855}"/>
    <cellStyle name="Normal 4 4 2 8 3 4" xfId="14848" xr:uid="{2B7E2F1E-056C-455B-8E7E-E21C358A81AA}"/>
    <cellStyle name="Normal 4 4 2 8 4" xfId="19071" xr:uid="{46D5E856-441A-4033-8FD6-AE060D6AD1D3}"/>
    <cellStyle name="Normal 4 4 2 8 5" xfId="27516" xr:uid="{BE1B91B8-BFC6-40E9-B43E-9F563E53D16D}"/>
    <cellStyle name="Normal 4 4 2 8 6" xfId="10630" xr:uid="{F167FAAA-D14C-4FF3-B6ED-5A190678B90C}"/>
    <cellStyle name="Normal 4 4 2 9" xfId="2535" xr:uid="{00000000-0005-0000-0000-000062150000}"/>
    <cellStyle name="Normal 4 4 2 9 2" xfId="6819" xr:uid="{00000000-0005-0000-0000-000063150000}"/>
    <cellStyle name="Normal 4 4 2 9 2 2" xfId="23702" xr:uid="{5A8FCC25-B177-4D2A-AB98-D2675AEE6843}"/>
    <cellStyle name="Normal 4 4 2 9 2 3" xfId="32148" xr:uid="{CF585A8F-16E7-45D7-B48D-BF2DE556BB94}"/>
    <cellStyle name="Normal 4 4 2 9 2 4" xfId="15261" xr:uid="{31CD4FAE-C194-4934-B792-78364747E31B}"/>
    <cellStyle name="Normal 4 4 2 9 3" xfId="19484" xr:uid="{0DDF8A8D-E855-45F1-8BF5-4D5C96265EF0}"/>
    <cellStyle name="Normal 4 4 2 9 4" xfId="27929" xr:uid="{CE3D3CC7-7E19-4DE4-9881-7DCAFA6C016A}"/>
    <cellStyle name="Normal 4 4 2 9 5" xfId="11043" xr:uid="{FBD96A88-847D-4C8C-80E1-40DD1CCCA123}"/>
    <cellStyle name="Normal 4 4 3" xfId="387" xr:uid="{00000000-0005-0000-0000-000064150000}"/>
    <cellStyle name="Normal 4 4 3 10" xfId="17427" xr:uid="{EE01F6BF-2EAC-45CA-836C-D6ED29CBE57E}"/>
    <cellStyle name="Normal 4 4 3 11" xfId="25871" xr:uid="{9AE225D3-5224-4DA7-8287-B87BF940351A}"/>
    <cellStyle name="Normal 4 4 3 12" xfId="8986" xr:uid="{B1BC9222-57AF-4F4C-AD38-9C21316B8928}"/>
    <cellStyle name="Normal 4 4 3 2" xfId="388" xr:uid="{00000000-0005-0000-0000-000065150000}"/>
    <cellStyle name="Normal 4 4 3 2 10" xfId="25872" xr:uid="{84B29C8C-A128-4426-8E77-2B44D7F62736}"/>
    <cellStyle name="Normal 4 4 3 2 11" xfId="8987" xr:uid="{0542B9F0-33CD-4A75-99D4-BF20C5300829}"/>
    <cellStyle name="Normal 4 4 3 2 2" xfId="389" xr:uid="{00000000-0005-0000-0000-000066150000}"/>
    <cellStyle name="Normal 4 4 3 2 2 10" xfId="8988" xr:uid="{017E763D-2D8D-4120-8932-56CE1FC2B4E7}"/>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24205" xr:uid="{B9BAF0B9-CB27-4669-91A7-84E6B97AE16A}"/>
    <cellStyle name="Normal 4 4 3 2 2 2 2 2 3" xfId="32651" xr:uid="{D4BB7695-4E4B-4804-819F-17EE17C1606A}"/>
    <cellStyle name="Normal 4 4 3 2 2 2 2 2 4" xfId="15764" xr:uid="{1EEA4EDF-A092-4855-8E10-C6ACA728CEA8}"/>
    <cellStyle name="Normal 4 4 3 2 2 2 2 3" xfId="19987" xr:uid="{7BB4554B-154B-467B-A8E5-795BB956E4B3}"/>
    <cellStyle name="Normal 4 4 3 2 2 2 2 4" xfId="28434" xr:uid="{A88CD885-6CE5-4A25-AF36-8C7F7D588C23}"/>
    <cellStyle name="Normal 4 4 3 2 2 2 2 5" xfId="11546" xr:uid="{DEBB692E-16AE-425D-8A44-023550916C9B}"/>
    <cellStyle name="Normal 4 4 3 2 2 2 3" xfId="5177" xr:uid="{00000000-0005-0000-0000-00006A150000}"/>
    <cellStyle name="Normal 4 4 3 2 2 2 3 2" xfId="22060" xr:uid="{C0D5B4F9-55C2-4627-9971-5FD1DEDF50DB}"/>
    <cellStyle name="Normal 4 4 3 2 2 2 3 3" xfId="30506" xr:uid="{8B5373FE-6F11-427F-A7EE-732DA69FF9FE}"/>
    <cellStyle name="Normal 4 4 3 2 2 2 3 4" xfId="13619" xr:uid="{78EE3FA5-5639-4531-9B9E-57DCAEBF5C4E}"/>
    <cellStyle name="Normal 4 4 3 2 2 2 4" xfId="17842" xr:uid="{7ACD7A63-16D6-46C7-A0AA-6A3119134FA1}"/>
    <cellStyle name="Normal 4 4 3 2 2 2 5" xfId="26287" xr:uid="{73FE42F6-8189-4143-BF81-78D33023BB3A}"/>
    <cellStyle name="Normal 4 4 3 2 2 2 6" xfId="9401" xr:uid="{CDAD7BD0-3A2A-4E50-9CC4-5B3D1DF543B8}"/>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24618" xr:uid="{62FC4672-81BA-49ED-B6EF-0D7FFF420095}"/>
    <cellStyle name="Normal 4 4 3 2 2 3 2 2 3" xfId="33064" xr:uid="{A1132A67-7B56-45C9-818A-4F73B1F13158}"/>
    <cellStyle name="Normal 4 4 3 2 2 3 2 2 4" xfId="16177" xr:uid="{E0887A35-5726-4B1E-9161-6E063D823954}"/>
    <cellStyle name="Normal 4 4 3 2 2 3 2 3" xfId="20400" xr:uid="{A663B80B-611A-488E-8819-D5B8463D324E}"/>
    <cellStyle name="Normal 4 4 3 2 2 3 2 4" xfId="28847" xr:uid="{F8A43477-8A5F-4DA3-8910-360D9898899C}"/>
    <cellStyle name="Normal 4 4 3 2 2 3 2 5" xfId="11959" xr:uid="{AD9FE335-5133-4182-9991-038557209D94}"/>
    <cellStyle name="Normal 4 4 3 2 2 3 3" xfId="5590" xr:uid="{00000000-0005-0000-0000-00006E150000}"/>
    <cellStyle name="Normal 4 4 3 2 2 3 3 2" xfId="22473" xr:uid="{CE52D6CF-5EEA-46C1-A3E8-D5C7CB7F452B}"/>
    <cellStyle name="Normal 4 4 3 2 2 3 3 3" xfId="30919" xr:uid="{3D6930E5-4A45-4FA5-AAE8-4B0F9F6095CA}"/>
    <cellStyle name="Normal 4 4 3 2 2 3 3 4" xfId="14032" xr:uid="{C346E0BD-DF94-4A22-95F9-B295C0B2918F}"/>
    <cellStyle name="Normal 4 4 3 2 2 3 4" xfId="18255" xr:uid="{BAF16017-5CF8-4163-9C1F-CC3491EDCDC7}"/>
    <cellStyle name="Normal 4 4 3 2 2 3 5" xfId="26700" xr:uid="{44ACA2A2-A4CF-433B-84F2-034F7A547510}"/>
    <cellStyle name="Normal 4 4 3 2 2 3 6" xfId="9814" xr:uid="{A8DDDFFF-C034-45E1-AAEF-35CE5B37E801}"/>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25031" xr:uid="{180F0CA3-C689-4B95-855B-8FB2D8E95D43}"/>
    <cellStyle name="Normal 4 4 3 2 2 4 2 2 3" xfId="33477" xr:uid="{0AB15264-CCE1-4C8B-9896-5043A9FE49B7}"/>
    <cellStyle name="Normal 4 4 3 2 2 4 2 2 4" xfId="16590" xr:uid="{F90A285E-6350-4A29-94B0-FDB9B0594675}"/>
    <cellStyle name="Normal 4 4 3 2 2 4 2 3" xfId="20813" xr:uid="{1898129D-379F-4720-AB02-8890DF7B23CA}"/>
    <cellStyle name="Normal 4 4 3 2 2 4 2 4" xfId="29260" xr:uid="{CC5BB77A-7238-486B-B922-BCBF61DF968B}"/>
    <cellStyle name="Normal 4 4 3 2 2 4 2 5" xfId="12372" xr:uid="{F63ED054-B9B6-42DD-93C7-C138E6BB727E}"/>
    <cellStyle name="Normal 4 4 3 2 2 4 3" xfId="6003" xr:uid="{00000000-0005-0000-0000-000072150000}"/>
    <cellStyle name="Normal 4 4 3 2 2 4 3 2" xfId="22886" xr:uid="{CB1BD258-6C9A-4276-B8D1-D6269680CA2F}"/>
    <cellStyle name="Normal 4 4 3 2 2 4 3 3" xfId="31332" xr:uid="{A17A2CA3-6E1C-4EF2-B924-9776A877B5FB}"/>
    <cellStyle name="Normal 4 4 3 2 2 4 3 4" xfId="14445" xr:uid="{EA185807-966E-4461-89A6-426D257085C0}"/>
    <cellStyle name="Normal 4 4 3 2 2 4 4" xfId="18668" xr:uid="{F8B94A6B-AC69-4314-87A1-BD930B335893}"/>
    <cellStyle name="Normal 4 4 3 2 2 4 5" xfId="27113" xr:uid="{157565CC-98FB-4E3E-AED9-F9D9F6985EE5}"/>
    <cellStyle name="Normal 4 4 3 2 2 4 6" xfId="10227" xr:uid="{FBF8424A-58B6-4442-BDE4-12CC874F8A0A}"/>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25444" xr:uid="{FCEF7074-A4B8-4D3F-8A2F-EC292CF38CB0}"/>
    <cellStyle name="Normal 4 4 3 2 2 5 2 2 3" xfId="33890" xr:uid="{7915ED60-DCB7-42AF-83D0-8133E745070E}"/>
    <cellStyle name="Normal 4 4 3 2 2 5 2 2 4" xfId="17003" xr:uid="{D19F2E0F-3582-4E09-93DE-05E2D6AFF631}"/>
    <cellStyle name="Normal 4 4 3 2 2 5 2 3" xfId="21226" xr:uid="{83D4B5A3-638F-493D-9017-8B1158F31DFA}"/>
    <cellStyle name="Normal 4 4 3 2 2 5 2 4" xfId="29673" xr:uid="{5F7CEFEE-D2E1-4EFF-8451-3E30DFA30021}"/>
    <cellStyle name="Normal 4 4 3 2 2 5 2 5" xfId="12785" xr:uid="{441C306A-7F52-4EAC-8A89-2E4104789793}"/>
    <cellStyle name="Normal 4 4 3 2 2 5 3" xfId="6416" xr:uid="{00000000-0005-0000-0000-000076150000}"/>
    <cellStyle name="Normal 4 4 3 2 2 5 3 2" xfId="23299" xr:uid="{45D62382-187C-46DC-A000-E31929268FC2}"/>
    <cellStyle name="Normal 4 4 3 2 2 5 3 3" xfId="31745" xr:uid="{10DD6104-44FE-41D6-859F-3AD4CA597D26}"/>
    <cellStyle name="Normal 4 4 3 2 2 5 3 4" xfId="14858" xr:uid="{2A4EC569-3D40-4B71-9DFB-88DC71405D17}"/>
    <cellStyle name="Normal 4 4 3 2 2 5 4" xfId="19081" xr:uid="{68CC7EBF-BC45-4CC4-B8A6-520CE88734F0}"/>
    <cellStyle name="Normal 4 4 3 2 2 5 5" xfId="27526" xr:uid="{D8FE0680-221E-4F5E-A1D6-81B16997EF16}"/>
    <cellStyle name="Normal 4 4 3 2 2 5 6" xfId="10640" xr:uid="{6C47E297-D0E3-4082-B990-DF9EDAF5C6B9}"/>
    <cellStyle name="Normal 4 4 3 2 2 6" xfId="2545" xr:uid="{00000000-0005-0000-0000-000077150000}"/>
    <cellStyle name="Normal 4 4 3 2 2 6 2" xfId="6829" xr:uid="{00000000-0005-0000-0000-000078150000}"/>
    <cellStyle name="Normal 4 4 3 2 2 6 2 2" xfId="23712" xr:uid="{CB6DB39D-B63A-4CE2-AADF-ED7E5D05C19F}"/>
    <cellStyle name="Normal 4 4 3 2 2 6 2 3" xfId="32158" xr:uid="{BE3A0243-EADD-4BAD-8D13-2C684E43148A}"/>
    <cellStyle name="Normal 4 4 3 2 2 6 2 4" xfId="15271" xr:uid="{875F8624-E6DE-4556-A0D4-E49D6BAADB8D}"/>
    <cellStyle name="Normal 4 4 3 2 2 6 3" xfId="19494" xr:uid="{C119B7D6-EF02-4E25-9828-A6AA7726892A}"/>
    <cellStyle name="Normal 4 4 3 2 2 6 4" xfId="27939" xr:uid="{D88411AE-B951-4B61-ABB2-E991A87A7294}"/>
    <cellStyle name="Normal 4 4 3 2 2 6 5" xfId="11053" xr:uid="{696E215A-64C3-4A3D-8E4F-E492C49E5A13}"/>
    <cellStyle name="Normal 4 4 3 2 2 7" xfId="4764" xr:uid="{00000000-0005-0000-0000-000079150000}"/>
    <cellStyle name="Normal 4 4 3 2 2 7 2" xfId="21647" xr:uid="{AD379802-1C2C-4BAF-B959-6514A0FF6D35}"/>
    <cellStyle name="Normal 4 4 3 2 2 7 3" xfId="30093" xr:uid="{7FBFC26F-167D-45B5-9446-90349E15751B}"/>
    <cellStyle name="Normal 4 4 3 2 2 7 4" xfId="13206" xr:uid="{3CB0C09E-F4B3-4948-A99E-8CF98A7B9316}"/>
    <cellStyle name="Normal 4 4 3 2 2 8" xfId="17429" xr:uid="{A5BB5986-B925-4C69-8FCF-4CFA65FFD454}"/>
    <cellStyle name="Normal 4 4 3 2 2 9" xfId="25873" xr:uid="{7A868A1F-F1DD-4B01-B8EB-970AC3EB879B}"/>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24204" xr:uid="{4957AC25-43BF-427B-BE9C-DB157B96697D}"/>
    <cellStyle name="Normal 4 4 3 2 3 2 2 3" xfId="32650" xr:uid="{B8E9BAB4-5375-4D1C-9730-CCB866873F8C}"/>
    <cellStyle name="Normal 4 4 3 2 3 2 2 4" xfId="15763" xr:uid="{C530A9B5-23B6-41C5-8281-CAA3C8E01FF4}"/>
    <cellStyle name="Normal 4 4 3 2 3 2 3" xfId="19986" xr:uid="{0C35470F-D295-4C6F-8DC0-5A6670B5E880}"/>
    <cellStyle name="Normal 4 4 3 2 3 2 4" xfId="28433" xr:uid="{8D0C861C-45D4-4FBE-9DBD-B00958F11C2A}"/>
    <cellStyle name="Normal 4 4 3 2 3 2 5" xfId="11545" xr:uid="{32AC6D2D-C677-4AA0-AD52-9A1AFA51B1DA}"/>
    <cellStyle name="Normal 4 4 3 2 3 3" xfId="5176" xr:uid="{00000000-0005-0000-0000-00007D150000}"/>
    <cellStyle name="Normal 4 4 3 2 3 3 2" xfId="22059" xr:uid="{5D8FE9A5-2025-40EA-B1BF-F1CF9EDED07D}"/>
    <cellStyle name="Normal 4 4 3 2 3 3 3" xfId="30505" xr:uid="{83AE57C5-806F-413B-9E35-DA83B1FCDBA1}"/>
    <cellStyle name="Normal 4 4 3 2 3 3 4" xfId="13618" xr:uid="{0124470C-0F78-4E2A-8D2F-A58515478858}"/>
    <cellStyle name="Normal 4 4 3 2 3 4" xfId="17841" xr:uid="{4D3AAB1A-8FFA-4767-9494-A17959003B19}"/>
    <cellStyle name="Normal 4 4 3 2 3 5" xfId="26286" xr:uid="{08CACC8F-6C0C-4A62-856B-36C934062560}"/>
    <cellStyle name="Normal 4 4 3 2 3 6" xfId="9400" xr:uid="{5C72DC1C-1087-4743-92D3-AC6D2F8D1B56}"/>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24617" xr:uid="{AA2E4259-30C0-4A99-A420-BE7140FFB330}"/>
    <cellStyle name="Normal 4 4 3 2 4 2 2 3" xfId="33063" xr:uid="{785D86FC-CE93-4769-8D93-F65293F1C698}"/>
    <cellStyle name="Normal 4 4 3 2 4 2 2 4" xfId="16176" xr:uid="{8CA2FAB0-4C45-43F2-A39B-EE2F032C3A2B}"/>
    <cellStyle name="Normal 4 4 3 2 4 2 3" xfId="20399" xr:uid="{C7F342AC-883D-4F15-A217-05AFCDA540B0}"/>
    <cellStyle name="Normal 4 4 3 2 4 2 4" xfId="28846" xr:uid="{01909351-6196-4771-B78D-0AB3BB35EC3B}"/>
    <cellStyle name="Normal 4 4 3 2 4 2 5" xfId="11958" xr:uid="{0A0C12DA-490F-4530-8869-E29C76DE2FC0}"/>
    <cellStyle name="Normal 4 4 3 2 4 3" xfId="5589" xr:uid="{00000000-0005-0000-0000-000081150000}"/>
    <cellStyle name="Normal 4 4 3 2 4 3 2" xfId="22472" xr:uid="{F7DDB2FB-4EA5-44F7-9BAB-CE14E83A9506}"/>
    <cellStyle name="Normal 4 4 3 2 4 3 3" xfId="30918" xr:uid="{9F39176B-1772-423C-AAE9-067CBD8D91B0}"/>
    <cellStyle name="Normal 4 4 3 2 4 3 4" xfId="14031" xr:uid="{95BEAC1B-9250-40F9-978F-D1C62C23737D}"/>
    <cellStyle name="Normal 4 4 3 2 4 4" xfId="18254" xr:uid="{5AC6E50F-DF46-4272-8FF8-4440D9FECF95}"/>
    <cellStyle name="Normal 4 4 3 2 4 5" xfId="26699" xr:uid="{AAE46D9A-0378-46DA-87FE-4D872919656B}"/>
    <cellStyle name="Normal 4 4 3 2 4 6" xfId="9813" xr:uid="{CCF45601-F834-4DEA-AD95-55D1BBB4BCF4}"/>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25030" xr:uid="{2862B432-5352-4B5B-90A2-22D87CD42898}"/>
    <cellStyle name="Normal 4 4 3 2 5 2 2 3" xfId="33476" xr:uid="{48B3D8A2-B7A9-4A56-955C-03B879D44F57}"/>
    <cellStyle name="Normal 4 4 3 2 5 2 2 4" xfId="16589" xr:uid="{17864585-1DBD-4997-A2F3-1046882AA48C}"/>
    <cellStyle name="Normal 4 4 3 2 5 2 3" xfId="20812" xr:uid="{5050780E-7CD8-4C70-BAD5-D55ECED14657}"/>
    <cellStyle name="Normal 4 4 3 2 5 2 4" xfId="29259" xr:uid="{1D1A6711-E487-4C5A-B272-48C58AC9582C}"/>
    <cellStyle name="Normal 4 4 3 2 5 2 5" xfId="12371" xr:uid="{E6248E90-71FC-48CA-A807-F703B3E85A31}"/>
    <cellStyle name="Normal 4 4 3 2 5 3" xfId="6002" xr:uid="{00000000-0005-0000-0000-000085150000}"/>
    <cellStyle name="Normal 4 4 3 2 5 3 2" xfId="22885" xr:uid="{A8B08CEE-871C-4D50-A590-406E04F2414A}"/>
    <cellStyle name="Normal 4 4 3 2 5 3 3" xfId="31331" xr:uid="{660862CE-397F-4144-BA2E-56BB73569D06}"/>
    <cellStyle name="Normal 4 4 3 2 5 3 4" xfId="14444" xr:uid="{7E8E561F-619E-4E78-BD65-BFD9D1239C10}"/>
    <cellStyle name="Normal 4 4 3 2 5 4" xfId="18667" xr:uid="{F63F588F-15CE-4A3B-9CB4-4B7FEF63CCD9}"/>
    <cellStyle name="Normal 4 4 3 2 5 5" xfId="27112" xr:uid="{2E1FDF99-7ADD-4C21-9A14-B64B927B7B6C}"/>
    <cellStyle name="Normal 4 4 3 2 5 6" xfId="10226" xr:uid="{408B5EA5-835E-4699-A799-BEA7893D7D80}"/>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25443" xr:uid="{1473442B-739B-4F65-A57F-2A700C40F060}"/>
    <cellStyle name="Normal 4 4 3 2 6 2 2 3" xfId="33889" xr:uid="{A27FE579-04C6-4E37-9D2D-8401748CE4FA}"/>
    <cellStyle name="Normal 4 4 3 2 6 2 2 4" xfId="17002" xr:uid="{AE8B6F69-9CA0-4CB7-9983-B87749793A5B}"/>
    <cellStyle name="Normal 4 4 3 2 6 2 3" xfId="21225" xr:uid="{6DF23AF9-73DF-4B79-A8DE-4A145D232B13}"/>
    <cellStyle name="Normal 4 4 3 2 6 2 4" xfId="29672" xr:uid="{383E9FAC-85CE-4BAE-ACD9-09B0BB53D5A9}"/>
    <cellStyle name="Normal 4 4 3 2 6 2 5" xfId="12784" xr:uid="{250B1FCE-DDAC-448C-AEB6-EB1566C5BCAE}"/>
    <cellStyle name="Normal 4 4 3 2 6 3" xfId="6415" xr:uid="{00000000-0005-0000-0000-000089150000}"/>
    <cellStyle name="Normal 4 4 3 2 6 3 2" xfId="23298" xr:uid="{BEB8C965-4A63-4064-8EB9-2EA0B85C2BB5}"/>
    <cellStyle name="Normal 4 4 3 2 6 3 3" xfId="31744" xr:uid="{95EE6AEE-4E4A-475C-99B7-A82FF1EF7518}"/>
    <cellStyle name="Normal 4 4 3 2 6 3 4" xfId="14857" xr:uid="{BFDCF2AE-AA7A-4A59-9B7E-8C9D90B0FB1C}"/>
    <cellStyle name="Normal 4 4 3 2 6 4" xfId="19080" xr:uid="{8D299A14-FC7C-4A2B-97A8-471D63CEF00B}"/>
    <cellStyle name="Normal 4 4 3 2 6 5" xfId="27525" xr:uid="{99FE5BF2-E476-4DD9-BEBC-79C05A2E9E04}"/>
    <cellStyle name="Normal 4 4 3 2 6 6" xfId="10639" xr:uid="{10302147-DE12-49F9-8E02-2677C668C85D}"/>
    <cellStyle name="Normal 4 4 3 2 7" xfId="2544" xr:uid="{00000000-0005-0000-0000-00008A150000}"/>
    <cellStyle name="Normal 4 4 3 2 7 2" xfId="6828" xr:uid="{00000000-0005-0000-0000-00008B150000}"/>
    <cellStyle name="Normal 4 4 3 2 7 2 2" xfId="23711" xr:uid="{37C51694-9623-4632-BFCB-9D087542C649}"/>
    <cellStyle name="Normal 4 4 3 2 7 2 3" xfId="32157" xr:uid="{BFFAC90A-C577-4FFF-8B85-4ED392E2B0E7}"/>
    <cellStyle name="Normal 4 4 3 2 7 2 4" xfId="15270" xr:uid="{EB8493FD-A704-4301-9BD0-C7EF8714E342}"/>
    <cellStyle name="Normal 4 4 3 2 7 3" xfId="19493" xr:uid="{6C8DF546-5C00-4402-A16B-D55172F59FB5}"/>
    <cellStyle name="Normal 4 4 3 2 7 4" xfId="27938" xr:uid="{23984548-C8B7-4917-9DF2-6D341EB9DF71}"/>
    <cellStyle name="Normal 4 4 3 2 7 5" xfId="11052" xr:uid="{9D15CB1F-EE18-4D14-9431-0C041D341F7E}"/>
    <cellStyle name="Normal 4 4 3 2 8" xfId="4763" xr:uid="{00000000-0005-0000-0000-00008C150000}"/>
    <cellStyle name="Normal 4 4 3 2 8 2" xfId="21646" xr:uid="{60129BE6-5C09-4B03-A3E3-089D0018C48F}"/>
    <cellStyle name="Normal 4 4 3 2 8 3" xfId="30092" xr:uid="{7931C186-9852-4485-A0A6-54B90E0BF810}"/>
    <cellStyle name="Normal 4 4 3 2 8 4" xfId="13205" xr:uid="{3E9FB8EC-D554-4239-94FE-809B355C9E74}"/>
    <cellStyle name="Normal 4 4 3 2 9" xfId="17428" xr:uid="{FA281A6D-A9B7-425E-A6E5-C318FFA440D7}"/>
    <cellStyle name="Normal 4 4 3 3" xfId="390" xr:uid="{00000000-0005-0000-0000-00008D150000}"/>
    <cellStyle name="Normal 4 4 3 3 10" xfId="8989" xr:uid="{9797B0AA-2BE3-4A57-8612-58AF5CA2516D}"/>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24206" xr:uid="{D78D9593-875A-4CC3-9D9D-48040DB596C9}"/>
    <cellStyle name="Normal 4 4 3 3 2 2 2 3" xfId="32652" xr:uid="{E96F0763-73B1-4B8E-BCC8-7F616FA75196}"/>
    <cellStyle name="Normal 4 4 3 3 2 2 2 4" xfId="15765" xr:uid="{A8102B35-8264-4F02-8A04-17DCC5DEE5A3}"/>
    <cellStyle name="Normal 4 4 3 3 2 2 3" xfId="19988" xr:uid="{B14D0A33-2867-4CE7-BBB9-05D3185FC173}"/>
    <cellStyle name="Normal 4 4 3 3 2 2 4" xfId="28435" xr:uid="{2AFDDD3E-4476-411D-BB99-7ECA19F40A2E}"/>
    <cellStyle name="Normal 4 4 3 3 2 2 5" xfId="11547" xr:uid="{041E9F3F-1640-4046-B8E8-A8A6042D1F50}"/>
    <cellStyle name="Normal 4 4 3 3 2 3" xfId="5178" xr:uid="{00000000-0005-0000-0000-000091150000}"/>
    <cellStyle name="Normal 4 4 3 3 2 3 2" xfId="22061" xr:uid="{18391119-B6F2-4763-BDF7-E6AD8F075EA4}"/>
    <cellStyle name="Normal 4 4 3 3 2 3 3" xfId="30507" xr:uid="{73554C29-FB68-45B7-BFF8-4645A0765E29}"/>
    <cellStyle name="Normal 4 4 3 3 2 3 4" xfId="13620" xr:uid="{796DE335-5457-4C8D-924E-6F88EDA55475}"/>
    <cellStyle name="Normal 4 4 3 3 2 4" xfId="17843" xr:uid="{8D24BA47-3919-4321-81B0-8CA12712F9E2}"/>
    <cellStyle name="Normal 4 4 3 3 2 5" xfId="26288" xr:uid="{95F79D09-2F4B-45E9-8B79-8B37FDE2D53B}"/>
    <cellStyle name="Normal 4 4 3 3 2 6" xfId="9402" xr:uid="{8F5EF82E-FF36-4E0C-BCBA-7B77A717B811}"/>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24619" xr:uid="{7C418DA4-E0BB-4242-8945-40FAF0BF833E}"/>
    <cellStyle name="Normal 4 4 3 3 3 2 2 3" xfId="33065" xr:uid="{78964B54-1224-496D-864B-CBB457D364E6}"/>
    <cellStyle name="Normal 4 4 3 3 3 2 2 4" xfId="16178" xr:uid="{E69C8A99-3C66-4A62-8745-CC4D80853CFA}"/>
    <cellStyle name="Normal 4 4 3 3 3 2 3" xfId="20401" xr:uid="{C3C9B606-106F-4A01-96F6-A63184F228DA}"/>
    <cellStyle name="Normal 4 4 3 3 3 2 4" xfId="28848" xr:uid="{9E1120CF-A954-42DA-A55C-F50257C1AF8A}"/>
    <cellStyle name="Normal 4 4 3 3 3 2 5" xfId="11960" xr:uid="{96C1B0D8-C554-4C2D-8839-6FF93EC0D810}"/>
    <cellStyle name="Normal 4 4 3 3 3 3" xfId="5591" xr:uid="{00000000-0005-0000-0000-000095150000}"/>
    <cellStyle name="Normal 4 4 3 3 3 3 2" xfId="22474" xr:uid="{084BE598-526E-42FE-A226-EB7EEA8729A4}"/>
    <cellStyle name="Normal 4 4 3 3 3 3 3" xfId="30920" xr:uid="{996D1104-3B61-4B00-86BB-4E771AB1D164}"/>
    <cellStyle name="Normal 4 4 3 3 3 3 4" xfId="14033" xr:uid="{5F091072-D233-4762-81B1-1C909CCC955C}"/>
    <cellStyle name="Normal 4 4 3 3 3 4" xfId="18256" xr:uid="{94C9F2E3-7643-4C04-92C5-F8B9DCDB1203}"/>
    <cellStyle name="Normal 4 4 3 3 3 5" xfId="26701" xr:uid="{0F2C369E-062D-4782-9069-3F274636BED6}"/>
    <cellStyle name="Normal 4 4 3 3 3 6" xfId="9815" xr:uid="{36FF773C-50A6-4045-B9CC-E81744EB39EA}"/>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25032" xr:uid="{DE4D10B9-0228-43B9-9540-2C21A340CFF9}"/>
    <cellStyle name="Normal 4 4 3 3 4 2 2 3" xfId="33478" xr:uid="{70072D4B-88FC-4FCB-B818-0AAE9593D947}"/>
    <cellStyle name="Normal 4 4 3 3 4 2 2 4" xfId="16591" xr:uid="{1EB72388-A0B4-45FE-9B03-FA94772FE131}"/>
    <cellStyle name="Normal 4 4 3 3 4 2 3" xfId="20814" xr:uid="{373D44AC-7770-433C-9C37-66397DE0F756}"/>
    <cellStyle name="Normal 4 4 3 3 4 2 4" xfId="29261" xr:uid="{AE957760-96C8-4118-AEC8-6B6650B4F42E}"/>
    <cellStyle name="Normal 4 4 3 3 4 2 5" xfId="12373" xr:uid="{34569BBD-259F-4FC6-8E13-A365A8320AB3}"/>
    <cellStyle name="Normal 4 4 3 3 4 3" xfId="6004" xr:uid="{00000000-0005-0000-0000-000099150000}"/>
    <cellStyle name="Normal 4 4 3 3 4 3 2" xfId="22887" xr:uid="{38E11775-7AF1-46A4-AF0D-BF0728DA4E93}"/>
    <cellStyle name="Normal 4 4 3 3 4 3 3" xfId="31333" xr:uid="{DFBAA519-7679-444C-9BFD-C64709FF3DEA}"/>
    <cellStyle name="Normal 4 4 3 3 4 3 4" xfId="14446" xr:uid="{BC7546E1-6BFA-4AD6-A058-03C5C70C3EAC}"/>
    <cellStyle name="Normal 4 4 3 3 4 4" xfId="18669" xr:uid="{ECD66EAD-881A-474E-939A-203B90C4F77D}"/>
    <cellStyle name="Normal 4 4 3 3 4 5" xfId="27114" xr:uid="{4AE6B018-9115-445B-BD17-0D395EC96F0A}"/>
    <cellStyle name="Normal 4 4 3 3 4 6" xfId="10228" xr:uid="{F58C0761-C7D3-4EC9-9A45-D3050F032EAA}"/>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25445" xr:uid="{94987592-EC9F-47E3-9032-D0F48BA65861}"/>
    <cellStyle name="Normal 4 4 3 3 5 2 2 3" xfId="33891" xr:uid="{76B5B33D-FEF9-4FC5-9334-E635E138E65F}"/>
    <cellStyle name="Normal 4 4 3 3 5 2 2 4" xfId="17004" xr:uid="{9AE35F23-5783-4771-967C-C162CE9C886E}"/>
    <cellStyle name="Normal 4 4 3 3 5 2 3" xfId="21227" xr:uid="{C7B32BF3-D1FF-40D4-B1F7-702E2A6B087E}"/>
    <cellStyle name="Normal 4 4 3 3 5 2 4" xfId="29674" xr:uid="{F8585400-7640-4237-A761-16EC2E504AE8}"/>
    <cellStyle name="Normal 4 4 3 3 5 2 5" xfId="12786" xr:uid="{80171406-FADB-4577-9B2A-69F545F28353}"/>
    <cellStyle name="Normal 4 4 3 3 5 3" xfId="6417" xr:uid="{00000000-0005-0000-0000-00009D150000}"/>
    <cellStyle name="Normal 4 4 3 3 5 3 2" xfId="23300" xr:uid="{C792BE8A-745B-4C9C-83E5-A45BFACE8D39}"/>
    <cellStyle name="Normal 4 4 3 3 5 3 3" xfId="31746" xr:uid="{1CCF54C5-3A67-40BA-8DCB-C241E6A09D92}"/>
    <cellStyle name="Normal 4 4 3 3 5 3 4" xfId="14859" xr:uid="{8310FCA7-6014-4E17-BC3A-16870C144C39}"/>
    <cellStyle name="Normal 4 4 3 3 5 4" xfId="19082" xr:uid="{AED3B773-9E9A-41B0-8709-D24B151FC6A1}"/>
    <cellStyle name="Normal 4 4 3 3 5 5" xfId="27527" xr:uid="{35FB96FD-A77F-42E8-B103-19496566590C}"/>
    <cellStyle name="Normal 4 4 3 3 5 6" xfId="10641" xr:uid="{17A3A7C0-6CE5-4702-A713-F0EE4712D6ED}"/>
    <cellStyle name="Normal 4 4 3 3 6" xfId="2546" xr:uid="{00000000-0005-0000-0000-00009E150000}"/>
    <cellStyle name="Normal 4 4 3 3 6 2" xfId="6830" xr:uid="{00000000-0005-0000-0000-00009F150000}"/>
    <cellStyle name="Normal 4 4 3 3 6 2 2" xfId="23713" xr:uid="{7F92A978-2C4D-4FD6-99C6-AA1AA5ACCFFA}"/>
    <cellStyle name="Normal 4 4 3 3 6 2 3" xfId="32159" xr:uid="{83EB6315-E629-42C9-AB81-EC5EFCBCAAF0}"/>
    <cellStyle name="Normal 4 4 3 3 6 2 4" xfId="15272" xr:uid="{7DA15152-F916-45DC-BE00-AEBD93F41024}"/>
    <cellStyle name="Normal 4 4 3 3 6 3" xfId="19495" xr:uid="{23BC2B99-C395-42CF-986F-602E31B3F6C1}"/>
    <cellStyle name="Normal 4 4 3 3 6 4" xfId="27940" xr:uid="{AE0FE123-FD0F-4FB4-B37B-97C65A573D0E}"/>
    <cellStyle name="Normal 4 4 3 3 6 5" xfId="11054" xr:uid="{CC9F17CA-FBAB-49ED-908D-14A37F3F95F8}"/>
    <cellStyle name="Normal 4 4 3 3 7" xfId="4765" xr:uid="{00000000-0005-0000-0000-0000A0150000}"/>
    <cellStyle name="Normal 4 4 3 3 7 2" xfId="21648" xr:uid="{D118ED92-EF83-485E-BF67-6A24C102DA54}"/>
    <cellStyle name="Normal 4 4 3 3 7 3" xfId="30094" xr:uid="{6E18124D-1B7B-474F-A5DD-01CFA398A8E7}"/>
    <cellStyle name="Normal 4 4 3 3 7 4" xfId="13207" xr:uid="{527E195E-A252-4E78-BEB0-ACF70F2A3F78}"/>
    <cellStyle name="Normal 4 4 3 3 8" xfId="17430" xr:uid="{8F4E031A-E65B-4522-A4E3-9D6B1C7C0BC0}"/>
    <cellStyle name="Normal 4 4 3 3 9" xfId="25874" xr:uid="{9AF64FE7-A6A5-46EE-AAD0-F73D84E7914D}"/>
    <cellStyle name="Normal 4 4 3 4" xfId="862" xr:uid="{00000000-0005-0000-0000-0000A1150000}"/>
    <cellStyle name="Normal 4 4 3 4 2" xfId="3097" xr:uid="{00000000-0005-0000-0000-0000A2150000}"/>
    <cellStyle name="Normal 4 4 3 4 2 2" xfId="7320" xr:uid="{00000000-0005-0000-0000-0000A3150000}"/>
    <cellStyle name="Normal 4 4 3 4 2 2 2" xfId="24203" xr:uid="{7A614827-4785-4042-BAD3-2465302DA655}"/>
    <cellStyle name="Normal 4 4 3 4 2 2 3" xfId="32649" xr:uid="{62B3201F-00AC-4FE5-953C-B7A76D3AAE66}"/>
    <cellStyle name="Normal 4 4 3 4 2 2 4" xfId="15762" xr:uid="{93C0101F-1A37-4E3B-835C-AB8B6344B4B2}"/>
    <cellStyle name="Normal 4 4 3 4 2 3" xfId="19985" xr:uid="{7F633DCE-231A-470F-BDD3-EB27FF94B410}"/>
    <cellStyle name="Normal 4 4 3 4 2 4" xfId="28432" xr:uid="{3786889D-C6AB-42BE-A057-8C3705066127}"/>
    <cellStyle name="Normal 4 4 3 4 2 5" xfId="11544" xr:uid="{7EE9769D-C334-4010-9833-E0EF73B20C13}"/>
    <cellStyle name="Normal 4 4 3 4 3" xfId="5175" xr:uid="{00000000-0005-0000-0000-0000A4150000}"/>
    <cellStyle name="Normal 4 4 3 4 3 2" xfId="22058" xr:uid="{C5556C05-6F1E-4C22-8661-310A7DFDECBE}"/>
    <cellStyle name="Normal 4 4 3 4 3 3" xfId="30504" xr:uid="{696EDD7D-4131-40B9-B878-0BA55BFB3434}"/>
    <cellStyle name="Normal 4 4 3 4 3 4" xfId="13617" xr:uid="{70B62AAA-923A-4E14-8F6B-EEDF134233CB}"/>
    <cellStyle name="Normal 4 4 3 4 4" xfId="17840" xr:uid="{2CA589BF-FE78-4BCA-91A5-718D0BC7E0D7}"/>
    <cellStyle name="Normal 4 4 3 4 5" xfId="26285" xr:uid="{042D4FCE-388E-4440-B536-84C8F9CF1233}"/>
    <cellStyle name="Normal 4 4 3 4 6" xfId="9399" xr:uid="{2D83136E-2417-4A42-BCDB-55DE48C64858}"/>
    <cellStyle name="Normal 4 4 3 5" xfId="1280" xr:uid="{00000000-0005-0000-0000-0000A5150000}"/>
    <cellStyle name="Normal 4 4 3 5 2" xfId="3510" xr:uid="{00000000-0005-0000-0000-0000A6150000}"/>
    <cellStyle name="Normal 4 4 3 5 2 2" xfId="7733" xr:uid="{00000000-0005-0000-0000-0000A7150000}"/>
    <cellStyle name="Normal 4 4 3 5 2 2 2" xfId="24616" xr:uid="{1F911060-74D5-49E2-9EBA-8B83EE6C5963}"/>
    <cellStyle name="Normal 4 4 3 5 2 2 3" xfId="33062" xr:uid="{B6DF1B70-9A61-4DF3-93B3-E69C021420BB}"/>
    <cellStyle name="Normal 4 4 3 5 2 2 4" xfId="16175" xr:uid="{1795532D-AC8F-41B7-9B94-59C51909194C}"/>
    <cellStyle name="Normal 4 4 3 5 2 3" xfId="20398" xr:uid="{1D71AD98-C84F-4456-86AA-91E6706F3983}"/>
    <cellStyle name="Normal 4 4 3 5 2 4" xfId="28845" xr:uid="{7899AAEE-4EBC-4867-AECC-BEB8D6B4FC2E}"/>
    <cellStyle name="Normal 4 4 3 5 2 5" xfId="11957" xr:uid="{FA6617EB-81F1-4897-861D-048685CF41C3}"/>
    <cellStyle name="Normal 4 4 3 5 3" xfId="5588" xr:uid="{00000000-0005-0000-0000-0000A8150000}"/>
    <cellStyle name="Normal 4 4 3 5 3 2" xfId="22471" xr:uid="{E5A73E7D-CF24-451E-AFBE-57961B13494A}"/>
    <cellStyle name="Normal 4 4 3 5 3 3" xfId="30917" xr:uid="{CF379E36-FFD3-40E9-AEA4-B00098D66DE6}"/>
    <cellStyle name="Normal 4 4 3 5 3 4" xfId="14030" xr:uid="{0F5298AA-AAFC-4CD1-81D4-FD75A71163DF}"/>
    <cellStyle name="Normal 4 4 3 5 4" xfId="18253" xr:uid="{B7161E25-DB14-411B-9746-57D00CC8E3F6}"/>
    <cellStyle name="Normal 4 4 3 5 5" xfId="26698" xr:uid="{478F9060-E938-4404-A52F-099621718ED8}"/>
    <cellStyle name="Normal 4 4 3 5 6" xfId="9812" xr:uid="{00A7797A-4812-4D8D-B7FD-C6A164B7E423}"/>
    <cellStyle name="Normal 4 4 3 6" xfId="1693" xr:uid="{00000000-0005-0000-0000-0000A9150000}"/>
    <cellStyle name="Normal 4 4 3 6 2" xfId="3923" xr:uid="{00000000-0005-0000-0000-0000AA150000}"/>
    <cellStyle name="Normal 4 4 3 6 2 2" xfId="8146" xr:uid="{00000000-0005-0000-0000-0000AB150000}"/>
    <cellStyle name="Normal 4 4 3 6 2 2 2" xfId="25029" xr:uid="{32FB7E6A-0501-493E-8D3D-367DAFA5963A}"/>
    <cellStyle name="Normal 4 4 3 6 2 2 3" xfId="33475" xr:uid="{AEECA60B-893B-4349-A5E0-76494112943C}"/>
    <cellStyle name="Normal 4 4 3 6 2 2 4" xfId="16588" xr:uid="{30A1E2B6-EEA5-41FD-ACEA-1EFAE5CEB595}"/>
    <cellStyle name="Normal 4 4 3 6 2 3" xfId="20811" xr:uid="{656ACEB5-3623-467C-8E57-77051D4061C2}"/>
    <cellStyle name="Normal 4 4 3 6 2 4" xfId="29258" xr:uid="{BBAF236F-7D60-4C89-AAC4-88B94B7351F6}"/>
    <cellStyle name="Normal 4 4 3 6 2 5" xfId="12370" xr:uid="{3F0BCA34-D754-4839-833F-1035ED370E26}"/>
    <cellStyle name="Normal 4 4 3 6 3" xfId="6001" xr:uid="{00000000-0005-0000-0000-0000AC150000}"/>
    <cellStyle name="Normal 4 4 3 6 3 2" xfId="22884" xr:uid="{388937F9-0378-49EE-8C92-E021EA7F1F74}"/>
    <cellStyle name="Normal 4 4 3 6 3 3" xfId="31330" xr:uid="{A44366B1-E383-4B5F-BCEE-9447DA085960}"/>
    <cellStyle name="Normal 4 4 3 6 3 4" xfId="14443" xr:uid="{0D95BEB1-3482-464E-9EF5-543BFEB64ECA}"/>
    <cellStyle name="Normal 4 4 3 6 4" xfId="18666" xr:uid="{E919C4CE-2120-433B-9CCD-5492ADE20F9C}"/>
    <cellStyle name="Normal 4 4 3 6 5" xfId="27111" xr:uid="{3754BA1D-1460-40AF-A7A7-4D073C1BA3ED}"/>
    <cellStyle name="Normal 4 4 3 6 6" xfId="10225" xr:uid="{50DF46BF-36B1-4C38-B957-7FB2DB06B083}"/>
    <cellStyle name="Normal 4 4 3 7" xfId="2107" xr:uid="{00000000-0005-0000-0000-0000AD150000}"/>
    <cellStyle name="Normal 4 4 3 7 2" xfId="4336" xr:uid="{00000000-0005-0000-0000-0000AE150000}"/>
    <cellStyle name="Normal 4 4 3 7 2 2" xfId="8559" xr:uid="{00000000-0005-0000-0000-0000AF150000}"/>
    <cellStyle name="Normal 4 4 3 7 2 2 2" xfId="25442" xr:uid="{2C48E748-CA0A-4706-88CA-7621A6810439}"/>
    <cellStyle name="Normal 4 4 3 7 2 2 3" xfId="33888" xr:uid="{895A1139-7F9D-400E-ADFD-BFE6F6E06B07}"/>
    <cellStyle name="Normal 4 4 3 7 2 2 4" xfId="17001" xr:uid="{27538F8C-D084-4AAF-B48A-C92E55A951FD}"/>
    <cellStyle name="Normal 4 4 3 7 2 3" xfId="21224" xr:uid="{E442E4AA-9AB6-43FA-85D5-6AB0E3B0915C}"/>
    <cellStyle name="Normal 4 4 3 7 2 4" xfId="29671" xr:uid="{2802589E-8886-4D6A-A372-A378A9B802F3}"/>
    <cellStyle name="Normal 4 4 3 7 2 5" xfId="12783" xr:uid="{DC8321A3-5C6C-472C-9913-515BCD202DDA}"/>
    <cellStyle name="Normal 4 4 3 7 3" xfId="6414" xr:uid="{00000000-0005-0000-0000-0000B0150000}"/>
    <cellStyle name="Normal 4 4 3 7 3 2" xfId="23297" xr:uid="{6CDADA64-665A-4370-8B13-2FD83346D618}"/>
    <cellStyle name="Normal 4 4 3 7 3 3" xfId="31743" xr:uid="{8D485CE1-6F52-4BE0-B195-0AB0213BE2C7}"/>
    <cellStyle name="Normal 4 4 3 7 3 4" xfId="14856" xr:uid="{F74B4996-4C73-4E64-A99A-5581E4A84F1B}"/>
    <cellStyle name="Normal 4 4 3 7 4" xfId="19079" xr:uid="{5931B3B4-A587-48F7-AA5B-883F234D4F94}"/>
    <cellStyle name="Normal 4 4 3 7 5" xfId="27524" xr:uid="{1A162E37-0BF8-4661-9EA5-A0E4E788A4D5}"/>
    <cellStyle name="Normal 4 4 3 7 6" xfId="10638" xr:uid="{B8674172-9F6D-4FBB-887E-47CADF28C72B}"/>
    <cellStyle name="Normal 4 4 3 8" xfId="2543" xr:uid="{00000000-0005-0000-0000-0000B1150000}"/>
    <cellStyle name="Normal 4 4 3 8 2" xfId="6827" xr:uid="{00000000-0005-0000-0000-0000B2150000}"/>
    <cellStyle name="Normal 4 4 3 8 2 2" xfId="23710" xr:uid="{95873DA2-80F9-4C40-9C8E-5887F9CCE5CB}"/>
    <cellStyle name="Normal 4 4 3 8 2 3" xfId="32156" xr:uid="{1CF22922-9B4D-48A1-8251-984A63C5619C}"/>
    <cellStyle name="Normal 4 4 3 8 2 4" xfId="15269" xr:uid="{4CF101A9-042B-476E-A48D-E108F1DA553F}"/>
    <cellStyle name="Normal 4 4 3 8 3" xfId="19492" xr:uid="{EF8F8EC2-7D7E-4B30-88D5-ACCB67FB3371}"/>
    <cellStyle name="Normal 4 4 3 8 4" xfId="27937" xr:uid="{4A267198-8036-4AF3-B5BA-FC0FA5BCA922}"/>
    <cellStyle name="Normal 4 4 3 8 5" xfId="11051" xr:uid="{11174314-E866-4E87-A1AE-48A8F06287DC}"/>
    <cellStyle name="Normal 4 4 3 9" xfId="4762" xr:uid="{00000000-0005-0000-0000-0000B3150000}"/>
    <cellStyle name="Normal 4 4 3 9 2" xfId="21645" xr:uid="{21616DA9-7DE7-42E2-AB7C-87B543EE9178}"/>
    <cellStyle name="Normal 4 4 3 9 3" xfId="30091" xr:uid="{CCDCC276-5AC6-4E27-B818-F6A8A99C9D43}"/>
    <cellStyle name="Normal 4 4 3 9 4" xfId="13204" xr:uid="{0E5A7FBC-16EB-4670-B62A-F1BEAA55657C}"/>
    <cellStyle name="Normal 4 4 4" xfId="391" xr:uid="{00000000-0005-0000-0000-0000B4150000}"/>
    <cellStyle name="Normal 4 4 4 10" xfId="25875" xr:uid="{DC57A72A-CE63-42C5-8B91-3AB3BDEBC6B4}"/>
    <cellStyle name="Normal 4 4 4 11" xfId="8990" xr:uid="{1C261FF2-8EB2-46F3-8EF0-CFDF7B17C607}"/>
    <cellStyle name="Normal 4 4 4 2" xfId="392" xr:uid="{00000000-0005-0000-0000-0000B5150000}"/>
    <cellStyle name="Normal 4 4 4 2 10" xfId="8991" xr:uid="{106E0AC3-0CB0-4E3B-A3FB-C34ACD13067D}"/>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24208" xr:uid="{F74658FA-D211-40A1-A9A8-F53DD58AEFD4}"/>
    <cellStyle name="Normal 4 4 4 2 2 2 2 3" xfId="32654" xr:uid="{B7AA99E5-60B5-4551-A129-FBE0CBD3865B}"/>
    <cellStyle name="Normal 4 4 4 2 2 2 2 4" xfId="15767" xr:uid="{1E9ADC90-A0CC-48BE-A5CE-96F24A15DFA6}"/>
    <cellStyle name="Normal 4 4 4 2 2 2 3" xfId="19990" xr:uid="{35CD1124-022B-4DF5-8E86-242AC19F07B1}"/>
    <cellStyle name="Normal 4 4 4 2 2 2 4" xfId="28437" xr:uid="{1D584B03-3E82-45AF-BBBA-FD29D713A323}"/>
    <cellStyle name="Normal 4 4 4 2 2 2 5" xfId="11549" xr:uid="{EAFB4F08-461B-4832-973E-4C7D2C062915}"/>
    <cellStyle name="Normal 4 4 4 2 2 3" xfId="5180" xr:uid="{00000000-0005-0000-0000-0000B9150000}"/>
    <cellStyle name="Normal 4 4 4 2 2 3 2" xfId="22063" xr:uid="{9F58FDC8-B2FC-4DD4-879F-469F14344E6F}"/>
    <cellStyle name="Normal 4 4 4 2 2 3 3" xfId="30509" xr:uid="{246C674B-98A0-4A3F-A77D-47D3C81DEDAA}"/>
    <cellStyle name="Normal 4 4 4 2 2 3 4" xfId="13622" xr:uid="{C29A924C-D77B-4089-B771-781C6373690C}"/>
    <cellStyle name="Normal 4 4 4 2 2 4" xfId="17845" xr:uid="{6C6EFCC2-9392-4755-83BD-382AAC8C7E18}"/>
    <cellStyle name="Normal 4 4 4 2 2 5" xfId="26290" xr:uid="{60F4A90D-86C5-427D-A5B6-F6162BD89B6A}"/>
    <cellStyle name="Normal 4 4 4 2 2 6" xfId="9404" xr:uid="{92685CE3-DA80-46FA-9092-0753CCF44DE6}"/>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24621" xr:uid="{BD2BC35E-9A86-45D8-9518-E44B84788050}"/>
    <cellStyle name="Normal 4 4 4 2 3 2 2 3" xfId="33067" xr:uid="{DEA6C698-7C95-4892-9AA7-6671B9F259DE}"/>
    <cellStyle name="Normal 4 4 4 2 3 2 2 4" xfId="16180" xr:uid="{C7CD7A16-6225-447E-B54C-DF5B1A121603}"/>
    <cellStyle name="Normal 4 4 4 2 3 2 3" xfId="20403" xr:uid="{3C09D02C-2A11-43EC-8FD0-DF96059B44F3}"/>
    <cellStyle name="Normal 4 4 4 2 3 2 4" xfId="28850" xr:uid="{242D95DE-1724-43DE-B9CF-F2DDDD3B4759}"/>
    <cellStyle name="Normal 4 4 4 2 3 2 5" xfId="11962" xr:uid="{962BD203-15FF-4EE1-B993-4E0E33A9C7AA}"/>
    <cellStyle name="Normal 4 4 4 2 3 3" xfId="5593" xr:uid="{00000000-0005-0000-0000-0000BD150000}"/>
    <cellStyle name="Normal 4 4 4 2 3 3 2" xfId="22476" xr:uid="{03F97F2A-E25A-49B5-A7C3-C15D03B4CFCD}"/>
    <cellStyle name="Normal 4 4 4 2 3 3 3" xfId="30922" xr:uid="{0BEC8276-A7CF-4E7A-B103-7C2833D6DD54}"/>
    <cellStyle name="Normal 4 4 4 2 3 3 4" xfId="14035" xr:uid="{7285A031-1491-42D5-9A82-D1C454825446}"/>
    <cellStyle name="Normal 4 4 4 2 3 4" xfId="18258" xr:uid="{6353AFF5-0830-46A6-BB73-3D52A7495BDF}"/>
    <cellStyle name="Normal 4 4 4 2 3 5" xfId="26703" xr:uid="{2A0E7929-67A8-4E4F-8C1C-048474EC0165}"/>
    <cellStyle name="Normal 4 4 4 2 3 6" xfId="9817" xr:uid="{E9357A56-0E82-4026-952E-C6F55866C408}"/>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25034" xr:uid="{11C49521-6D50-450B-BD02-001CC35BCE77}"/>
    <cellStyle name="Normal 4 4 4 2 4 2 2 3" xfId="33480" xr:uid="{0FAE4660-F174-4323-B318-0ED157492D09}"/>
    <cellStyle name="Normal 4 4 4 2 4 2 2 4" xfId="16593" xr:uid="{4ABA849D-10F7-4EF9-A11C-428DCB632AC4}"/>
    <cellStyle name="Normal 4 4 4 2 4 2 3" xfId="20816" xr:uid="{F4555764-8C9F-4877-ADC8-AC5D178F09BD}"/>
    <cellStyle name="Normal 4 4 4 2 4 2 4" xfId="29263" xr:uid="{55CD9701-78C9-4F6B-8AAC-9C9AAD9A97C0}"/>
    <cellStyle name="Normal 4 4 4 2 4 2 5" xfId="12375" xr:uid="{9AD75D51-2D44-4E6F-9F37-AD1DE5CEE54C}"/>
    <cellStyle name="Normal 4 4 4 2 4 3" xfId="6006" xr:uid="{00000000-0005-0000-0000-0000C1150000}"/>
    <cellStyle name="Normal 4 4 4 2 4 3 2" xfId="22889" xr:uid="{3A68A3C9-96FE-46BC-A485-9CD078801B5A}"/>
    <cellStyle name="Normal 4 4 4 2 4 3 3" xfId="31335" xr:uid="{CD8202C6-E9F6-4FD4-A1F3-7F6347B28DEE}"/>
    <cellStyle name="Normal 4 4 4 2 4 3 4" xfId="14448" xr:uid="{82106218-C304-4817-9BF7-C1DBEEDC7548}"/>
    <cellStyle name="Normal 4 4 4 2 4 4" xfId="18671" xr:uid="{DA5AFCEA-9A50-4897-831F-9CF69FDEE8A9}"/>
    <cellStyle name="Normal 4 4 4 2 4 5" xfId="27116" xr:uid="{7B3A4ED4-4011-43D7-97CC-A72327FEA853}"/>
    <cellStyle name="Normal 4 4 4 2 4 6" xfId="10230" xr:uid="{A486F718-0EE5-48D8-A48C-E8D54D5FE2DC}"/>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25447" xr:uid="{E908335D-BC38-448F-8267-28D71186EE99}"/>
    <cellStyle name="Normal 4 4 4 2 5 2 2 3" xfId="33893" xr:uid="{F0F1C620-062F-4368-B5AF-221A39DB94FA}"/>
    <cellStyle name="Normal 4 4 4 2 5 2 2 4" xfId="17006" xr:uid="{7B362C16-8336-42F1-9690-2F2434D847B1}"/>
    <cellStyle name="Normal 4 4 4 2 5 2 3" xfId="21229" xr:uid="{8E59EA25-0DE4-42DF-B5A4-D4BA3C506E3D}"/>
    <cellStyle name="Normal 4 4 4 2 5 2 4" xfId="29676" xr:uid="{629DE01D-1BAE-4AA3-A388-DA3C5272DBE2}"/>
    <cellStyle name="Normal 4 4 4 2 5 2 5" xfId="12788" xr:uid="{C5EF58A7-08A1-43B8-A6D3-17BC3B587EC4}"/>
    <cellStyle name="Normal 4 4 4 2 5 3" xfId="6419" xr:uid="{00000000-0005-0000-0000-0000C5150000}"/>
    <cellStyle name="Normal 4 4 4 2 5 3 2" xfId="23302" xr:uid="{053E694D-99DE-4484-B333-7339FD40148E}"/>
    <cellStyle name="Normal 4 4 4 2 5 3 3" xfId="31748" xr:uid="{4CDFBF6E-4122-497E-8FA8-3B31C971ECA6}"/>
    <cellStyle name="Normal 4 4 4 2 5 3 4" xfId="14861" xr:uid="{3EC31C77-0FD4-43C4-B649-01FE73A017B9}"/>
    <cellStyle name="Normal 4 4 4 2 5 4" xfId="19084" xr:uid="{4AF1031C-2370-4F03-81F7-77B34E3D3F92}"/>
    <cellStyle name="Normal 4 4 4 2 5 5" xfId="27529" xr:uid="{56A35005-5E6E-443F-B6D2-638DC94D84B2}"/>
    <cellStyle name="Normal 4 4 4 2 5 6" xfId="10643" xr:uid="{61E7997D-C2E9-47DA-8C81-8ABF993EAC45}"/>
    <cellStyle name="Normal 4 4 4 2 6" xfId="2548" xr:uid="{00000000-0005-0000-0000-0000C6150000}"/>
    <cellStyle name="Normal 4 4 4 2 6 2" xfId="6832" xr:uid="{00000000-0005-0000-0000-0000C7150000}"/>
    <cellStyle name="Normal 4 4 4 2 6 2 2" xfId="23715" xr:uid="{73A9EACF-F76B-448A-9DB6-93E6EBD927BF}"/>
    <cellStyle name="Normal 4 4 4 2 6 2 3" xfId="32161" xr:uid="{841C9E39-9E6B-47E2-A51B-5168CCCBA21C}"/>
    <cellStyle name="Normal 4 4 4 2 6 2 4" xfId="15274" xr:uid="{9952D3F9-AF87-4A15-8952-E85C7B7F6FF3}"/>
    <cellStyle name="Normal 4 4 4 2 6 3" xfId="19497" xr:uid="{31F38A37-B86E-40EA-AA3F-933F400EAD6F}"/>
    <cellStyle name="Normal 4 4 4 2 6 4" xfId="27942" xr:uid="{7B1821F3-7B78-48B0-8DFC-8891AF9598A3}"/>
    <cellStyle name="Normal 4 4 4 2 6 5" xfId="11056" xr:uid="{20CDDE70-3CB8-4C50-8827-6A5573AD718A}"/>
    <cellStyle name="Normal 4 4 4 2 7" xfId="4767" xr:uid="{00000000-0005-0000-0000-0000C8150000}"/>
    <cellStyle name="Normal 4 4 4 2 7 2" xfId="21650" xr:uid="{3ED8F7B7-A2E7-4431-B43C-82DBD0A39801}"/>
    <cellStyle name="Normal 4 4 4 2 7 3" xfId="30096" xr:uid="{880C5C83-B74B-4C9E-A8AE-621D5E49B943}"/>
    <cellStyle name="Normal 4 4 4 2 7 4" xfId="13209" xr:uid="{CEB15BCC-65B2-4C38-991C-864B9869559B}"/>
    <cellStyle name="Normal 4 4 4 2 8" xfId="17432" xr:uid="{CA495990-E53D-4439-85A8-78979F16CDCF}"/>
    <cellStyle name="Normal 4 4 4 2 9" xfId="25876" xr:uid="{8BB2860E-B720-4596-B2CB-37FEAD1B010D}"/>
    <cellStyle name="Normal 4 4 4 3" xfId="866" xr:uid="{00000000-0005-0000-0000-0000C9150000}"/>
    <cellStyle name="Normal 4 4 4 3 2" xfId="3101" xr:uid="{00000000-0005-0000-0000-0000CA150000}"/>
    <cellStyle name="Normal 4 4 4 3 2 2" xfId="7324" xr:uid="{00000000-0005-0000-0000-0000CB150000}"/>
    <cellStyle name="Normal 4 4 4 3 2 2 2" xfId="24207" xr:uid="{A2C09487-A0D2-4CBB-9A74-B78221130034}"/>
    <cellStyle name="Normal 4 4 4 3 2 2 3" xfId="32653" xr:uid="{A7A721A6-5FF8-4935-B917-F5B97B6BFF2F}"/>
    <cellStyle name="Normal 4 4 4 3 2 2 4" xfId="15766" xr:uid="{8B084F8D-DCD5-4FA9-A136-672FB827B02B}"/>
    <cellStyle name="Normal 4 4 4 3 2 3" xfId="19989" xr:uid="{2787AEB6-54E2-4FFF-9044-6E85D0F7D9F7}"/>
    <cellStyle name="Normal 4 4 4 3 2 4" xfId="28436" xr:uid="{9F62458E-3A16-4C12-924C-F961185B43AA}"/>
    <cellStyle name="Normal 4 4 4 3 2 5" xfId="11548" xr:uid="{655B1800-55C3-4D92-B02D-1F14E9EA4520}"/>
    <cellStyle name="Normal 4 4 4 3 3" xfId="5179" xr:uid="{00000000-0005-0000-0000-0000CC150000}"/>
    <cellStyle name="Normal 4 4 4 3 3 2" xfId="22062" xr:uid="{1102D205-4AF9-4004-92B7-F6060AB55AE4}"/>
    <cellStyle name="Normal 4 4 4 3 3 3" xfId="30508" xr:uid="{55D47474-B7A9-48B3-AAAB-3140A27A2946}"/>
    <cellStyle name="Normal 4 4 4 3 3 4" xfId="13621" xr:uid="{7DCB68D5-2CDF-493A-A53F-38F03F952D54}"/>
    <cellStyle name="Normal 4 4 4 3 4" xfId="17844" xr:uid="{3D62290D-21EA-44B1-B465-6BEB8EF01E53}"/>
    <cellStyle name="Normal 4 4 4 3 5" xfId="26289" xr:uid="{D360DCBF-4EBF-4E46-97A4-5890FA0859F7}"/>
    <cellStyle name="Normal 4 4 4 3 6" xfId="9403" xr:uid="{77A4F6CC-35E1-4CD7-83A4-C297CB39A217}"/>
    <cellStyle name="Normal 4 4 4 4" xfId="1284" xr:uid="{00000000-0005-0000-0000-0000CD150000}"/>
    <cellStyle name="Normal 4 4 4 4 2" xfId="3514" xr:uid="{00000000-0005-0000-0000-0000CE150000}"/>
    <cellStyle name="Normal 4 4 4 4 2 2" xfId="7737" xr:uid="{00000000-0005-0000-0000-0000CF150000}"/>
    <cellStyle name="Normal 4 4 4 4 2 2 2" xfId="24620" xr:uid="{9E8B8EDE-7037-4A40-83C6-AB0EB70019F3}"/>
    <cellStyle name="Normal 4 4 4 4 2 2 3" xfId="33066" xr:uid="{D12592F3-E646-47D1-8D9C-D912DA4EE897}"/>
    <cellStyle name="Normal 4 4 4 4 2 2 4" xfId="16179" xr:uid="{7C2B4BDB-F1EF-47CD-8820-6DD19F352A1D}"/>
    <cellStyle name="Normal 4 4 4 4 2 3" xfId="20402" xr:uid="{2E7BC69B-F9CD-4E4F-9D75-A4473A0CF7F8}"/>
    <cellStyle name="Normal 4 4 4 4 2 4" xfId="28849" xr:uid="{71A4ED36-6794-41DA-B807-7F64F02199E1}"/>
    <cellStyle name="Normal 4 4 4 4 2 5" xfId="11961" xr:uid="{A465B734-C53D-46ED-8634-DC1503C066B6}"/>
    <cellStyle name="Normal 4 4 4 4 3" xfId="5592" xr:uid="{00000000-0005-0000-0000-0000D0150000}"/>
    <cellStyle name="Normal 4 4 4 4 3 2" xfId="22475" xr:uid="{07C5D2FF-3C63-47F9-80A7-7FD0C2078AC6}"/>
    <cellStyle name="Normal 4 4 4 4 3 3" xfId="30921" xr:uid="{58574AF7-F0B7-4457-8FA4-511C6A277177}"/>
    <cellStyle name="Normal 4 4 4 4 3 4" xfId="14034" xr:uid="{8D8C40B2-E53F-4D66-A898-1F34EB8C6C37}"/>
    <cellStyle name="Normal 4 4 4 4 4" xfId="18257" xr:uid="{3E9EE475-6EFE-4302-A970-2AC59D540ED2}"/>
    <cellStyle name="Normal 4 4 4 4 5" xfId="26702" xr:uid="{5CAC292A-F43E-4B73-8A36-5A4E66379EC3}"/>
    <cellStyle name="Normal 4 4 4 4 6" xfId="9816" xr:uid="{FED2338C-E65B-43C9-B2EA-A82ED7165B49}"/>
    <cellStyle name="Normal 4 4 4 5" xfId="1697" xr:uid="{00000000-0005-0000-0000-0000D1150000}"/>
    <cellStyle name="Normal 4 4 4 5 2" xfId="3927" xr:uid="{00000000-0005-0000-0000-0000D2150000}"/>
    <cellStyle name="Normal 4 4 4 5 2 2" xfId="8150" xr:uid="{00000000-0005-0000-0000-0000D3150000}"/>
    <cellStyle name="Normal 4 4 4 5 2 2 2" xfId="25033" xr:uid="{4AD8B8E1-8AC0-43E5-B8CA-729D2C9E7E43}"/>
    <cellStyle name="Normal 4 4 4 5 2 2 3" xfId="33479" xr:uid="{A167FC77-F6CD-414E-8DC2-BF9DE3C20962}"/>
    <cellStyle name="Normal 4 4 4 5 2 2 4" xfId="16592" xr:uid="{E37CDD95-EC1A-42F7-90A8-55F57B07DA3E}"/>
    <cellStyle name="Normal 4 4 4 5 2 3" xfId="20815" xr:uid="{EE4D8223-6A75-43D0-BFD7-3ABD9C15F0C4}"/>
    <cellStyle name="Normal 4 4 4 5 2 4" xfId="29262" xr:uid="{37E007F7-2FC6-4F9C-85CB-AC6EE5E04E7C}"/>
    <cellStyle name="Normal 4 4 4 5 2 5" xfId="12374" xr:uid="{63570CC4-C49F-40B5-BCAD-245DD142859F}"/>
    <cellStyle name="Normal 4 4 4 5 3" xfId="6005" xr:uid="{00000000-0005-0000-0000-0000D4150000}"/>
    <cellStyle name="Normal 4 4 4 5 3 2" xfId="22888" xr:uid="{CD0298B0-C34D-4774-9EC1-C12F0EF57806}"/>
    <cellStyle name="Normal 4 4 4 5 3 3" xfId="31334" xr:uid="{FB7FF362-2FDC-4186-9C7D-5A07FE22C723}"/>
    <cellStyle name="Normal 4 4 4 5 3 4" xfId="14447" xr:uid="{3C55D62C-4164-4881-A67A-0F1E20CF0825}"/>
    <cellStyle name="Normal 4 4 4 5 4" xfId="18670" xr:uid="{1915B0FE-C3BC-4C77-84B3-F7D35E607DAB}"/>
    <cellStyle name="Normal 4 4 4 5 5" xfId="27115" xr:uid="{1442AEDD-EE0D-41E2-97C5-981E847003B2}"/>
    <cellStyle name="Normal 4 4 4 5 6" xfId="10229" xr:uid="{FD13F538-161B-4DBF-A365-EB293A5BBBDB}"/>
    <cellStyle name="Normal 4 4 4 6" xfId="2111" xr:uid="{00000000-0005-0000-0000-0000D5150000}"/>
    <cellStyle name="Normal 4 4 4 6 2" xfId="4340" xr:uid="{00000000-0005-0000-0000-0000D6150000}"/>
    <cellStyle name="Normal 4 4 4 6 2 2" xfId="8563" xr:uid="{00000000-0005-0000-0000-0000D7150000}"/>
    <cellStyle name="Normal 4 4 4 6 2 2 2" xfId="25446" xr:uid="{2B7B81E6-171A-4639-BDAB-63F4D36804C6}"/>
    <cellStyle name="Normal 4 4 4 6 2 2 3" xfId="33892" xr:uid="{FBD2D2D1-F343-4D7C-8231-74267ADF8735}"/>
    <cellStyle name="Normal 4 4 4 6 2 2 4" xfId="17005" xr:uid="{F670B89D-FA0F-4965-B5B2-17D534BCA145}"/>
    <cellStyle name="Normal 4 4 4 6 2 3" xfId="21228" xr:uid="{13E3A9F4-988D-4209-A148-522506680CA3}"/>
    <cellStyle name="Normal 4 4 4 6 2 4" xfId="29675" xr:uid="{17BAB64A-B368-4A00-A23E-ABDD617005C6}"/>
    <cellStyle name="Normal 4 4 4 6 2 5" xfId="12787" xr:uid="{FBAC8565-D8BC-438C-806A-D286AF23E6BF}"/>
    <cellStyle name="Normal 4 4 4 6 3" xfId="6418" xr:uid="{00000000-0005-0000-0000-0000D8150000}"/>
    <cellStyle name="Normal 4 4 4 6 3 2" xfId="23301" xr:uid="{0EE63B69-3A30-42B6-A852-EC0C20FC3BCC}"/>
    <cellStyle name="Normal 4 4 4 6 3 3" xfId="31747" xr:uid="{71EF2775-3368-4F83-82BD-2617DEA79737}"/>
    <cellStyle name="Normal 4 4 4 6 3 4" xfId="14860" xr:uid="{4385B7C8-C274-4EAB-86CF-0F8D66D9EA21}"/>
    <cellStyle name="Normal 4 4 4 6 4" xfId="19083" xr:uid="{55C2782C-5806-4D19-ADC0-6543DC65AE03}"/>
    <cellStyle name="Normal 4 4 4 6 5" xfId="27528" xr:uid="{1358A621-3817-45CB-9D4C-119ECFC4CA62}"/>
    <cellStyle name="Normal 4 4 4 6 6" xfId="10642" xr:uid="{8ABCBA74-4496-47D1-AC66-6F33ECE87442}"/>
    <cellStyle name="Normal 4 4 4 7" xfId="2547" xr:uid="{00000000-0005-0000-0000-0000D9150000}"/>
    <cellStyle name="Normal 4 4 4 7 2" xfId="6831" xr:uid="{00000000-0005-0000-0000-0000DA150000}"/>
    <cellStyle name="Normal 4 4 4 7 2 2" xfId="23714" xr:uid="{215318B3-2305-4675-86C7-E8F8A6EB5DFA}"/>
    <cellStyle name="Normal 4 4 4 7 2 3" xfId="32160" xr:uid="{855E9A79-F76B-4697-B389-FE5C65CABF67}"/>
    <cellStyle name="Normal 4 4 4 7 2 4" xfId="15273" xr:uid="{0EA86F8D-B96F-41A5-9597-5EA115BA4536}"/>
    <cellStyle name="Normal 4 4 4 7 3" xfId="19496" xr:uid="{37E4B73A-747D-4C17-87B0-D66D501B9B3C}"/>
    <cellStyle name="Normal 4 4 4 7 4" xfId="27941" xr:uid="{6FCD2201-C3D5-4325-B443-2BC28BC92779}"/>
    <cellStyle name="Normal 4 4 4 7 5" xfId="11055" xr:uid="{5885830C-C79F-4B95-AA52-3995A900A775}"/>
    <cellStyle name="Normal 4 4 4 8" xfId="4766" xr:uid="{00000000-0005-0000-0000-0000DB150000}"/>
    <cellStyle name="Normal 4 4 4 8 2" xfId="21649" xr:uid="{E0AEFFDF-0FE6-4C88-9002-777DFF2DA5CF}"/>
    <cellStyle name="Normal 4 4 4 8 3" xfId="30095" xr:uid="{F1B5B497-DA4D-41B9-9297-FF5A890D1BC5}"/>
    <cellStyle name="Normal 4 4 4 8 4" xfId="13208" xr:uid="{13327D4A-5A83-48C7-BCED-5E2C6F53BF91}"/>
    <cellStyle name="Normal 4 4 4 9" xfId="17431" xr:uid="{70A4E0C9-7DC8-46E6-9A05-2DB1A28F3137}"/>
    <cellStyle name="Normal 4 4 5" xfId="393" xr:uid="{00000000-0005-0000-0000-0000DC150000}"/>
    <cellStyle name="Normal 4 4 5 10" xfId="8992" xr:uid="{80D117E9-0C25-4EF8-B673-0EDEEC67B2A9}"/>
    <cellStyle name="Normal 4 4 5 2" xfId="868" xr:uid="{00000000-0005-0000-0000-0000DD150000}"/>
    <cellStyle name="Normal 4 4 5 2 2" xfId="3103" xr:uid="{00000000-0005-0000-0000-0000DE150000}"/>
    <cellStyle name="Normal 4 4 5 2 2 2" xfId="7326" xr:uid="{00000000-0005-0000-0000-0000DF150000}"/>
    <cellStyle name="Normal 4 4 5 2 2 2 2" xfId="24209" xr:uid="{6B979469-8796-4831-95A7-46206761A2FF}"/>
    <cellStyle name="Normal 4 4 5 2 2 2 3" xfId="32655" xr:uid="{A4F38F72-5FFB-43F1-8762-64B52CB1CD01}"/>
    <cellStyle name="Normal 4 4 5 2 2 2 4" xfId="15768" xr:uid="{1B6D37A7-1A1C-4A01-A79C-CC3E20743AB1}"/>
    <cellStyle name="Normal 4 4 5 2 2 3" xfId="19991" xr:uid="{764D303D-3649-4988-8C62-15AE9F7518D9}"/>
    <cellStyle name="Normal 4 4 5 2 2 4" xfId="28438" xr:uid="{EDD76C54-7375-4530-9C70-2329A5E07C9C}"/>
    <cellStyle name="Normal 4 4 5 2 2 5" xfId="11550" xr:uid="{12E0E750-9ADB-4E42-8B22-53C07FE003F4}"/>
    <cellStyle name="Normal 4 4 5 2 3" xfId="5181" xr:uid="{00000000-0005-0000-0000-0000E0150000}"/>
    <cellStyle name="Normal 4 4 5 2 3 2" xfId="22064" xr:uid="{1502F99E-6596-4F57-9FAD-F00F0328C775}"/>
    <cellStyle name="Normal 4 4 5 2 3 3" xfId="30510" xr:uid="{8A628E4D-177F-420C-AA59-BA2ADFCF94B3}"/>
    <cellStyle name="Normal 4 4 5 2 3 4" xfId="13623" xr:uid="{9DD05C9B-B0C5-4CA3-9E4E-FF5539EE029F}"/>
    <cellStyle name="Normal 4 4 5 2 4" xfId="17846" xr:uid="{626A18E1-E47F-4A76-B280-AAC025972D4E}"/>
    <cellStyle name="Normal 4 4 5 2 5" xfId="26291" xr:uid="{EF0BD222-1904-4C06-8AD4-D626F9838720}"/>
    <cellStyle name="Normal 4 4 5 2 6" xfId="9405" xr:uid="{E9D60656-6505-4ED7-A15F-7D099E5C7F71}"/>
    <cellStyle name="Normal 4 4 5 3" xfId="1286" xr:uid="{00000000-0005-0000-0000-0000E1150000}"/>
    <cellStyle name="Normal 4 4 5 3 2" xfId="3516" xr:uid="{00000000-0005-0000-0000-0000E2150000}"/>
    <cellStyle name="Normal 4 4 5 3 2 2" xfId="7739" xr:uid="{00000000-0005-0000-0000-0000E3150000}"/>
    <cellStyle name="Normal 4 4 5 3 2 2 2" xfId="24622" xr:uid="{A7D28EE4-4542-4D50-A039-82971299C407}"/>
    <cellStyle name="Normal 4 4 5 3 2 2 3" xfId="33068" xr:uid="{A71F1661-DDD1-4DA9-9314-9E8E6BEFBD61}"/>
    <cellStyle name="Normal 4 4 5 3 2 2 4" xfId="16181" xr:uid="{7CEE7C79-453D-4B20-B953-B41C7BC17378}"/>
    <cellStyle name="Normal 4 4 5 3 2 3" xfId="20404" xr:uid="{B7BB2FDD-0B64-4565-99DA-15933B1776B3}"/>
    <cellStyle name="Normal 4 4 5 3 2 4" xfId="28851" xr:uid="{F7F58D76-C67E-4944-979C-F6B83A6D69A1}"/>
    <cellStyle name="Normal 4 4 5 3 2 5" xfId="11963" xr:uid="{83D5FDC7-4A85-4D1A-A37B-D31B9EC2453F}"/>
    <cellStyle name="Normal 4 4 5 3 3" xfId="5594" xr:uid="{00000000-0005-0000-0000-0000E4150000}"/>
    <cellStyle name="Normal 4 4 5 3 3 2" xfId="22477" xr:uid="{7406641E-5AAD-4BAF-BDBB-EF75DE6950CD}"/>
    <cellStyle name="Normal 4 4 5 3 3 3" xfId="30923" xr:uid="{1EE56153-266A-4B4A-B7EC-BDCB3DFD1ABF}"/>
    <cellStyle name="Normal 4 4 5 3 3 4" xfId="14036" xr:uid="{6F9582EF-484E-41D6-85D7-3514B19A9106}"/>
    <cellStyle name="Normal 4 4 5 3 4" xfId="18259" xr:uid="{0CD00D55-10DB-4B97-9A97-BD47146287AB}"/>
    <cellStyle name="Normal 4 4 5 3 5" xfId="26704" xr:uid="{2EB0D0F2-C44E-4A52-8C9D-2F7AC4B7A849}"/>
    <cellStyle name="Normal 4 4 5 3 6" xfId="9818" xr:uid="{9BC0F1DE-B582-4EA8-A146-C977574AC732}"/>
    <cellStyle name="Normal 4 4 5 4" xfId="1699" xr:uid="{00000000-0005-0000-0000-0000E5150000}"/>
    <cellStyle name="Normal 4 4 5 4 2" xfId="3929" xr:uid="{00000000-0005-0000-0000-0000E6150000}"/>
    <cellStyle name="Normal 4 4 5 4 2 2" xfId="8152" xr:uid="{00000000-0005-0000-0000-0000E7150000}"/>
    <cellStyle name="Normal 4 4 5 4 2 2 2" xfId="25035" xr:uid="{3C366664-2EDF-4C38-AE19-D3D9CAB178F9}"/>
    <cellStyle name="Normal 4 4 5 4 2 2 3" xfId="33481" xr:uid="{4212BB26-A848-4F82-A5CC-37365020BA5E}"/>
    <cellStyle name="Normal 4 4 5 4 2 2 4" xfId="16594" xr:uid="{ACB0CB2F-A7C1-46D7-BBAF-153B90DFEAAF}"/>
    <cellStyle name="Normal 4 4 5 4 2 3" xfId="20817" xr:uid="{A6BF1BDC-39C4-4D72-A558-D4D9C039881A}"/>
    <cellStyle name="Normal 4 4 5 4 2 4" xfId="29264" xr:uid="{F1A3D4C7-7AA9-40C6-BFEA-315A65FB2244}"/>
    <cellStyle name="Normal 4 4 5 4 2 5" xfId="12376" xr:uid="{C48B336A-DAA1-42B8-ACA7-C71BCCAF5008}"/>
    <cellStyle name="Normal 4 4 5 4 3" xfId="6007" xr:uid="{00000000-0005-0000-0000-0000E8150000}"/>
    <cellStyle name="Normal 4 4 5 4 3 2" xfId="22890" xr:uid="{46454CA7-F4E4-4764-8926-1E15E62676EB}"/>
    <cellStyle name="Normal 4 4 5 4 3 3" xfId="31336" xr:uid="{34F2E06A-BFAE-402A-BCBE-EF1BFF007A17}"/>
    <cellStyle name="Normal 4 4 5 4 3 4" xfId="14449" xr:uid="{92DB7C2E-9EE5-456B-8ED4-D682600A2249}"/>
    <cellStyle name="Normal 4 4 5 4 4" xfId="18672" xr:uid="{4EE83A88-59DE-4F20-BEBF-56C0C7F6CB8C}"/>
    <cellStyle name="Normal 4 4 5 4 5" xfId="27117" xr:uid="{937A5CE1-7209-4AE7-9B6E-AE88E6C6B01F}"/>
    <cellStyle name="Normal 4 4 5 4 6" xfId="10231" xr:uid="{79FB9BC9-3BF7-46A7-9764-F7C77A4C548E}"/>
    <cellStyle name="Normal 4 4 5 5" xfId="2113" xr:uid="{00000000-0005-0000-0000-0000E9150000}"/>
    <cellStyle name="Normal 4 4 5 5 2" xfId="4342" xr:uid="{00000000-0005-0000-0000-0000EA150000}"/>
    <cellStyle name="Normal 4 4 5 5 2 2" xfId="8565" xr:uid="{00000000-0005-0000-0000-0000EB150000}"/>
    <cellStyle name="Normal 4 4 5 5 2 2 2" xfId="25448" xr:uid="{12D1BFDB-DDF9-4877-9119-644E08DDA4CF}"/>
    <cellStyle name="Normal 4 4 5 5 2 2 3" xfId="33894" xr:uid="{5DD91BBC-1C31-4170-9690-D3B83565C64D}"/>
    <cellStyle name="Normal 4 4 5 5 2 2 4" xfId="17007" xr:uid="{9E3BEFCD-EF36-45D4-9EBA-0EB0DCEF81D5}"/>
    <cellStyle name="Normal 4 4 5 5 2 3" xfId="21230" xr:uid="{C61E6EE8-7792-42E8-98C9-467FB204BA3B}"/>
    <cellStyle name="Normal 4 4 5 5 2 4" xfId="29677" xr:uid="{8882A2ED-AD53-4E3A-B627-DC31AF41F628}"/>
    <cellStyle name="Normal 4 4 5 5 2 5" xfId="12789" xr:uid="{2717D303-C561-4423-9C29-CB9800FDFD09}"/>
    <cellStyle name="Normal 4 4 5 5 3" xfId="6420" xr:uid="{00000000-0005-0000-0000-0000EC150000}"/>
    <cellStyle name="Normal 4 4 5 5 3 2" xfId="23303" xr:uid="{11D1D4A7-CB62-4BF6-89DC-89BB5C161151}"/>
    <cellStyle name="Normal 4 4 5 5 3 3" xfId="31749" xr:uid="{6FF7C76E-20F0-4B30-B72F-8554AC946E96}"/>
    <cellStyle name="Normal 4 4 5 5 3 4" xfId="14862" xr:uid="{48D90E20-09E0-4AC0-A7BE-06D739B8F587}"/>
    <cellStyle name="Normal 4 4 5 5 4" xfId="19085" xr:uid="{6E306EF7-15DF-465B-8583-2CA7A8450C63}"/>
    <cellStyle name="Normal 4 4 5 5 5" xfId="27530" xr:uid="{079B35AF-C528-4977-B0F9-40AF38C1AE8A}"/>
    <cellStyle name="Normal 4 4 5 5 6" xfId="10644" xr:uid="{1D0B94BE-9458-46C6-B502-56821EEA7181}"/>
    <cellStyle name="Normal 4 4 5 6" xfId="2549" xr:uid="{00000000-0005-0000-0000-0000ED150000}"/>
    <cellStyle name="Normal 4 4 5 6 2" xfId="6833" xr:uid="{00000000-0005-0000-0000-0000EE150000}"/>
    <cellStyle name="Normal 4 4 5 6 2 2" xfId="23716" xr:uid="{FB8C4818-9E94-4479-B32C-674CAC590FA2}"/>
    <cellStyle name="Normal 4 4 5 6 2 3" xfId="32162" xr:uid="{3948D352-6C0B-40CC-B234-8849F56EC736}"/>
    <cellStyle name="Normal 4 4 5 6 2 4" xfId="15275" xr:uid="{2D0AD962-AFEF-426C-BF71-7D17F6169918}"/>
    <cellStyle name="Normal 4 4 5 6 3" xfId="19498" xr:uid="{824046D3-81D1-4CD2-AB38-7AC28B4E98EC}"/>
    <cellStyle name="Normal 4 4 5 6 4" xfId="27943" xr:uid="{8C80A754-A0F5-4411-843D-22949232C151}"/>
    <cellStyle name="Normal 4 4 5 6 5" xfId="11057" xr:uid="{87219C6B-279E-4ED9-8354-A79D977E32B7}"/>
    <cellStyle name="Normal 4 4 5 7" xfId="4768" xr:uid="{00000000-0005-0000-0000-0000EF150000}"/>
    <cellStyle name="Normal 4 4 5 7 2" xfId="21651" xr:uid="{8023D62D-9736-4384-9FB1-EA763C01D83D}"/>
    <cellStyle name="Normal 4 4 5 7 3" xfId="30097" xr:uid="{9BBA777A-C733-4091-B36B-964640C29641}"/>
    <cellStyle name="Normal 4 4 5 7 4" xfId="13210" xr:uid="{039E3794-9C34-4E94-B460-DF8D4B729E30}"/>
    <cellStyle name="Normal 4 4 5 8" xfId="17433" xr:uid="{C60C0F24-818C-4759-B3B2-8D8EB18608B1}"/>
    <cellStyle name="Normal 4 4 5 9" xfId="25877" xr:uid="{FAAFA4A3-9F2E-4164-91C4-513A3EDC3472}"/>
    <cellStyle name="Normal 4 4 6" xfId="853" xr:uid="{00000000-0005-0000-0000-0000F0150000}"/>
    <cellStyle name="Normal 4 4 6 2" xfId="3088" xr:uid="{00000000-0005-0000-0000-0000F1150000}"/>
    <cellStyle name="Normal 4 4 6 2 2" xfId="7311" xr:uid="{00000000-0005-0000-0000-0000F2150000}"/>
    <cellStyle name="Normal 4 4 6 2 2 2" xfId="24194" xr:uid="{F03BE379-3C0C-4138-96D3-B230B76B6E6B}"/>
    <cellStyle name="Normal 4 4 6 2 2 3" xfId="32640" xr:uid="{443F5451-1F73-4765-9ED1-7A8A75C07E12}"/>
    <cellStyle name="Normal 4 4 6 2 2 4" xfId="15753" xr:uid="{E546F1F5-61AA-45F2-A523-19D00AB7807C}"/>
    <cellStyle name="Normal 4 4 6 2 3" xfId="19976" xr:uid="{AE7DD776-0F3D-4676-8CE4-35861E8B5228}"/>
    <cellStyle name="Normal 4 4 6 2 4" xfId="28423" xr:uid="{7EB89741-19C6-4E4C-9609-13B136F6E2C7}"/>
    <cellStyle name="Normal 4 4 6 2 5" xfId="11535" xr:uid="{59B50D30-5AA1-4F8E-8486-32F725980999}"/>
    <cellStyle name="Normal 4 4 6 3" xfId="5166" xr:uid="{00000000-0005-0000-0000-0000F3150000}"/>
    <cellStyle name="Normal 4 4 6 3 2" xfId="22049" xr:uid="{A7CB728B-A15C-489B-93B7-F880D87577E4}"/>
    <cellStyle name="Normal 4 4 6 3 3" xfId="30495" xr:uid="{EE435330-51E7-4B0B-8E91-FF42CB851398}"/>
    <cellStyle name="Normal 4 4 6 3 4" xfId="13608" xr:uid="{B66F3164-435B-4FB2-8D6B-389F2940A7DD}"/>
    <cellStyle name="Normal 4 4 6 4" xfId="17831" xr:uid="{3B144C31-E6BF-4A44-B3B3-D1C0DC6D0924}"/>
    <cellStyle name="Normal 4 4 6 5" xfId="26276" xr:uid="{64C66BE3-4919-4E25-840C-218E7AB17E60}"/>
    <cellStyle name="Normal 4 4 6 6" xfId="9390" xr:uid="{7801905B-5457-4CFF-A1EA-3F03FD36D3A1}"/>
    <cellStyle name="Normal 4 4 7" xfId="1271" xr:uid="{00000000-0005-0000-0000-0000F4150000}"/>
    <cellStyle name="Normal 4 4 7 2" xfId="3501" xr:uid="{00000000-0005-0000-0000-0000F5150000}"/>
    <cellStyle name="Normal 4 4 7 2 2" xfId="7724" xr:uid="{00000000-0005-0000-0000-0000F6150000}"/>
    <cellStyle name="Normal 4 4 7 2 2 2" xfId="24607" xr:uid="{31317F5B-7E4E-4F39-B16A-CB39C4AFA000}"/>
    <cellStyle name="Normal 4 4 7 2 2 3" xfId="33053" xr:uid="{8C3B6B68-E69F-4D86-8068-954BBD23DE05}"/>
    <cellStyle name="Normal 4 4 7 2 2 4" xfId="16166" xr:uid="{E72BC364-98A0-4F55-963A-6C1C20E8924E}"/>
    <cellStyle name="Normal 4 4 7 2 3" xfId="20389" xr:uid="{CAE7C4C7-A056-446D-8125-8A4A11A50C5B}"/>
    <cellStyle name="Normal 4 4 7 2 4" xfId="28836" xr:uid="{F31A05A6-216E-4DA7-B12C-2E4521BC1EA6}"/>
    <cellStyle name="Normal 4 4 7 2 5" xfId="11948" xr:uid="{E8E1676B-71B6-4462-96EF-CFEE9B6FB6A0}"/>
    <cellStyle name="Normal 4 4 7 3" xfId="5579" xr:uid="{00000000-0005-0000-0000-0000F7150000}"/>
    <cellStyle name="Normal 4 4 7 3 2" xfId="22462" xr:uid="{3E17088A-C407-4558-90CF-18D665F0BF1D}"/>
    <cellStyle name="Normal 4 4 7 3 3" xfId="30908" xr:uid="{8D617382-61D7-4801-9345-72B416D97B36}"/>
    <cellStyle name="Normal 4 4 7 3 4" xfId="14021" xr:uid="{A369C84C-2118-4AA8-AA08-CE47AD70FAA1}"/>
    <cellStyle name="Normal 4 4 7 4" xfId="18244" xr:uid="{9BFE5BCC-6AD3-4878-BE4B-F659D0E9DD59}"/>
    <cellStyle name="Normal 4 4 7 5" xfId="26689" xr:uid="{4F184C65-FC3F-451A-909E-8F2BCD23C937}"/>
    <cellStyle name="Normal 4 4 7 6" xfId="9803" xr:uid="{C134D367-1DCE-46D1-8E37-8805994ED793}"/>
    <cellStyle name="Normal 4 4 8" xfId="1684" xr:uid="{00000000-0005-0000-0000-0000F8150000}"/>
    <cellStyle name="Normal 4 4 8 2" xfId="3914" xr:uid="{00000000-0005-0000-0000-0000F9150000}"/>
    <cellStyle name="Normal 4 4 8 2 2" xfId="8137" xr:uid="{00000000-0005-0000-0000-0000FA150000}"/>
    <cellStyle name="Normal 4 4 8 2 2 2" xfId="25020" xr:uid="{279653A8-F804-4570-A19D-295E275996BB}"/>
    <cellStyle name="Normal 4 4 8 2 2 3" xfId="33466" xr:uid="{B0CC17A7-D155-4501-8410-88D11A301E53}"/>
    <cellStyle name="Normal 4 4 8 2 2 4" xfId="16579" xr:uid="{EFCA960E-7F0C-4C80-9498-BDA37F0EF030}"/>
    <cellStyle name="Normal 4 4 8 2 3" xfId="20802" xr:uid="{9071680A-8F02-4897-9576-13E4F8D5007D}"/>
    <cellStyle name="Normal 4 4 8 2 4" xfId="29249" xr:uid="{A2FC48F1-E146-4464-8FEC-F5EAA700B7FD}"/>
    <cellStyle name="Normal 4 4 8 2 5" xfId="12361" xr:uid="{012B51A6-BEE3-4B68-AC24-11927E46F031}"/>
    <cellStyle name="Normal 4 4 8 3" xfId="5992" xr:uid="{00000000-0005-0000-0000-0000FB150000}"/>
    <cellStyle name="Normal 4 4 8 3 2" xfId="22875" xr:uid="{56AC073E-D7C2-483A-9709-86439A0D0CC3}"/>
    <cellStyle name="Normal 4 4 8 3 3" xfId="31321" xr:uid="{19055039-13BD-488D-807F-69C6B4C61B46}"/>
    <cellStyle name="Normal 4 4 8 3 4" xfId="14434" xr:uid="{8763D0CC-F0F1-4C2F-8059-14723A6C717E}"/>
    <cellStyle name="Normal 4 4 8 4" xfId="18657" xr:uid="{DCB1E4F8-147C-42C8-B734-EA297B1542A2}"/>
    <cellStyle name="Normal 4 4 8 5" xfId="27102" xr:uid="{891DA573-C3A0-478A-80C2-359375017EE8}"/>
    <cellStyle name="Normal 4 4 8 6" xfId="10216" xr:uid="{A3DC440B-1E22-440E-88E2-90E826B2BC2F}"/>
    <cellStyle name="Normal 4 4 9" xfId="2098" xr:uid="{00000000-0005-0000-0000-0000FC150000}"/>
    <cellStyle name="Normal 4 4 9 2" xfId="4327" xr:uid="{00000000-0005-0000-0000-0000FD150000}"/>
    <cellStyle name="Normal 4 4 9 2 2" xfId="8550" xr:uid="{00000000-0005-0000-0000-0000FE150000}"/>
    <cellStyle name="Normal 4 4 9 2 2 2" xfId="25433" xr:uid="{5B56683A-F1E3-4D87-ADC6-891C908EFE94}"/>
    <cellStyle name="Normal 4 4 9 2 2 3" xfId="33879" xr:uid="{70580CD6-B4A0-4620-8C6D-A9287B0B2625}"/>
    <cellStyle name="Normal 4 4 9 2 2 4" xfId="16992" xr:uid="{5B23C30B-C2AF-46AA-A621-17FEDD43B468}"/>
    <cellStyle name="Normal 4 4 9 2 3" xfId="21215" xr:uid="{922DA97A-BFB6-4893-A07E-82BE1941301A}"/>
    <cellStyle name="Normal 4 4 9 2 4" xfId="29662" xr:uid="{8BCF656A-E59D-4A56-94C5-2A980648C3A4}"/>
    <cellStyle name="Normal 4 4 9 2 5" xfId="12774" xr:uid="{13325A53-C18B-4A67-B387-7433276ED86A}"/>
    <cellStyle name="Normal 4 4 9 3" xfId="6405" xr:uid="{00000000-0005-0000-0000-0000FF150000}"/>
    <cellStyle name="Normal 4 4 9 3 2" xfId="23288" xr:uid="{DBFC8138-83D0-4447-83DB-F4881DCBEBCA}"/>
    <cellStyle name="Normal 4 4 9 3 3" xfId="31734" xr:uid="{C850DEE6-49B2-40ED-8C51-F63FBE42FEB5}"/>
    <cellStyle name="Normal 4 4 9 3 4" xfId="14847" xr:uid="{4F856586-16A7-476A-90C1-499127E26551}"/>
    <cellStyle name="Normal 4 4 9 4" xfId="19070" xr:uid="{D17477B7-4CC5-445D-B0D1-B2453903AA31}"/>
    <cellStyle name="Normal 4 4 9 5" xfId="27515" xr:uid="{2A21F0E3-9CC9-461F-8461-457B636F06A6}"/>
    <cellStyle name="Normal 4 4 9 6" xfId="10629" xr:uid="{D65DE64A-14D6-4991-9ED5-13E206936D4A}"/>
    <cellStyle name="Normal 4 5" xfId="394" xr:uid="{00000000-0005-0000-0000-000000160000}"/>
    <cellStyle name="Normal 4 5 2" xfId="34167" xr:uid="{B94F9980-5EA9-41A9-BDF6-9C6E98A8E3CE}"/>
    <cellStyle name="Normal 4 6" xfId="395" xr:uid="{00000000-0005-0000-0000-000001160000}"/>
    <cellStyle name="Normal 4 6 10" xfId="4769" xr:uid="{00000000-0005-0000-0000-000002160000}"/>
    <cellStyle name="Normal 4 6 10 2" xfId="21652" xr:uid="{40451C65-84E7-4179-8606-73158B6DF442}"/>
    <cellStyle name="Normal 4 6 10 3" xfId="30098" xr:uid="{870731DA-2472-428F-8B38-4E37961558C0}"/>
    <cellStyle name="Normal 4 6 10 4" xfId="13211" xr:uid="{38B29547-B4CA-435F-AC7D-02D2A1D1F0B3}"/>
    <cellStyle name="Normal 4 6 11" xfId="17434" xr:uid="{06A4E23B-A673-4EAF-ADED-1AF5C956E3AF}"/>
    <cellStyle name="Normal 4 6 12" xfId="25878" xr:uid="{28E09729-48DF-4345-9FB1-878B048F92C4}"/>
    <cellStyle name="Normal 4 6 13" xfId="8993" xr:uid="{D8E5D610-7742-4B3C-80B6-D24342BBDA9D}"/>
    <cellStyle name="Normal 4 6 2" xfId="396" xr:uid="{00000000-0005-0000-0000-000003160000}"/>
    <cellStyle name="Normal 4 6 2 10" xfId="17435" xr:uid="{C08C33F0-3B45-4544-BC49-EAA4F9C5DB65}"/>
    <cellStyle name="Normal 4 6 2 11" xfId="25879" xr:uid="{61E24C92-F0C8-4D26-AF97-10CCF707DF03}"/>
    <cellStyle name="Normal 4 6 2 12" xfId="8994" xr:uid="{31ABDD6C-40AE-4074-A31D-94E964726284}"/>
    <cellStyle name="Normal 4 6 2 2" xfId="397" xr:uid="{00000000-0005-0000-0000-000004160000}"/>
    <cellStyle name="Normal 4 6 2 2 10" xfId="25880" xr:uid="{6EC5B264-BE0E-411C-81BE-28A1AA713649}"/>
    <cellStyle name="Normal 4 6 2 2 11" xfId="8995" xr:uid="{0A303DFC-61F6-4417-9299-39787760E943}"/>
    <cellStyle name="Normal 4 6 2 2 2" xfId="398" xr:uid="{00000000-0005-0000-0000-000005160000}"/>
    <cellStyle name="Normal 4 6 2 2 2 10" xfId="8996" xr:uid="{4DA660C2-7382-462D-8D8C-6937DB3B1078}"/>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24213" xr:uid="{FB8614C4-D7D8-4158-8134-D27EBCB020AE}"/>
    <cellStyle name="Normal 4 6 2 2 2 2 2 2 3" xfId="32659" xr:uid="{1B9097BB-6698-4845-B704-3FFDC3A5E726}"/>
    <cellStyle name="Normal 4 6 2 2 2 2 2 2 4" xfId="15772" xr:uid="{5E36C289-48D3-40C2-87D9-55745525FC53}"/>
    <cellStyle name="Normal 4 6 2 2 2 2 2 3" xfId="19995" xr:uid="{B28EF3A9-EE2F-4614-876D-2854B1205E44}"/>
    <cellStyle name="Normal 4 6 2 2 2 2 2 4" xfId="28442" xr:uid="{27CEF140-7488-424F-A63F-3A19C8ED2A71}"/>
    <cellStyle name="Normal 4 6 2 2 2 2 2 5" xfId="11554" xr:uid="{D194CFB8-0524-4601-913D-C6355DF79D56}"/>
    <cellStyle name="Normal 4 6 2 2 2 2 3" xfId="5185" xr:uid="{00000000-0005-0000-0000-000009160000}"/>
    <cellStyle name="Normal 4 6 2 2 2 2 3 2" xfId="22068" xr:uid="{B5149277-C60D-4EEC-A907-DB3296CDB27A}"/>
    <cellStyle name="Normal 4 6 2 2 2 2 3 3" xfId="30514" xr:uid="{035F2278-61AD-4217-9B39-4608FDB3EC46}"/>
    <cellStyle name="Normal 4 6 2 2 2 2 3 4" xfId="13627" xr:uid="{2C099722-59EA-4A6E-986C-30331E2A36F5}"/>
    <cellStyle name="Normal 4 6 2 2 2 2 4" xfId="17850" xr:uid="{847A150A-A86C-4326-86A3-DDDBFF044B19}"/>
    <cellStyle name="Normal 4 6 2 2 2 2 5" xfId="26295" xr:uid="{D3A18271-4332-404D-ACF5-A982C50F46C2}"/>
    <cellStyle name="Normal 4 6 2 2 2 2 6" xfId="9409" xr:uid="{BD0382E6-B9C1-4ED8-81D3-7588E8DAC7B6}"/>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24626" xr:uid="{EB8C5C13-FBF1-4668-8137-91F2527400AC}"/>
    <cellStyle name="Normal 4 6 2 2 2 3 2 2 3" xfId="33072" xr:uid="{5DF0B42B-A31F-464A-85B3-17B9A16031D6}"/>
    <cellStyle name="Normal 4 6 2 2 2 3 2 2 4" xfId="16185" xr:uid="{1F094454-B443-49A6-8300-5357BB08D7AC}"/>
    <cellStyle name="Normal 4 6 2 2 2 3 2 3" xfId="20408" xr:uid="{F0450A74-041C-4127-AD84-26D26C54C7A6}"/>
    <cellStyle name="Normal 4 6 2 2 2 3 2 4" xfId="28855" xr:uid="{78E3AA16-F623-4C38-A611-B2192FE646DB}"/>
    <cellStyle name="Normal 4 6 2 2 2 3 2 5" xfId="11967" xr:uid="{2635E1EA-A0EE-48A5-9F84-4808EDD1A934}"/>
    <cellStyle name="Normal 4 6 2 2 2 3 3" xfId="5598" xr:uid="{00000000-0005-0000-0000-00000D160000}"/>
    <cellStyle name="Normal 4 6 2 2 2 3 3 2" xfId="22481" xr:uid="{E2B0F892-A116-4911-BC2E-7CBA8B34AC7A}"/>
    <cellStyle name="Normal 4 6 2 2 2 3 3 3" xfId="30927" xr:uid="{92799931-DA4C-428A-B870-B200CE8DC710}"/>
    <cellStyle name="Normal 4 6 2 2 2 3 3 4" xfId="14040" xr:uid="{D5599976-385C-4410-BA9C-C4AD3AEA2D30}"/>
    <cellStyle name="Normal 4 6 2 2 2 3 4" xfId="18263" xr:uid="{A3A63AF8-B949-403B-A67B-547D632D32C9}"/>
    <cellStyle name="Normal 4 6 2 2 2 3 5" xfId="26708" xr:uid="{397CBFC9-057C-49F2-8DD2-B2891F1DD2E2}"/>
    <cellStyle name="Normal 4 6 2 2 2 3 6" xfId="9822" xr:uid="{1E3F343F-7E1C-475F-8D41-8604B126E074}"/>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25039" xr:uid="{1094B160-965D-41DA-A47B-4C36B3B462B1}"/>
    <cellStyle name="Normal 4 6 2 2 2 4 2 2 3" xfId="33485" xr:uid="{D0045AE9-6323-4EAC-9AAE-D4C989077F3A}"/>
    <cellStyle name="Normal 4 6 2 2 2 4 2 2 4" xfId="16598" xr:uid="{EC07AD5F-8EC8-4AAB-A830-4AEA9C57955D}"/>
    <cellStyle name="Normal 4 6 2 2 2 4 2 3" xfId="20821" xr:uid="{2153BAAE-5E52-45DA-B0E2-63A1A658EF09}"/>
    <cellStyle name="Normal 4 6 2 2 2 4 2 4" xfId="29268" xr:uid="{8F64A782-D5C0-452A-A22E-F09E5FE1F041}"/>
    <cellStyle name="Normal 4 6 2 2 2 4 2 5" xfId="12380" xr:uid="{627B9656-F693-483A-8A8E-3E6B63D7A668}"/>
    <cellStyle name="Normal 4 6 2 2 2 4 3" xfId="6011" xr:uid="{00000000-0005-0000-0000-000011160000}"/>
    <cellStyle name="Normal 4 6 2 2 2 4 3 2" xfId="22894" xr:uid="{0932D3BA-43DD-424B-9693-AAF68170D2EB}"/>
    <cellStyle name="Normal 4 6 2 2 2 4 3 3" xfId="31340" xr:uid="{A86FAFE0-5295-4B18-BEEF-8991401A06B0}"/>
    <cellStyle name="Normal 4 6 2 2 2 4 3 4" xfId="14453" xr:uid="{F3F70B3E-FA95-4BFD-A66F-F5EA5483B114}"/>
    <cellStyle name="Normal 4 6 2 2 2 4 4" xfId="18676" xr:uid="{2857CC9A-98E6-4D71-A0CF-715685FEC608}"/>
    <cellStyle name="Normal 4 6 2 2 2 4 5" xfId="27121" xr:uid="{10E4677F-B7B8-4B65-9A14-2D8E7C9C65FE}"/>
    <cellStyle name="Normal 4 6 2 2 2 4 6" xfId="10235" xr:uid="{CF56D468-54CF-4E75-8452-3E0EF7A9E88D}"/>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25452" xr:uid="{4204DC26-0BE5-4B10-9997-D67720A5F5D2}"/>
    <cellStyle name="Normal 4 6 2 2 2 5 2 2 3" xfId="33898" xr:uid="{9C17697F-525A-4650-AABB-82466AB02963}"/>
    <cellStyle name="Normal 4 6 2 2 2 5 2 2 4" xfId="17011" xr:uid="{9D13ECB3-25F8-4080-A111-6622EA4972F8}"/>
    <cellStyle name="Normal 4 6 2 2 2 5 2 3" xfId="21234" xr:uid="{A129E806-1A13-4879-BE65-B40543D78DEA}"/>
    <cellStyle name="Normal 4 6 2 2 2 5 2 4" xfId="29681" xr:uid="{DD683A11-08F6-466C-B70E-D51E20F676BD}"/>
    <cellStyle name="Normal 4 6 2 2 2 5 2 5" xfId="12793" xr:uid="{D3C86B85-28BF-43F0-B90E-E2F1E1FFE908}"/>
    <cellStyle name="Normal 4 6 2 2 2 5 3" xfId="6424" xr:uid="{00000000-0005-0000-0000-000015160000}"/>
    <cellStyle name="Normal 4 6 2 2 2 5 3 2" xfId="23307" xr:uid="{8BBD6493-1FF3-4D38-899E-0FDFA6F1A16A}"/>
    <cellStyle name="Normal 4 6 2 2 2 5 3 3" xfId="31753" xr:uid="{00AA0C61-A1EC-4450-8B95-179145BA1923}"/>
    <cellStyle name="Normal 4 6 2 2 2 5 3 4" xfId="14866" xr:uid="{470DE40D-36FF-43B8-947B-211C81544556}"/>
    <cellStyle name="Normal 4 6 2 2 2 5 4" xfId="19089" xr:uid="{81056FF0-F9B5-46E1-A909-078E3EF36720}"/>
    <cellStyle name="Normal 4 6 2 2 2 5 5" xfId="27534" xr:uid="{F709E4B6-3678-4441-9F74-7DBE8E1B4861}"/>
    <cellStyle name="Normal 4 6 2 2 2 5 6" xfId="10648" xr:uid="{DC60F6C6-D03F-476E-984D-200597ADB75F}"/>
    <cellStyle name="Normal 4 6 2 2 2 6" xfId="2553" xr:uid="{00000000-0005-0000-0000-000016160000}"/>
    <cellStyle name="Normal 4 6 2 2 2 6 2" xfId="6837" xr:uid="{00000000-0005-0000-0000-000017160000}"/>
    <cellStyle name="Normal 4 6 2 2 2 6 2 2" xfId="23720" xr:uid="{554F8AF6-490B-4EE6-BD49-95A0C2753D2E}"/>
    <cellStyle name="Normal 4 6 2 2 2 6 2 3" xfId="32166" xr:uid="{19FD6FF6-01F1-48EE-A3B5-5EEC2D86A5B0}"/>
    <cellStyle name="Normal 4 6 2 2 2 6 2 4" xfId="15279" xr:uid="{B3AF86C3-D096-42DA-8FF7-0FB51C90B521}"/>
    <cellStyle name="Normal 4 6 2 2 2 6 3" xfId="19502" xr:uid="{C7ED3722-48F1-49CD-AEC7-D8445DE63159}"/>
    <cellStyle name="Normal 4 6 2 2 2 6 4" xfId="27947" xr:uid="{AB227205-2CFD-404F-A89D-6C577C6ECD6C}"/>
    <cellStyle name="Normal 4 6 2 2 2 6 5" xfId="11061" xr:uid="{7B8399B7-E3C0-4FBA-B45A-7E24A0EB05A0}"/>
    <cellStyle name="Normal 4 6 2 2 2 7" xfId="4772" xr:uid="{00000000-0005-0000-0000-000018160000}"/>
    <cellStyle name="Normal 4 6 2 2 2 7 2" xfId="21655" xr:uid="{2DE7BD29-F785-4F75-8664-77B50D72854B}"/>
    <cellStyle name="Normal 4 6 2 2 2 7 3" xfId="30101" xr:uid="{B8E03D4D-A581-4C32-B2BF-933AE7F1AD60}"/>
    <cellStyle name="Normal 4 6 2 2 2 7 4" xfId="13214" xr:uid="{AE10772E-B604-4AA4-B4EF-21D9B95B43B4}"/>
    <cellStyle name="Normal 4 6 2 2 2 8" xfId="17437" xr:uid="{4123ED46-0826-4265-B021-E21927E8894D}"/>
    <cellStyle name="Normal 4 6 2 2 2 9" xfId="25881" xr:uid="{36285701-5A2E-4BFD-B2E1-661CCC46178A}"/>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24212" xr:uid="{1EB50EB2-2495-4A05-8A9F-7E1E9C89C185}"/>
    <cellStyle name="Normal 4 6 2 2 3 2 2 3" xfId="32658" xr:uid="{1412A074-B984-4D61-9C31-A7FB1D7F649A}"/>
    <cellStyle name="Normal 4 6 2 2 3 2 2 4" xfId="15771" xr:uid="{07B2F3BC-BC67-42A1-87D0-E1F15C93DB62}"/>
    <cellStyle name="Normal 4 6 2 2 3 2 3" xfId="19994" xr:uid="{E059E527-DD58-4082-81AD-C5E5C029CD1A}"/>
    <cellStyle name="Normal 4 6 2 2 3 2 4" xfId="28441" xr:uid="{67DE5D10-2659-4471-9515-51EC4CEBE81A}"/>
    <cellStyle name="Normal 4 6 2 2 3 2 5" xfId="11553" xr:uid="{B824748A-935F-4584-A63D-226199DDC8B4}"/>
    <cellStyle name="Normal 4 6 2 2 3 3" xfId="5184" xr:uid="{00000000-0005-0000-0000-00001C160000}"/>
    <cellStyle name="Normal 4 6 2 2 3 3 2" xfId="22067" xr:uid="{EE27B445-9545-4D79-95B9-369F426D487E}"/>
    <cellStyle name="Normal 4 6 2 2 3 3 3" xfId="30513" xr:uid="{E328AACB-74ED-43B7-AD1F-75D8CA27D5DC}"/>
    <cellStyle name="Normal 4 6 2 2 3 3 4" xfId="13626" xr:uid="{8BA45D56-4706-48C0-A989-366BAFDA2CCE}"/>
    <cellStyle name="Normal 4 6 2 2 3 4" xfId="17849" xr:uid="{5BAC9427-BED4-4174-9BF3-16164F803088}"/>
    <cellStyle name="Normal 4 6 2 2 3 5" xfId="26294" xr:uid="{D295469F-8197-4B69-B53A-57A31432EFC1}"/>
    <cellStyle name="Normal 4 6 2 2 3 6" xfId="9408" xr:uid="{B0A1F8CD-9A2B-4E06-9717-F0C20D443185}"/>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24625" xr:uid="{B3E04B1A-0870-42DD-ACD4-D24F5295089D}"/>
    <cellStyle name="Normal 4 6 2 2 4 2 2 3" xfId="33071" xr:uid="{3727FA7B-CDD3-436F-BCA6-5EEE570E3A9E}"/>
    <cellStyle name="Normal 4 6 2 2 4 2 2 4" xfId="16184" xr:uid="{FC53EA6A-A5C0-4659-ADEC-EF81E705B5E3}"/>
    <cellStyle name="Normal 4 6 2 2 4 2 3" xfId="20407" xr:uid="{E6AE3EAD-D085-4F85-9EB1-D2EEC57785B3}"/>
    <cellStyle name="Normal 4 6 2 2 4 2 4" xfId="28854" xr:uid="{72D17D6A-458C-4D0B-A17A-268A75A0B37B}"/>
    <cellStyle name="Normal 4 6 2 2 4 2 5" xfId="11966" xr:uid="{38BD2B6B-D628-4B58-8A81-088829F9F88F}"/>
    <cellStyle name="Normal 4 6 2 2 4 3" xfId="5597" xr:uid="{00000000-0005-0000-0000-000020160000}"/>
    <cellStyle name="Normal 4 6 2 2 4 3 2" xfId="22480" xr:uid="{47C93C93-D35E-459B-A38E-7005E9CC4518}"/>
    <cellStyle name="Normal 4 6 2 2 4 3 3" xfId="30926" xr:uid="{F8486752-08A8-478B-8FE4-E4D50DAB238B}"/>
    <cellStyle name="Normal 4 6 2 2 4 3 4" xfId="14039" xr:uid="{762B0EC4-B47F-4AF7-B375-C435EFFE5767}"/>
    <cellStyle name="Normal 4 6 2 2 4 4" xfId="18262" xr:uid="{E6DC5484-3775-480A-95CE-BEF5E8D6A647}"/>
    <cellStyle name="Normal 4 6 2 2 4 5" xfId="26707" xr:uid="{BBB86118-233F-4B97-B519-D2D09556053D}"/>
    <cellStyle name="Normal 4 6 2 2 4 6" xfId="9821" xr:uid="{65E2ED12-EF21-42E7-BA09-765C98D784EA}"/>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25038" xr:uid="{F064F89D-B0F0-43EF-87E5-BA072496DAE0}"/>
    <cellStyle name="Normal 4 6 2 2 5 2 2 3" xfId="33484" xr:uid="{E5A6C5F4-2802-4A54-BE0B-CFC3B111DF72}"/>
    <cellStyle name="Normal 4 6 2 2 5 2 2 4" xfId="16597" xr:uid="{38DA2092-3098-4DB0-8B21-095D7A7B0F7F}"/>
    <cellStyle name="Normal 4 6 2 2 5 2 3" xfId="20820" xr:uid="{34D18BA9-4310-4DC1-95E0-EB642A56F7B6}"/>
    <cellStyle name="Normal 4 6 2 2 5 2 4" xfId="29267" xr:uid="{5CD65577-E49A-4D99-86CB-41686F63DD6D}"/>
    <cellStyle name="Normal 4 6 2 2 5 2 5" xfId="12379" xr:uid="{5205384E-3357-4BDC-9629-B703FF3EF557}"/>
    <cellStyle name="Normal 4 6 2 2 5 3" xfId="6010" xr:uid="{00000000-0005-0000-0000-000024160000}"/>
    <cellStyle name="Normal 4 6 2 2 5 3 2" xfId="22893" xr:uid="{ABC96B12-9D15-4A8B-A95B-BF7B53A75182}"/>
    <cellStyle name="Normal 4 6 2 2 5 3 3" xfId="31339" xr:uid="{7D488306-F4CD-45DF-B922-E6BCB89FC91D}"/>
    <cellStyle name="Normal 4 6 2 2 5 3 4" xfId="14452" xr:uid="{E01C8DBF-A3C7-4E87-B488-EEC315632932}"/>
    <cellStyle name="Normal 4 6 2 2 5 4" xfId="18675" xr:uid="{C98B772B-D079-4F03-9719-E8F68E2D278E}"/>
    <cellStyle name="Normal 4 6 2 2 5 5" xfId="27120" xr:uid="{74EFA995-FC59-4C62-81B7-003FF21C223B}"/>
    <cellStyle name="Normal 4 6 2 2 5 6" xfId="10234" xr:uid="{E9D59307-C54E-4F9B-9653-F0060377E1C3}"/>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25451" xr:uid="{D4A6F357-66A4-49E3-B985-ED5107CA9FE7}"/>
    <cellStyle name="Normal 4 6 2 2 6 2 2 3" xfId="33897" xr:uid="{5E146756-747E-444E-9F0B-B005330ED772}"/>
    <cellStyle name="Normal 4 6 2 2 6 2 2 4" xfId="17010" xr:uid="{8B6949EC-51CC-467A-94A9-0ABFEA53388E}"/>
    <cellStyle name="Normal 4 6 2 2 6 2 3" xfId="21233" xr:uid="{7FB7AC50-3493-4B27-89CF-9E61AD3B26D4}"/>
    <cellStyle name="Normal 4 6 2 2 6 2 4" xfId="29680" xr:uid="{74CC0C50-5E0E-4499-A9BF-712963F98EB9}"/>
    <cellStyle name="Normal 4 6 2 2 6 2 5" xfId="12792" xr:uid="{35A9630C-B519-4E77-AF0C-8F9A538BDF4C}"/>
    <cellStyle name="Normal 4 6 2 2 6 3" xfId="6423" xr:uid="{00000000-0005-0000-0000-000028160000}"/>
    <cellStyle name="Normal 4 6 2 2 6 3 2" xfId="23306" xr:uid="{AE2D1FD7-5BE5-4AEE-B0A5-997F16CFE65F}"/>
    <cellStyle name="Normal 4 6 2 2 6 3 3" xfId="31752" xr:uid="{1ACDC94A-C428-44B7-9D37-C535C28BDE3C}"/>
    <cellStyle name="Normal 4 6 2 2 6 3 4" xfId="14865" xr:uid="{D3C6A03C-6E89-4810-81C5-7F31928C2F60}"/>
    <cellStyle name="Normal 4 6 2 2 6 4" xfId="19088" xr:uid="{9923111D-F560-4F9F-A204-5B419F2F70ED}"/>
    <cellStyle name="Normal 4 6 2 2 6 5" xfId="27533" xr:uid="{5A74CA70-F460-4F5B-B3A6-1C30D930B192}"/>
    <cellStyle name="Normal 4 6 2 2 6 6" xfId="10647" xr:uid="{F02B69E1-9060-4D2B-A2F4-B173CA3B9692}"/>
    <cellStyle name="Normal 4 6 2 2 7" xfId="2552" xr:uid="{00000000-0005-0000-0000-000029160000}"/>
    <cellStyle name="Normal 4 6 2 2 7 2" xfId="6836" xr:uid="{00000000-0005-0000-0000-00002A160000}"/>
    <cellStyle name="Normal 4 6 2 2 7 2 2" xfId="23719" xr:uid="{33E86BEF-0008-4F77-A76E-B9F07B2153BD}"/>
    <cellStyle name="Normal 4 6 2 2 7 2 3" xfId="32165" xr:uid="{472542A7-D860-40E9-9465-D5F3E5802719}"/>
    <cellStyle name="Normal 4 6 2 2 7 2 4" xfId="15278" xr:uid="{E3E31F1D-046C-4890-956D-99D265184DD1}"/>
    <cellStyle name="Normal 4 6 2 2 7 3" xfId="19501" xr:uid="{5BB639B0-BA1F-4EA2-816B-4382DD914487}"/>
    <cellStyle name="Normal 4 6 2 2 7 4" xfId="27946" xr:uid="{CD3956FB-F019-4B06-B88A-1DC70CD7F6D4}"/>
    <cellStyle name="Normal 4 6 2 2 7 5" xfId="11060" xr:uid="{F9214561-698D-4D01-95FA-BC3A0DA382C8}"/>
    <cellStyle name="Normal 4 6 2 2 8" xfId="4771" xr:uid="{00000000-0005-0000-0000-00002B160000}"/>
    <cellStyle name="Normal 4 6 2 2 8 2" xfId="21654" xr:uid="{384773C0-228B-4CB4-BF00-2CAB00C29A19}"/>
    <cellStyle name="Normal 4 6 2 2 8 3" xfId="30100" xr:uid="{102DBB91-1E61-42AD-8F7E-3A7187F01935}"/>
    <cellStyle name="Normal 4 6 2 2 8 4" xfId="13213" xr:uid="{7000DDE4-3F83-4399-9B1A-E8AE9DE97EE3}"/>
    <cellStyle name="Normal 4 6 2 2 9" xfId="17436" xr:uid="{A0F68FE2-207D-4454-B4E2-7D9EDF5D33D0}"/>
    <cellStyle name="Normal 4 6 2 3" xfId="399" xr:uid="{00000000-0005-0000-0000-00002C160000}"/>
    <cellStyle name="Normal 4 6 2 3 10" xfId="8997" xr:uid="{76BE72FF-D0C4-4A94-93D2-362E35692874}"/>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24214" xr:uid="{45B4DAB7-B8BE-4F69-8E02-16D17F23A9CC}"/>
    <cellStyle name="Normal 4 6 2 3 2 2 2 3" xfId="32660" xr:uid="{E5D1B59C-FFCD-47ED-BA49-B71B0B6E45C3}"/>
    <cellStyle name="Normal 4 6 2 3 2 2 2 4" xfId="15773" xr:uid="{A53C6B8E-5CFC-4C52-B1A2-531068EA7413}"/>
    <cellStyle name="Normal 4 6 2 3 2 2 3" xfId="19996" xr:uid="{CE06AC58-242E-43D1-979B-53373F50D911}"/>
    <cellStyle name="Normal 4 6 2 3 2 2 4" xfId="28443" xr:uid="{CC9A181D-1856-49F0-BAF9-0850318A8AB5}"/>
    <cellStyle name="Normal 4 6 2 3 2 2 5" xfId="11555" xr:uid="{0233437A-8B14-48D2-8D7B-DB36013A40E9}"/>
    <cellStyle name="Normal 4 6 2 3 2 3" xfId="5186" xr:uid="{00000000-0005-0000-0000-000030160000}"/>
    <cellStyle name="Normal 4 6 2 3 2 3 2" xfId="22069" xr:uid="{19A1B029-7E56-4E7D-93D8-F300AE0E9908}"/>
    <cellStyle name="Normal 4 6 2 3 2 3 3" xfId="30515" xr:uid="{18FF5F0A-BF7A-48FD-97DB-2759EE359076}"/>
    <cellStyle name="Normal 4 6 2 3 2 3 4" xfId="13628" xr:uid="{DAFFA788-CB7D-4BB0-92B6-6FF17439E40F}"/>
    <cellStyle name="Normal 4 6 2 3 2 4" xfId="17851" xr:uid="{01E63F05-D088-4FB4-8D1A-3826A5D1EED5}"/>
    <cellStyle name="Normal 4 6 2 3 2 5" xfId="26296" xr:uid="{25314225-103B-4E55-AC90-309155E233F8}"/>
    <cellStyle name="Normal 4 6 2 3 2 6" xfId="9410" xr:uid="{24FA1D8A-12C9-45E5-BBFC-EF04FF4AE8B1}"/>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24627" xr:uid="{1963FC54-DF4C-44EB-81F1-213DCC357874}"/>
    <cellStyle name="Normal 4 6 2 3 3 2 2 3" xfId="33073" xr:uid="{738E20ED-57E7-4F65-A99E-DB6244AE15CB}"/>
    <cellStyle name="Normal 4 6 2 3 3 2 2 4" xfId="16186" xr:uid="{21AC4489-6631-4726-A9F4-DDF9A9995ABE}"/>
    <cellStyle name="Normal 4 6 2 3 3 2 3" xfId="20409" xr:uid="{0DE0EA1A-D415-48E5-9946-5184A1F920EE}"/>
    <cellStyle name="Normal 4 6 2 3 3 2 4" xfId="28856" xr:uid="{8DC3BC2D-7C3A-499A-A0F3-087FD24C00C5}"/>
    <cellStyle name="Normal 4 6 2 3 3 2 5" xfId="11968" xr:uid="{28328EEF-3809-4C2E-82DF-B75DF8DCB30A}"/>
    <cellStyle name="Normal 4 6 2 3 3 3" xfId="5599" xr:uid="{00000000-0005-0000-0000-000034160000}"/>
    <cellStyle name="Normal 4 6 2 3 3 3 2" xfId="22482" xr:uid="{BF3DAE1F-92D7-4F36-8E9E-15439A5FDEAF}"/>
    <cellStyle name="Normal 4 6 2 3 3 3 3" xfId="30928" xr:uid="{CE5EFC98-54C7-4722-9278-4CA49ADDC6DE}"/>
    <cellStyle name="Normal 4 6 2 3 3 3 4" xfId="14041" xr:uid="{178DF7E4-5C44-4AC0-A176-1ECA86B98AB3}"/>
    <cellStyle name="Normal 4 6 2 3 3 4" xfId="18264" xr:uid="{1FEB2CF8-9C5A-48EF-B9AE-A2B9E426ECFC}"/>
    <cellStyle name="Normal 4 6 2 3 3 5" xfId="26709" xr:uid="{EBBB496E-E49F-4EC1-AE7B-D9D1933D89B3}"/>
    <cellStyle name="Normal 4 6 2 3 3 6" xfId="9823" xr:uid="{3FF8F294-918F-4778-8593-A4663208B2B4}"/>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25040" xr:uid="{320F2DBE-DCC7-4123-A985-C0DCF8378550}"/>
    <cellStyle name="Normal 4 6 2 3 4 2 2 3" xfId="33486" xr:uid="{E792BB43-BD46-4180-B0A1-2F2461D4CB8F}"/>
    <cellStyle name="Normal 4 6 2 3 4 2 2 4" xfId="16599" xr:uid="{CDD89B8C-ABA8-4C61-88FB-5D61A09F17BF}"/>
    <cellStyle name="Normal 4 6 2 3 4 2 3" xfId="20822" xr:uid="{183F2C28-94EE-4405-A9D8-EA07AE84E6E6}"/>
    <cellStyle name="Normal 4 6 2 3 4 2 4" xfId="29269" xr:uid="{962FA2E7-64FC-4873-87CE-8D7CB5ED7F74}"/>
    <cellStyle name="Normal 4 6 2 3 4 2 5" xfId="12381" xr:uid="{585679B9-A409-421D-91F1-F558A0655ADE}"/>
    <cellStyle name="Normal 4 6 2 3 4 3" xfId="6012" xr:uid="{00000000-0005-0000-0000-000038160000}"/>
    <cellStyle name="Normal 4 6 2 3 4 3 2" xfId="22895" xr:uid="{2923608E-9F7B-409D-AC07-906E3B4FE194}"/>
    <cellStyle name="Normal 4 6 2 3 4 3 3" xfId="31341" xr:uid="{ABB380A0-C4A0-4945-A399-78614B471F37}"/>
    <cellStyle name="Normal 4 6 2 3 4 3 4" xfId="14454" xr:uid="{D19D142A-8768-4FDF-8D23-2526EAD40FDA}"/>
    <cellStyle name="Normal 4 6 2 3 4 4" xfId="18677" xr:uid="{3F01F0A2-E9E0-45EA-8297-9B9B7EF276BA}"/>
    <cellStyle name="Normal 4 6 2 3 4 5" xfId="27122" xr:uid="{02E84F47-9A6B-45C5-9FCC-F1E7AD55C815}"/>
    <cellStyle name="Normal 4 6 2 3 4 6" xfId="10236" xr:uid="{0A8F4477-BE07-4470-9FDA-A7CE2D3D7F27}"/>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25453" xr:uid="{01E9817A-2B0B-46CD-970D-B12EE038D84F}"/>
    <cellStyle name="Normal 4 6 2 3 5 2 2 3" xfId="33899" xr:uid="{D114C603-5AF0-4B34-8369-0A5148928D56}"/>
    <cellStyle name="Normal 4 6 2 3 5 2 2 4" xfId="17012" xr:uid="{3F638345-D8F7-4F03-91D8-BFE1FD74C608}"/>
    <cellStyle name="Normal 4 6 2 3 5 2 3" xfId="21235" xr:uid="{5358D888-2FA0-4D13-A92E-1CF1281EBE5F}"/>
    <cellStyle name="Normal 4 6 2 3 5 2 4" xfId="29682" xr:uid="{D7BD284C-6041-4552-9E58-9E7390955304}"/>
    <cellStyle name="Normal 4 6 2 3 5 2 5" xfId="12794" xr:uid="{F0E95D25-9BE0-4F9C-AD49-8F4EFAD30748}"/>
    <cellStyle name="Normal 4 6 2 3 5 3" xfId="6425" xr:uid="{00000000-0005-0000-0000-00003C160000}"/>
    <cellStyle name="Normal 4 6 2 3 5 3 2" xfId="23308" xr:uid="{16042BC6-6C1F-4EE2-A6C2-6FA8549A9C15}"/>
    <cellStyle name="Normal 4 6 2 3 5 3 3" xfId="31754" xr:uid="{A9111C84-9CCF-42DC-BC1D-CBAE59338BA6}"/>
    <cellStyle name="Normal 4 6 2 3 5 3 4" xfId="14867" xr:uid="{54274661-EFDE-4BBD-B789-6898159E33FC}"/>
    <cellStyle name="Normal 4 6 2 3 5 4" xfId="19090" xr:uid="{D9E2B5E5-DD1D-4143-ABBA-87FAD9D36479}"/>
    <cellStyle name="Normal 4 6 2 3 5 5" xfId="27535" xr:uid="{69CF6FE8-47DD-4312-B50E-52A269DC4A7E}"/>
    <cellStyle name="Normal 4 6 2 3 5 6" xfId="10649" xr:uid="{6C32309D-3393-4776-8A43-0126EFB5CD3C}"/>
    <cellStyle name="Normal 4 6 2 3 6" xfId="2554" xr:uid="{00000000-0005-0000-0000-00003D160000}"/>
    <cellStyle name="Normal 4 6 2 3 6 2" xfId="6838" xr:uid="{00000000-0005-0000-0000-00003E160000}"/>
    <cellStyle name="Normal 4 6 2 3 6 2 2" xfId="23721" xr:uid="{C08AA325-A918-4E78-9634-A8687D24877C}"/>
    <cellStyle name="Normal 4 6 2 3 6 2 3" xfId="32167" xr:uid="{8D3CA8CF-9898-4CDC-BF15-D2AEBCC32B61}"/>
    <cellStyle name="Normal 4 6 2 3 6 2 4" xfId="15280" xr:uid="{ADF95671-A579-42E7-B3B8-03715E11EFC6}"/>
    <cellStyle name="Normal 4 6 2 3 6 3" xfId="19503" xr:uid="{35DF8687-28CC-4FD9-AAE2-CD98BB0CE179}"/>
    <cellStyle name="Normal 4 6 2 3 6 4" xfId="27948" xr:uid="{EA964441-F5E6-4FFA-BD6B-AAA9219D229E}"/>
    <cellStyle name="Normal 4 6 2 3 6 5" xfId="11062" xr:uid="{F966B61C-70F0-4062-8C44-3EBAE078ACDE}"/>
    <cellStyle name="Normal 4 6 2 3 7" xfId="4773" xr:uid="{00000000-0005-0000-0000-00003F160000}"/>
    <cellStyle name="Normal 4 6 2 3 7 2" xfId="21656" xr:uid="{E8BB2112-D19B-4643-AA21-8F27B8EBA011}"/>
    <cellStyle name="Normal 4 6 2 3 7 3" xfId="30102" xr:uid="{F4F6CBE4-27AC-4850-8724-A6D344D1EAE2}"/>
    <cellStyle name="Normal 4 6 2 3 7 4" xfId="13215" xr:uid="{7F48D33C-CF0C-4C99-BEE7-C327DE76BB25}"/>
    <cellStyle name="Normal 4 6 2 3 8" xfId="17438" xr:uid="{F93B0597-E498-4BF5-8579-F82E9C8C9F73}"/>
    <cellStyle name="Normal 4 6 2 3 9" xfId="25882" xr:uid="{EAEA8EF4-1617-4AD7-A8D0-841C0A45FC31}"/>
    <cellStyle name="Normal 4 6 2 4" xfId="870" xr:uid="{00000000-0005-0000-0000-000040160000}"/>
    <cellStyle name="Normal 4 6 2 4 2" xfId="3105" xr:uid="{00000000-0005-0000-0000-000041160000}"/>
    <cellStyle name="Normal 4 6 2 4 2 2" xfId="7328" xr:uid="{00000000-0005-0000-0000-000042160000}"/>
    <cellStyle name="Normal 4 6 2 4 2 2 2" xfId="24211" xr:uid="{3AD9F18B-B6DA-4ED3-B518-B3DB1D90E640}"/>
    <cellStyle name="Normal 4 6 2 4 2 2 3" xfId="32657" xr:uid="{FECDE62B-1C53-4E12-ACD3-5DE1D517C800}"/>
    <cellStyle name="Normal 4 6 2 4 2 2 4" xfId="15770" xr:uid="{5D3F778E-17B2-4E1E-B521-DFE013F5808E}"/>
    <cellStyle name="Normal 4 6 2 4 2 3" xfId="19993" xr:uid="{18B945B0-2CC3-4A1C-9181-48AF6869D532}"/>
    <cellStyle name="Normal 4 6 2 4 2 4" xfId="28440" xr:uid="{A7A49F9C-7C0C-46B8-B9AE-28B42ABE5D1C}"/>
    <cellStyle name="Normal 4 6 2 4 2 5" xfId="11552" xr:uid="{4A1D4613-3EB0-41B3-8753-F61F3C337DB9}"/>
    <cellStyle name="Normal 4 6 2 4 3" xfId="5183" xr:uid="{00000000-0005-0000-0000-000043160000}"/>
    <cellStyle name="Normal 4 6 2 4 3 2" xfId="22066" xr:uid="{F294714C-4E11-43F5-ADD3-689BF5C1592B}"/>
    <cellStyle name="Normal 4 6 2 4 3 3" xfId="30512" xr:uid="{11B8A793-AE29-4F7A-8B78-DF5C8D55276F}"/>
    <cellStyle name="Normal 4 6 2 4 3 4" xfId="13625" xr:uid="{FDD63D87-EE47-404B-80C0-D78AC63166EE}"/>
    <cellStyle name="Normal 4 6 2 4 4" xfId="17848" xr:uid="{F1D5D1E8-8C00-4536-BF19-56615D83CB5E}"/>
    <cellStyle name="Normal 4 6 2 4 5" xfId="26293" xr:uid="{42377A50-4105-4BDE-9F51-648A6B8E9BC8}"/>
    <cellStyle name="Normal 4 6 2 4 6" xfId="9407" xr:uid="{149721B8-7040-4262-9A4B-C6883D19D691}"/>
    <cellStyle name="Normal 4 6 2 5" xfId="1288" xr:uid="{00000000-0005-0000-0000-000044160000}"/>
    <cellStyle name="Normal 4 6 2 5 2" xfId="3518" xr:uid="{00000000-0005-0000-0000-000045160000}"/>
    <cellStyle name="Normal 4 6 2 5 2 2" xfId="7741" xr:uid="{00000000-0005-0000-0000-000046160000}"/>
    <cellStyle name="Normal 4 6 2 5 2 2 2" xfId="24624" xr:uid="{3B73C454-11B7-485F-942A-0646ADFDDF28}"/>
    <cellStyle name="Normal 4 6 2 5 2 2 3" xfId="33070" xr:uid="{E6CD7D58-4DD1-402B-852B-5AFA5015D8A5}"/>
    <cellStyle name="Normal 4 6 2 5 2 2 4" xfId="16183" xr:uid="{D7214191-8F7A-4296-8A19-FE4D4EC5B3BE}"/>
    <cellStyle name="Normal 4 6 2 5 2 3" xfId="20406" xr:uid="{5409B0B7-15F2-46AC-B3B9-C3110764D356}"/>
    <cellStyle name="Normal 4 6 2 5 2 4" xfId="28853" xr:uid="{E16B8BA5-476E-4961-A433-D5B67D29CBA1}"/>
    <cellStyle name="Normal 4 6 2 5 2 5" xfId="11965" xr:uid="{13AF8732-6E81-4987-830E-12AABFC7FD3A}"/>
    <cellStyle name="Normal 4 6 2 5 3" xfId="5596" xr:uid="{00000000-0005-0000-0000-000047160000}"/>
    <cellStyle name="Normal 4 6 2 5 3 2" xfId="22479" xr:uid="{B276EEB4-271A-4B22-A5E5-9B3F7AC4BA7E}"/>
    <cellStyle name="Normal 4 6 2 5 3 3" xfId="30925" xr:uid="{CEB40331-42E8-485C-9A26-245B8DD94C2F}"/>
    <cellStyle name="Normal 4 6 2 5 3 4" xfId="14038" xr:uid="{00877467-A27B-45F7-9627-5EDE1F809BCB}"/>
    <cellStyle name="Normal 4 6 2 5 4" xfId="18261" xr:uid="{77DB59B9-62DB-41A4-A1D7-CA9063341E6E}"/>
    <cellStyle name="Normal 4 6 2 5 5" xfId="26706" xr:uid="{50B95993-8D25-4FDF-9697-12120B21E325}"/>
    <cellStyle name="Normal 4 6 2 5 6" xfId="9820" xr:uid="{2276FA7E-E356-42C4-B689-CCE11D999DC2}"/>
    <cellStyle name="Normal 4 6 2 6" xfId="1701" xr:uid="{00000000-0005-0000-0000-000048160000}"/>
    <cellStyle name="Normal 4 6 2 6 2" xfId="3931" xr:uid="{00000000-0005-0000-0000-000049160000}"/>
    <cellStyle name="Normal 4 6 2 6 2 2" xfId="8154" xr:uid="{00000000-0005-0000-0000-00004A160000}"/>
    <cellStyle name="Normal 4 6 2 6 2 2 2" xfId="25037" xr:uid="{7D899BF5-E2C9-419D-AC0D-A193A9CE6F63}"/>
    <cellStyle name="Normal 4 6 2 6 2 2 3" xfId="33483" xr:uid="{3C02D2C1-6C89-48D8-8ADE-1F5C581A129F}"/>
    <cellStyle name="Normal 4 6 2 6 2 2 4" xfId="16596" xr:uid="{FAA8A1CE-090B-4CDE-AAE1-4BB136F7EFAB}"/>
    <cellStyle name="Normal 4 6 2 6 2 3" xfId="20819" xr:uid="{396625D3-8405-4623-B7FB-675761F63BEE}"/>
    <cellStyle name="Normal 4 6 2 6 2 4" xfId="29266" xr:uid="{D066BBDB-0667-497A-95E3-D33513E180C9}"/>
    <cellStyle name="Normal 4 6 2 6 2 5" xfId="12378" xr:uid="{41719BB6-278A-4F6C-9106-0026DD210160}"/>
    <cellStyle name="Normal 4 6 2 6 3" xfId="6009" xr:uid="{00000000-0005-0000-0000-00004B160000}"/>
    <cellStyle name="Normal 4 6 2 6 3 2" xfId="22892" xr:uid="{8A23C638-D7CB-4D5E-874C-B7DF5E0576ED}"/>
    <cellStyle name="Normal 4 6 2 6 3 3" xfId="31338" xr:uid="{4F870A90-5285-4511-B4B0-885C744C104C}"/>
    <cellStyle name="Normal 4 6 2 6 3 4" xfId="14451" xr:uid="{32A96D3B-C34D-46CC-81A0-FB94D581A56E}"/>
    <cellStyle name="Normal 4 6 2 6 4" xfId="18674" xr:uid="{B5DCE669-A817-4E15-B9E8-2AAA0AF7B0A3}"/>
    <cellStyle name="Normal 4 6 2 6 5" xfId="27119" xr:uid="{B7218C41-87C6-460D-935F-7D9A2F075AC5}"/>
    <cellStyle name="Normal 4 6 2 6 6" xfId="10233" xr:uid="{0FF4F414-C64C-4311-8992-0F48A0AFF3DF}"/>
    <cellStyle name="Normal 4 6 2 7" xfId="2115" xr:uid="{00000000-0005-0000-0000-00004C160000}"/>
    <cellStyle name="Normal 4 6 2 7 2" xfId="4344" xr:uid="{00000000-0005-0000-0000-00004D160000}"/>
    <cellStyle name="Normal 4 6 2 7 2 2" xfId="8567" xr:uid="{00000000-0005-0000-0000-00004E160000}"/>
    <cellStyle name="Normal 4 6 2 7 2 2 2" xfId="25450" xr:uid="{792093CC-B920-4AAF-BB47-7F7D3562D64D}"/>
    <cellStyle name="Normal 4 6 2 7 2 2 3" xfId="33896" xr:uid="{5B937AF2-B242-4E9E-932E-DE791268A130}"/>
    <cellStyle name="Normal 4 6 2 7 2 2 4" xfId="17009" xr:uid="{65758CF6-A499-4CC2-86C7-235214A2101C}"/>
    <cellStyle name="Normal 4 6 2 7 2 3" xfId="21232" xr:uid="{46AFDCB7-B133-43ED-9E89-C1C93F80247E}"/>
    <cellStyle name="Normal 4 6 2 7 2 4" xfId="29679" xr:uid="{C1EA5C03-5383-4060-94E9-43BA4F48A4A1}"/>
    <cellStyle name="Normal 4 6 2 7 2 5" xfId="12791" xr:uid="{E7B82D2E-FD86-4FD5-8FFB-71EFA5DCB298}"/>
    <cellStyle name="Normal 4 6 2 7 3" xfId="6422" xr:uid="{00000000-0005-0000-0000-00004F160000}"/>
    <cellStyle name="Normal 4 6 2 7 3 2" xfId="23305" xr:uid="{01923148-522E-4EA6-A7D5-255D821F1D02}"/>
    <cellStyle name="Normal 4 6 2 7 3 3" xfId="31751" xr:uid="{84235F96-A19D-484E-8001-708BC57F223C}"/>
    <cellStyle name="Normal 4 6 2 7 3 4" xfId="14864" xr:uid="{9A4FDAF5-FC9C-4AD5-818D-FDDE642336CA}"/>
    <cellStyle name="Normal 4 6 2 7 4" xfId="19087" xr:uid="{6DE06F20-2DF1-4197-BCF6-ABEF205EC374}"/>
    <cellStyle name="Normal 4 6 2 7 5" xfId="27532" xr:uid="{823FAC64-4A2E-461D-9736-2F2C71B9DD8E}"/>
    <cellStyle name="Normal 4 6 2 7 6" xfId="10646" xr:uid="{75FF3773-FC2E-4F4A-BD74-3F51C7599DD9}"/>
    <cellStyle name="Normal 4 6 2 8" xfId="2551" xr:uid="{00000000-0005-0000-0000-000050160000}"/>
    <cellStyle name="Normal 4 6 2 8 2" xfId="6835" xr:uid="{00000000-0005-0000-0000-000051160000}"/>
    <cellStyle name="Normal 4 6 2 8 2 2" xfId="23718" xr:uid="{531F2D08-DB4E-4DD6-B7C3-33B9171A0ECF}"/>
    <cellStyle name="Normal 4 6 2 8 2 3" xfId="32164" xr:uid="{1CD97B84-A749-41CB-9285-A4D0CFA5B421}"/>
    <cellStyle name="Normal 4 6 2 8 2 4" xfId="15277" xr:uid="{4C8084B1-59D3-40B0-9606-B0E47944A87A}"/>
    <cellStyle name="Normal 4 6 2 8 3" xfId="19500" xr:uid="{DC83D40D-AECA-4FA3-A49D-E4714E03AFB6}"/>
    <cellStyle name="Normal 4 6 2 8 4" xfId="27945" xr:uid="{934218F5-21B3-4DEC-B2C0-1565A695F177}"/>
    <cellStyle name="Normal 4 6 2 8 5" xfId="11059" xr:uid="{97BECBCB-E330-4334-94D7-D1892F5FE902}"/>
    <cellStyle name="Normal 4 6 2 9" xfId="4770" xr:uid="{00000000-0005-0000-0000-000052160000}"/>
    <cellStyle name="Normal 4 6 2 9 2" xfId="21653" xr:uid="{9BB1B0A4-F769-4CDC-8658-BACEF57B59C2}"/>
    <cellStyle name="Normal 4 6 2 9 3" xfId="30099" xr:uid="{8818C4ED-C518-4524-BC96-DDE72DDB1C81}"/>
    <cellStyle name="Normal 4 6 2 9 4" xfId="13212" xr:uid="{DBECE096-CACB-4675-8EDE-E257A9A22C4C}"/>
    <cellStyle name="Normal 4 6 3" xfId="400" xr:uid="{00000000-0005-0000-0000-000053160000}"/>
    <cellStyle name="Normal 4 6 3 10" xfId="25883" xr:uid="{B5CCFAFB-8C91-4D61-A405-DE564AC47D40}"/>
    <cellStyle name="Normal 4 6 3 11" xfId="8998" xr:uid="{EBDD7B8D-3F36-468E-B6D4-E2C2C1B4036E}"/>
    <cellStyle name="Normal 4 6 3 2" xfId="401" xr:uid="{00000000-0005-0000-0000-000054160000}"/>
    <cellStyle name="Normal 4 6 3 2 10" xfId="8999" xr:uid="{7D47ACBE-09CC-46F6-B20B-0DA34CB4DBC8}"/>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24216" xr:uid="{F75ADA80-5941-4174-9056-EFF5F65C57A1}"/>
    <cellStyle name="Normal 4 6 3 2 2 2 2 3" xfId="32662" xr:uid="{598AA9F0-1A0E-4BBF-BD52-500B26CFDF5C}"/>
    <cellStyle name="Normal 4 6 3 2 2 2 2 4" xfId="15775" xr:uid="{4F4BC239-7FD9-4DDC-B3BC-B70772E858F3}"/>
    <cellStyle name="Normal 4 6 3 2 2 2 3" xfId="19998" xr:uid="{175A51A3-4700-4E42-A526-D80381BB92E0}"/>
    <cellStyle name="Normal 4 6 3 2 2 2 4" xfId="28445" xr:uid="{9386B3EA-9E4A-43F9-A06E-F0AA669BD339}"/>
    <cellStyle name="Normal 4 6 3 2 2 2 5" xfId="11557" xr:uid="{9EAE0ED4-5AD3-452C-8476-6783414F7384}"/>
    <cellStyle name="Normal 4 6 3 2 2 3" xfId="5188" xr:uid="{00000000-0005-0000-0000-000058160000}"/>
    <cellStyle name="Normal 4 6 3 2 2 3 2" xfId="22071" xr:uid="{25AD64E7-510F-42C0-8D5B-393205F837C4}"/>
    <cellStyle name="Normal 4 6 3 2 2 3 3" xfId="30517" xr:uid="{130638ED-2CD4-41B2-998E-58439A5D9436}"/>
    <cellStyle name="Normal 4 6 3 2 2 3 4" xfId="13630" xr:uid="{16C05CBC-1514-4302-9ACB-7DE046EB30B7}"/>
    <cellStyle name="Normal 4 6 3 2 2 4" xfId="17853" xr:uid="{A218D6A7-D2BE-4C6F-B655-BCF08F53AC86}"/>
    <cellStyle name="Normal 4 6 3 2 2 5" xfId="26298" xr:uid="{9EF27BE9-B5E5-41B9-8A71-22FAA9B363ED}"/>
    <cellStyle name="Normal 4 6 3 2 2 6" xfId="9412" xr:uid="{2B695E61-6ECE-473C-B24C-9EEAF3A92A63}"/>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24629" xr:uid="{CE6FC1F8-B716-4858-BD41-15E3B5EA5BC3}"/>
    <cellStyle name="Normal 4 6 3 2 3 2 2 3" xfId="33075" xr:uid="{9A56849D-81BC-4BC8-9555-B17AC404E755}"/>
    <cellStyle name="Normal 4 6 3 2 3 2 2 4" xfId="16188" xr:uid="{3B14797E-A59E-4B37-A995-7F7280F7E774}"/>
    <cellStyle name="Normal 4 6 3 2 3 2 3" xfId="20411" xr:uid="{CEAED404-7EBD-41C9-85BD-0F8AA575DB04}"/>
    <cellStyle name="Normal 4 6 3 2 3 2 4" xfId="28858" xr:uid="{ECDDDFFB-7EF7-4019-A1FC-A056424CF9F7}"/>
    <cellStyle name="Normal 4 6 3 2 3 2 5" xfId="11970" xr:uid="{14B10CC1-3BA7-4F95-8D7B-E2BD5AA2DD71}"/>
    <cellStyle name="Normal 4 6 3 2 3 3" xfId="5601" xr:uid="{00000000-0005-0000-0000-00005C160000}"/>
    <cellStyle name="Normal 4 6 3 2 3 3 2" xfId="22484" xr:uid="{EA3D996B-F5F9-43B6-BF55-71E90C169BA6}"/>
    <cellStyle name="Normal 4 6 3 2 3 3 3" xfId="30930" xr:uid="{572A21B8-8385-4A74-9831-A30B44B016CE}"/>
    <cellStyle name="Normal 4 6 3 2 3 3 4" xfId="14043" xr:uid="{60208A3C-5314-4D9A-B087-56F02DFF899D}"/>
    <cellStyle name="Normal 4 6 3 2 3 4" xfId="18266" xr:uid="{064F8130-F168-4EDD-887B-30BA90B040EB}"/>
    <cellStyle name="Normal 4 6 3 2 3 5" xfId="26711" xr:uid="{6BED9531-F987-4A1F-B6F8-DD860B7A3711}"/>
    <cellStyle name="Normal 4 6 3 2 3 6" xfId="9825" xr:uid="{879DA722-7C2D-409A-A719-B8545CCBFE94}"/>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25042" xr:uid="{1DFDCE57-143D-4277-A91D-08A3A3DEE225}"/>
    <cellStyle name="Normal 4 6 3 2 4 2 2 3" xfId="33488" xr:uid="{4BD757B9-AE6E-417F-885A-66A809154EEB}"/>
    <cellStyle name="Normal 4 6 3 2 4 2 2 4" xfId="16601" xr:uid="{FE6FDAC4-C0AE-4F32-B789-31291973BFA7}"/>
    <cellStyle name="Normal 4 6 3 2 4 2 3" xfId="20824" xr:uid="{7BDF0855-4AD4-4E39-BE47-1C0D35210A75}"/>
    <cellStyle name="Normal 4 6 3 2 4 2 4" xfId="29271" xr:uid="{A0C56EB6-5F1F-4916-84D7-A679660021E4}"/>
    <cellStyle name="Normal 4 6 3 2 4 2 5" xfId="12383" xr:uid="{D3F669AC-B0E4-4F42-AC7C-5AF79A49CB1D}"/>
    <cellStyle name="Normal 4 6 3 2 4 3" xfId="6014" xr:uid="{00000000-0005-0000-0000-000060160000}"/>
    <cellStyle name="Normal 4 6 3 2 4 3 2" xfId="22897" xr:uid="{D87ED232-0930-471C-97FB-18BEE7B89122}"/>
    <cellStyle name="Normal 4 6 3 2 4 3 3" xfId="31343" xr:uid="{93FA89C7-5AC8-41AB-8E0A-64926A6F7481}"/>
    <cellStyle name="Normal 4 6 3 2 4 3 4" xfId="14456" xr:uid="{2A330AA8-F7B9-4387-82BA-235D95D5CD1A}"/>
    <cellStyle name="Normal 4 6 3 2 4 4" xfId="18679" xr:uid="{A4357238-8D37-416F-A480-9461076CB29D}"/>
    <cellStyle name="Normal 4 6 3 2 4 5" xfId="27124" xr:uid="{D9632243-2C9D-4F0F-A96E-72A180389289}"/>
    <cellStyle name="Normal 4 6 3 2 4 6" xfId="10238" xr:uid="{8760A8D4-60FB-4DA8-8753-89070644DCA8}"/>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25455" xr:uid="{62FF90B8-E72D-4891-ADED-A1AE24AB5FC8}"/>
    <cellStyle name="Normal 4 6 3 2 5 2 2 3" xfId="33901" xr:uid="{78D27A3F-D833-41E9-BC9F-601882C8FF0F}"/>
    <cellStyle name="Normal 4 6 3 2 5 2 2 4" xfId="17014" xr:uid="{B2E4E8FE-0F43-4F45-98A1-57E312A386B3}"/>
    <cellStyle name="Normal 4 6 3 2 5 2 3" xfId="21237" xr:uid="{E449EE72-6ACB-451A-B81E-A93BB8C5CC24}"/>
    <cellStyle name="Normal 4 6 3 2 5 2 4" xfId="29684" xr:uid="{4BF030B9-DEF1-48EE-9E26-5E38304EF8AD}"/>
    <cellStyle name="Normal 4 6 3 2 5 2 5" xfId="12796" xr:uid="{74DD06F8-5FFE-48D2-8729-BC5627E685BF}"/>
    <cellStyle name="Normal 4 6 3 2 5 3" xfId="6427" xr:uid="{00000000-0005-0000-0000-000064160000}"/>
    <cellStyle name="Normal 4 6 3 2 5 3 2" xfId="23310" xr:uid="{4C19AD5B-74FA-4DC3-BEAD-E9110F3AAB8F}"/>
    <cellStyle name="Normal 4 6 3 2 5 3 3" xfId="31756" xr:uid="{D1D240BA-AB89-42CE-A43E-291A40E39A88}"/>
    <cellStyle name="Normal 4 6 3 2 5 3 4" xfId="14869" xr:uid="{9A82D240-C7EF-4748-974C-936E8208D918}"/>
    <cellStyle name="Normal 4 6 3 2 5 4" xfId="19092" xr:uid="{808119AD-F373-4EDF-8F60-3CDF3B79F31C}"/>
    <cellStyle name="Normal 4 6 3 2 5 5" xfId="27537" xr:uid="{064F3171-1EC1-4588-A123-A2E120099279}"/>
    <cellStyle name="Normal 4 6 3 2 5 6" xfId="10651" xr:uid="{40EBBA5A-352E-49A4-8305-F0C331665659}"/>
    <cellStyle name="Normal 4 6 3 2 6" xfId="2556" xr:uid="{00000000-0005-0000-0000-000065160000}"/>
    <cellStyle name="Normal 4 6 3 2 6 2" xfId="6840" xr:uid="{00000000-0005-0000-0000-000066160000}"/>
    <cellStyle name="Normal 4 6 3 2 6 2 2" xfId="23723" xr:uid="{AF732E83-E21F-45BD-B8B0-6C6721F31EBD}"/>
    <cellStyle name="Normal 4 6 3 2 6 2 3" xfId="32169" xr:uid="{8C4BE8AE-D75A-4C7B-8E26-EAA839CD6544}"/>
    <cellStyle name="Normal 4 6 3 2 6 2 4" xfId="15282" xr:uid="{9B5A6FC4-F98F-4A38-94B3-1FD880B9A9CF}"/>
    <cellStyle name="Normal 4 6 3 2 6 3" xfId="19505" xr:uid="{1E97A503-D137-4B10-93FB-F80DF92E2E74}"/>
    <cellStyle name="Normal 4 6 3 2 6 4" xfId="27950" xr:uid="{3103CB37-E820-4666-88A4-11BB2C701E1C}"/>
    <cellStyle name="Normal 4 6 3 2 6 5" xfId="11064" xr:uid="{5F3F105E-75D0-4D25-8AFA-1088A0BAB845}"/>
    <cellStyle name="Normal 4 6 3 2 7" xfId="4775" xr:uid="{00000000-0005-0000-0000-000067160000}"/>
    <cellStyle name="Normal 4 6 3 2 7 2" xfId="21658" xr:uid="{2B8C7641-8D35-4B53-858A-5EF1D9ABA207}"/>
    <cellStyle name="Normal 4 6 3 2 7 3" xfId="30104" xr:uid="{F0F401EE-C72E-469F-95CA-125D12D5232A}"/>
    <cellStyle name="Normal 4 6 3 2 7 4" xfId="13217" xr:uid="{B948F85B-6C33-45BA-A025-5C28D829D199}"/>
    <cellStyle name="Normal 4 6 3 2 8" xfId="17440" xr:uid="{B7AE1CD4-342C-47A6-B158-A36D23AC375B}"/>
    <cellStyle name="Normal 4 6 3 2 9" xfId="25884" xr:uid="{CAB7C48D-5760-4FDB-959D-A2989C143D68}"/>
    <cellStyle name="Normal 4 6 3 3" xfId="874" xr:uid="{00000000-0005-0000-0000-000068160000}"/>
    <cellStyle name="Normal 4 6 3 3 2" xfId="3109" xr:uid="{00000000-0005-0000-0000-000069160000}"/>
    <cellStyle name="Normal 4 6 3 3 2 2" xfId="7332" xr:uid="{00000000-0005-0000-0000-00006A160000}"/>
    <cellStyle name="Normal 4 6 3 3 2 2 2" xfId="24215" xr:uid="{9E9EE51B-911E-4AEA-AA28-7BDDDD737E34}"/>
    <cellStyle name="Normal 4 6 3 3 2 2 3" xfId="32661" xr:uid="{A857DD9D-C0BE-4159-8C44-1E9FE054AF91}"/>
    <cellStyle name="Normal 4 6 3 3 2 2 4" xfId="15774" xr:uid="{0846C95A-5369-4FF4-8473-6D5F7D1DBC4B}"/>
    <cellStyle name="Normal 4 6 3 3 2 3" xfId="19997" xr:uid="{EDC04F12-D934-4921-8102-6CC7465D6E55}"/>
    <cellStyle name="Normal 4 6 3 3 2 4" xfId="28444" xr:uid="{95D3F7BB-A2EF-49B4-924A-2585A202A0C2}"/>
    <cellStyle name="Normal 4 6 3 3 2 5" xfId="11556" xr:uid="{9467E67E-42E1-416B-8718-69258BB56C87}"/>
    <cellStyle name="Normal 4 6 3 3 3" xfId="5187" xr:uid="{00000000-0005-0000-0000-00006B160000}"/>
    <cellStyle name="Normal 4 6 3 3 3 2" xfId="22070" xr:uid="{BA6F2D44-C975-4BA1-836E-369B9EF835C3}"/>
    <cellStyle name="Normal 4 6 3 3 3 3" xfId="30516" xr:uid="{4F6CB11F-D4FD-46BC-94AF-C44B0A36AFBE}"/>
    <cellStyle name="Normal 4 6 3 3 3 4" xfId="13629" xr:uid="{6B106C25-D6A1-4DB9-9981-87734C1953A3}"/>
    <cellStyle name="Normal 4 6 3 3 4" xfId="17852" xr:uid="{085F1B0D-8CA5-4D83-89BF-E89FF3332472}"/>
    <cellStyle name="Normal 4 6 3 3 5" xfId="26297" xr:uid="{2A28BD74-B8BB-4DA2-ADD3-11DDDAABBE00}"/>
    <cellStyle name="Normal 4 6 3 3 6" xfId="9411" xr:uid="{D78A3E1A-B298-4AA8-9B6F-B2718F408035}"/>
    <cellStyle name="Normal 4 6 3 4" xfId="1292" xr:uid="{00000000-0005-0000-0000-00006C160000}"/>
    <cellStyle name="Normal 4 6 3 4 2" xfId="3522" xr:uid="{00000000-0005-0000-0000-00006D160000}"/>
    <cellStyle name="Normal 4 6 3 4 2 2" xfId="7745" xr:uid="{00000000-0005-0000-0000-00006E160000}"/>
    <cellStyle name="Normal 4 6 3 4 2 2 2" xfId="24628" xr:uid="{DFD4D2E4-6A72-4DB7-ACAA-B25B965127FB}"/>
    <cellStyle name="Normal 4 6 3 4 2 2 3" xfId="33074" xr:uid="{8AD1FB18-EA1F-4F8F-B941-E8F3A064538C}"/>
    <cellStyle name="Normal 4 6 3 4 2 2 4" xfId="16187" xr:uid="{D55E5B5C-5268-4554-A35A-AB3AED4EA15C}"/>
    <cellStyle name="Normal 4 6 3 4 2 3" xfId="20410" xr:uid="{9CF2F99F-13FA-40C9-8A71-420E602044F5}"/>
    <cellStyle name="Normal 4 6 3 4 2 4" xfId="28857" xr:uid="{87D3E428-D549-48B5-BE84-F348E25597A1}"/>
    <cellStyle name="Normal 4 6 3 4 2 5" xfId="11969" xr:uid="{D5E44C81-0DB6-49FB-8A85-CD704D05D4B3}"/>
    <cellStyle name="Normal 4 6 3 4 3" xfId="5600" xr:uid="{00000000-0005-0000-0000-00006F160000}"/>
    <cellStyle name="Normal 4 6 3 4 3 2" xfId="22483" xr:uid="{D3E6B8F1-C826-41C3-BEEE-E12649365424}"/>
    <cellStyle name="Normal 4 6 3 4 3 3" xfId="30929" xr:uid="{95A0AB12-E984-47DB-A8B7-2318571116C5}"/>
    <cellStyle name="Normal 4 6 3 4 3 4" xfId="14042" xr:uid="{2CB333FD-3E76-457C-BB34-A2128CA37403}"/>
    <cellStyle name="Normal 4 6 3 4 4" xfId="18265" xr:uid="{DF63DA51-E455-4AE0-B3D3-660427EE6EF7}"/>
    <cellStyle name="Normal 4 6 3 4 5" xfId="26710" xr:uid="{99E28428-0168-4554-8616-4788F3FE45A4}"/>
    <cellStyle name="Normal 4 6 3 4 6" xfId="9824" xr:uid="{577723C9-58AC-4165-ABDD-CD80F7448518}"/>
    <cellStyle name="Normal 4 6 3 5" xfId="1705" xr:uid="{00000000-0005-0000-0000-000070160000}"/>
    <cellStyle name="Normal 4 6 3 5 2" xfId="3935" xr:uid="{00000000-0005-0000-0000-000071160000}"/>
    <cellStyle name="Normal 4 6 3 5 2 2" xfId="8158" xr:uid="{00000000-0005-0000-0000-000072160000}"/>
    <cellStyle name="Normal 4 6 3 5 2 2 2" xfId="25041" xr:uid="{55AA94CE-5FE5-48FB-8ABD-7A2D521CB4F4}"/>
    <cellStyle name="Normal 4 6 3 5 2 2 3" xfId="33487" xr:uid="{9075F3F5-0101-459D-82E1-953D876C0358}"/>
    <cellStyle name="Normal 4 6 3 5 2 2 4" xfId="16600" xr:uid="{EE3A5450-89DE-4F70-9F14-933E24D5AD24}"/>
    <cellStyle name="Normal 4 6 3 5 2 3" xfId="20823" xr:uid="{B4FFDB51-CF0C-4E82-9406-827DA7E5956F}"/>
    <cellStyle name="Normal 4 6 3 5 2 4" xfId="29270" xr:uid="{3526A747-68B8-41D8-9B40-F242BED52928}"/>
    <cellStyle name="Normal 4 6 3 5 2 5" xfId="12382" xr:uid="{3BE8D314-2728-438F-AA96-3A2A09E9A051}"/>
    <cellStyle name="Normal 4 6 3 5 3" xfId="6013" xr:uid="{00000000-0005-0000-0000-000073160000}"/>
    <cellStyle name="Normal 4 6 3 5 3 2" xfId="22896" xr:uid="{F7270DB1-ADC4-4CAD-9F52-AE9C8F1A85B6}"/>
    <cellStyle name="Normal 4 6 3 5 3 3" xfId="31342" xr:uid="{AB5EDF8F-AE37-4835-B162-FDBF15CF9854}"/>
    <cellStyle name="Normal 4 6 3 5 3 4" xfId="14455" xr:uid="{77ED3A2A-1C0D-46E2-AE83-28671D79E94D}"/>
    <cellStyle name="Normal 4 6 3 5 4" xfId="18678" xr:uid="{405C03CE-990E-4F7E-A263-4773D1416396}"/>
    <cellStyle name="Normal 4 6 3 5 5" xfId="27123" xr:uid="{524ABBE1-D77E-4C57-80C0-22C7ED72E527}"/>
    <cellStyle name="Normal 4 6 3 5 6" xfId="10237" xr:uid="{016B97F9-F487-40E9-BD4B-D81B60417DAA}"/>
    <cellStyle name="Normal 4 6 3 6" xfId="2119" xr:uid="{00000000-0005-0000-0000-000074160000}"/>
    <cellStyle name="Normal 4 6 3 6 2" xfId="4348" xr:uid="{00000000-0005-0000-0000-000075160000}"/>
    <cellStyle name="Normal 4 6 3 6 2 2" xfId="8571" xr:uid="{00000000-0005-0000-0000-000076160000}"/>
    <cellStyle name="Normal 4 6 3 6 2 2 2" xfId="25454" xr:uid="{D0D60867-240B-4897-9387-B9220E5F62F6}"/>
    <cellStyle name="Normal 4 6 3 6 2 2 3" xfId="33900" xr:uid="{C046AAEB-D1E3-421C-ADDA-7A82970ACB3C}"/>
    <cellStyle name="Normal 4 6 3 6 2 2 4" xfId="17013" xr:uid="{18681E50-480A-4B16-AFF7-F0017269CC1D}"/>
    <cellStyle name="Normal 4 6 3 6 2 3" xfId="21236" xr:uid="{1A421C0E-84CE-49DD-A6E5-62DF4B681F18}"/>
    <cellStyle name="Normal 4 6 3 6 2 4" xfId="29683" xr:uid="{AED0FBDC-5611-4D19-A9F9-130EBCF86EFD}"/>
    <cellStyle name="Normal 4 6 3 6 2 5" xfId="12795" xr:uid="{14D611A5-CB8E-4741-B628-1795FDE31EAF}"/>
    <cellStyle name="Normal 4 6 3 6 3" xfId="6426" xr:uid="{00000000-0005-0000-0000-000077160000}"/>
    <cellStyle name="Normal 4 6 3 6 3 2" xfId="23309" xr:uid="{0D498E32-6811-4279-AFBC-F35BC1B7E894}"/>
    <cellStyle name="Normal 4 6 3 6 3 3" xfId="31755" xr:uid="{8D815DD2-AA0C-497B-9D75-73CA0A76CDAE}"/>
    <cellStyle name="Normal 4 6 3 6 3 4" xfId="14868" xr:uid="{347D33A4-CBDF-4191-87BA-78F69E47352E}"/>
    <cellStyle name="Normal 4 6 3 6 4" xfId="19091" xr:uid="{6A56D2B0-467A-438D-A80A-0DF26A6FD598}"/>
    <cellStyle name="Normal 4 6 3 6 5" xfId="27536" xr:uid="{E1ACB4AD-04AC-42DA-8CDD-E542AD6F60E4}"/>
    <cellStyle name="Normal 4 6 3 6 6" xfId="10650" xr:uid="{6CCBCD11-8DEB-439D-A6D7-74FA03E0BA36}"/>
    <cellStyle name="Normal 4 6 3 7" xfId="2555" xr:uid="{00000000-0005-0000-0000-000078160000}"/>
    <cellStyle name="Normal 4 6 3 7 2" xfId="6839" xr:uid="{00000000-0005-0000-0000-000079160000}"/>
    <cellStyle name="Normal 4 6 3 7 2 2" xfId="23722" xr:uid="{DC2AC17F-7561-4C5D-8AAE-4FD46FE470E6}"/>
    <cellStyle name="Normal 4 6 3 7 2 3" xfId="32168" xr:uid="{FDD6FE7A-A054-4296-B40B-F3138C48FFAD}"/>
    <cellStyle name="Normal 4 6 3 7 2 4" xfId="15281" xr:uid="{34976FC2-0120-4965-A0B3-F55A5D7A2345}"/>
    <cellStyle name="Normal 4 6 3 7 3" xfId="19504" xr:uid="{AF28757B-4F6D-4A11-B273-554C27EBD891}"/>
    <cellStyle name="Normal 4 6 3 7 4" xfId="27949" xr:uid="{4B9825CA-C8D1-4923-9CB4-FE12954A93F0}"/>
    <cellStyle name="Normal 4 6 3 7 5" xfId="11063" xr:uid="{32917412-A683-4D09-B1E0-8F5B31899DEC}"/>
    <cellStyle name="Normal 4 6 3 8" xfId="4774" xr:uid="{00000000-0005-0000-0000-00007A160000}"/>
    <cellStyle name="Normal 4 6 3 8 2" xfId="21657" xr:uid="{CE5D881D-52ED-4980-847C-F544E2DAE214}"/>
    <cellStyle name="Normal 4 6 3 8 3" xfId="30103" xr:uid="{28885E86-83FC-4CE3-996A-F8257318A672}"/>
    <cellStyle name="Normal 4 6 3 8 4" xfId="13216" xr:uid="{CCDBB60B-C6EB-46C7-94C7-C638BE7A7E07}"/>
    <cellStyle name="Normal 4 6 3 9" xfId="17439" xr:uid="{BBDB4FD0-58C9-421E-866E-A2C541D67936}"/>
    <cellStyle name="Normal 4 6 4" xfId="402" xr:uid="{00000000-0005-0000-0000-00007B160000}"/>
    <cellStyle name="Normal 4 6 4 10" xfId="9000" xr:uid="{73F091D9-D5B3-4C85-BE7B-5BFAD3AD300B}"/>
    <cellStyle name="Normal 4 6 4 2" xfId="876" xr:uid="{00000000-0005-0000-0000-00007C160000}"/>
    <cellStyle name="Normal 4 6 4 2 2" xfId="3111" xr:uid="{00000000-0005-0000-0000-00007D160000}"/>
    <cellStyle name="Normal 4 6 4 2 2 2" xfId="7334" xr:uid="{00000000-0005-0000-0000-00007E160000}"/>
    <cellStyle name="Normal 4 6 4 2 2 2 2" xfId="24217" xr:uid="{07FD3AF3-80B7-40BD-8D7C-D0012D8851FF}"/>
    <cellStyle name="Normal 4 6 4 2 2 2 3" xfId="32663" xr:uid="{137B4764-0D9D-4302-A958-13118CEF2609}"/>
    <cellStyle name="Normal 4 6 4 2 2 2 4" xfId="15776" xr:uid="{A758A2CD-D323-49E1-A3DD-153521BC527D}"/>
    <cellStyle name="Normal 4 6 4 2 2 3" xfId="19999" xr:uid="{A681831B-BAC1-41A5-B905-CAFD766027D7}"/>
    <cellStyle name="Normal 4 6 4 2 2 4" xfId="28446" xr:uid="{B6930A09-39F1-4569-9A08-BBEA3772EA0C}"/>
    <cellStyle name="Normal 4 6 4 2 2 5" xfId="11558" xr:uid="{48E7F479-FF1E-46BE-9A73-8BC36220B4F6}"/>
    <cellStyle name="Normal 4 6 4 2 3" xfId="5189" xr:uid="{00000000-0005-0000-0000-00007F160000}"/>
    <cellStyle name="Normal 4 6 4 2 3 2" xfId="22072" xr:uid="{E7E3E6B1-9064-4503-A56A-AB6A009435C3}"/>
    <cellStyle name="Normal 4 6 4 2 3 3" xfId="30518" xr:uid="{D799312A-7FB9-4472-9D4F-78B2A97A30B6}"/>
    <cellStyle name="Normal 4 6 4 2 3 4" xfId="13631" xr:uid="{450BFE5C-84A4-4CE4-8061-8AC0F869CC55}"/>
    <cellStyle name="Normal 4 6 4 2 4" xfId="17854" xr:uid="{AE273551-6851-41D2-9AEC-797B092A096D}"/>
    <cellStyle name="Normal 4 6 4 2 5" xfId="26299" xr:uid="{2A973DC6-0ED3-4823-B9C3-F8B7338FE163}"/>
    <cellStyle name="Normal 4 6 4 2 6" xfId="9413" xr:uid="{D28C842E-CBE9-4D22-8075-AFC4984DC992}"/>
    <cellStyle name="Normal 4 6 4 3" xfId="1294" xr:uid="{00000000-0005-0000-0000-000080160000}"/>
    <cellStyle name="Normal 4 6 4 3 2" xfId="3524" xr:uid="{00000000-0005-0000-0000-000081160000}"/>
    <cellStyle name="Normal 4 6 4 3 2 2" xfId="7747" xr:uid="{00000000-0005-0000-0000-000082160000}"/>
    <cellStyle name="Normal 4 6 4 3 2 2 2" xfId="24630" xr:uid="{AC829222-4353-40C9-9508-7B48995CE9F4}"/>
    <cellStyle name="Normal 4 6 4 3 2 2 3" xfId="33076" xr:uid="{4877A63A-1019-4E59-A9A1-CFD676B32FDE}"/>
    <cellStyle name="Normal 4 6 4 3 2 2 4" xfId="16189" xr:uid="{651A5927-CE44-4A89-BC19-AC12476A82C3}"/>
    <cellStyle name="Normal 4 6 4 3 2 3" xfId="20412" xr:uid="{DE418144-FFAF-4350-B62D-7028CD3CC783}"/>
    <cellStyle name="Normal 4 6 4 3 2 4" xfId="28859" xr:uid="{82B0D218-A7E2-4F02-8F8F-46B9D8C953E9}"/>
    <cellStyle name="Normal 4 6 4 3 2 5" xfId="11971" xr:uid="{97CB943B-6397-4E50-8EA8-D750E485210F}"/>
    <cellStyle name="Normal 4 6 4 3 3" xfId="5602" xr:uid="{00000000-0005-0000-0000-000083160000}"/>
    <cellStyle name="Normal 4 6 4 3 3 2" xfId="22485" xr:uid="{E40BE1F6-6130-444A-9C92-FCE47A103BCD}"/>
    <cellStyle name="Normal 4 6 4 3 3 3" xfId="30931" xr:uid="{E56525A4-1590-4478-B1A4-58AA4F1E5225}"/>
    <cellStyle name="Normal 4 6 4 3 3 4" xfId="14044" xr:uid="{55B63E9A-318C-4D25-9A26-475C4ECED39D}"/>
    <cellStyle name="Normal 4 6 4 3 4" xfId="18267" xr:uid="{D2AA72D2-6308-45FB-9792-6460F1E10480}"/>
    <cellStyle name="Normal 4 6 4 3 5" xfId="26712" xr:uid="{A301DB24-B4E7-488D-A293-56C5A5C69A8D}"/>
    <cellStyle name="Normal 4 6 4 3 6" xfId="9826" xr:uid="{328B2640-3F74-4FF6-9096-CF05DD41EF61}"/>
    <cellStyle name="Normal 4 6 4 4" xfId="1707" xr:uid="{00000000-0005-0000-0000-000084160000}"/>
    <cellStyle name="Normal 4 6 4 4 2" xfId="3937" xr:uid="{00000000-0005-0000-0000-000085160000}"/>
    <cellStyle name="Normal 4 6 4 4 2 2" xfId="8160" xr:uid="{00000000-0005-0000-0000-000086160000}"/>
    <cellStyle name="Normal 4 6 4 4 2 2 2" xfId="25043" xr:uid="{0B7A9798-7662-44A0-9BBB-BC6235959AD6}"/>
    <cellStyle name="Normal 4 6 4 4 2 2 3" xfId="33489" xr:uid="{B93E88C6-D713-4F82-B2A5-275FF1C4E626}"/>
    <cellStyle name="Normal 4 6 4 4 2 2 4" xfId="16602" xr:uid="{BF5C69A3-7ED2-4A04-B370-2865ED776B93}"/>
    <cellStyle name="Normal 4 6 4 4 2 3" xfId="20825" xr:uid="{A904D068-FAAB-4450-B3DC-79B03652D346}"/>
    <cellStyle name="Normal 4 6 4 4 2 4" xfId="29272" xr:uid="{BBAD2661-7A91-4878-BC25-5A5B236ECC61}"/>
    <cellStyle name="Normal 4 6 4 4 2 5" xfId="12384" xr:uid="{0E08D333-2DD3-4EE9-B53C-3D9EF69DE983}"/>
    <cellStyle name="Normal 4 6 4 4 3" xfId="6015" xr:uid="{00000000-0005-0000-0000-000087160000}"/>
    <cellStyle name="Normal 4 6 4 4 3 2" xfId="22898" xr:uid="{43886569-55F6-4790-B032-4365F5CA7DDE}"/>
    <cellStyle name="Normal 4 6 4 4 3 3" xfId="31344" xr:uid="{9C269A13-9DF4-43C9-8271-FA6F9F71931B}"/>
    <cellStyle name="Normal 4 6 4 4 3 4" xfId="14457" xr:uid="{EB9C1C75-1EAD-421B-BE5E-D2BF7ADCBEAA}"/>
    <cellStyle name="Normal 4 6 4 4 4" xfId="18680" xr:uid="{1B0F712A-2411-473A-B6F5-338F156085A0}"/>
    <cellStyle name="Normal 4 6 4 4 5" xfId="27125" xr:uid="{0FBA6450-E0F8-4A67-A587-0BA91FB5739F}"/>
    <cellStyle name="Normal 4 6 4 4 6" xfId="10239" xr:uid="{F2EAE7D2-D6B1-4A60-8219-ABC1DB90891E}"/>
    <cellStyle name="Normal 4 6 4 5" xfId="2121" xr:uid="{00000000-0005-0000-0000-000088160000}"/>
    <cellStyle name="Normal 4 6 4 5 2" xfId="4350" xr:uid="{00000000-0005-0000-0000-000089160000}"/>
    <cellStyle name="Normal 4 6 4 5 2 2" xfId="8573" xr:uid="{00000000-0005-0000-0000-00008A160000}"/>
    <cellStyle name="Normal 4 6 4 5 2 2 2" xfId="25456" xr:uid="{66C1660F-066A-42F8-9491-1E1D9B4A2392}"/>
    <cellStyle name="Normal 4 6 4 5 2 2 3" xfId="33902" xr:uid="{20982C39-A1DC-4DD0-874B-07031CA16F66}"/>
    <cellStyle name="Normal 4 6 4 5 2 2 4" xfId="17015" xr:uid="{B934D966-B4C0-449C-B47E-1132981D67F1}"/>
    <cellStyle name="Normal 4 6 4 5 2 3" xfId="21238" xr:uid="{27293FA5-FEE5-4BD9-8ADF-CD99103E369F}"/>
    <cellStyle name="Normal 4 6 4 5 2 4" xfId="29685" xr:uid="{36C9941C-05CB-42E8-89C0-229413C5F12B}"/>
    <cellStyle name="Normal 4 6 4 5 2 5" xfId="12797" xr:uid="{D70FC647-CA83-4170-B531-551027DCE74B}"/>
    <cellStyle name="Normal 4 6 4 5 3" xfId="6428" xr:uid="{00000000-0005-0000-0000-00008B160000}"/>
    <cellStyle name="Normal 4 6 4 5 3 2" xfId="23311" xr:uid="{8103F893-9AE2-4922-B851-55060408E052}"/>
    <cellStyle name="Normal 4 6 4 5 3 3" xfId="31757" xr:uid="{4F5848FB-F96D-44CD-BCC7-B215C6E3FBC6}"/>
    <cellStyle name="Normal 4 6 4 5 3 4" xfId="14870" xr:uid="{790F3A45-F7A7-4075-8022-A855C96D549B}"/>
    <cellStyle name="Normal 4 6 4 5 4" xfId="19093" xr:uid="{4A7C58DE-DAF9-413F-8B85-7061603B9ABB}"/>
    <cellStyle name="Normal 4 6 4 5 5" xfId="27538" xr:uid="{7706ED10-AC1B-4D6E-B460-3E4E5CD241EB}"/>
    <cellStyle name="Normal 4 6 4 5 6" xfId="10652" xr:uid="{3EBDA313-123E-4F25-AE62-3BE9BF2626D4}"/>
    <cellStyle name="Normal 4 6 4 6" xfId="2557" xr:uid="{00000000-0005-0000-0000-00008C160000}"/>
    <cellStyle name="Normal 4 6 4 6 2" xfId="6841" xr:uid="{00000000-0005-0000-0000-00008D160000}"/>
    <cellStyle name="Normal 4 6 4 6 2 2" xfId="23724" xr:uid="{B3A8A99D-3DB8-4DCA-8CFC-7FE1D192232D}"/>
    <cellStyle name="Normal 4 6 4 6 2 3" xfId="32170" xr:uid="{16F3454F-B67E-4BC2-BBA4-23E42831FB50}"/>
    <cellStyle name="Normal 4 6 4 6 2 4" xfId="15283" xr:uid="{958C9FF4-08C0-4944-AD42-4032077F730B}"/>
    <cellStyle name="Normal 4 6 4 6 3" xfId="19506" xr:uid="{B8AFE9AC-5402-4233-8DB8-FAD4B2957F67}"/>
    <cellStyle name="Normal 4 6 4 6 4" xfId="27951" xr:uid="{251BB81E-DBC7-408C-B69A-227E96157F0A}"/>
    <cellStyle name="Normal 4 6 4 6 5" xfId="11065" xr:uid="{4A903D19-970F-485D-8ACC-8EFF98891DB5}"/>
    <cellStyle name="Normal 4 6 4 7" xfId="4776" xr:uid="{00000000-0005-0000-0000-00008E160000}"/>
    <cellStyle name="Normal 4 6 4 7 2" xfId="21659" xr:uid="{B00B74DF-1E28-493C-A218-15413154C734}"/>
    <cellStyle name="Normal 4 6 4 7 3" xfId="30105" xr:uid="{90780019-DA55-464F-ACC3-60892B08D686}"/>
    <cellStyle name="Normal 4 6 4 7 4" xfId="13218" xr:uid="{4B840B85-A83D-4266-ABA3-BE7A58B15A46}"/>
    <cellStyle name="Normal 4 6 4 8" xfId="17441" xr:uid="{7F6EAF2B-9FE9-4959-B983-F0F8EA8E6400}"/>
    <cellStyle name="Normal 4 6 4 9" xfId="25885" xr:uid="{69D11A77-7770-4714-86B9-011B14DE25A6}"/>
    <cellStyle name="Normal 4 6 5" xfId="869" xr:uid="{00000000-0005-0000-0000-00008F160000}"/>
    <cellStyle name="Normal 4 6 5 2" xfId="3104" xr:uid="{00000000-0005-0000-0000-000090160000}"/>
    <cellStyle name="Normal 4 6 5 2 2" xfId="7327" xr:uid="{00000000-0005-0000-0000-000091160000}"/>
    <cellStyle name="Normal 4 6 5 2 2 2" xfId="24210" xr:uid="{1CA79E2F-CB78-4668-AE7E-FAABE010CF9F}"/>
    <cellStyle name="Normal 4 6 5 2 2 3" xfId="32656" xr:uid="{B7C696E6-DF04-4BCA-B8E8-07646240ECE5}"/>
    <cellStyle name="Normal 4 6 5 2 2 4" xfId="15769" xr:uid="{164FD676-80F6-4D3B-9CD5-B0998F982863}"/>
    <cellStyle name="Normal 4 6 5 2 3" xfId="19992" xr:uid="{A2D1E327-8320-4CD3-9505-95A1A7D7B494}"/>
    <cellStyle name="Normal 4 6 5 2 4" xfId="28439" xr:uid="{5B1E1847-0E24-442F-8201-FB4B7BF02EE4}"/>
    <cellStyle name="Normal 4 6 5 2 5" xfId="11551" xr:uid="{3DA56E76-E763-410D-A719-EFDBC958FED1}"/>
    <cellStyle name="Normal 4 6 5 3" xfId="5182" xr:uid="{00000000-0005-0000-0000-000092160000}"/>
    <cellStyle name="Normal 4 6 5 3 2" xfId="22065" xr:uid="{EB3D4DF8-2463-4BB8-A733-FEA9B7F0AC58}"/>
    <cellStyle name="Normal 4 6 5 3 3" xfId="30511" xr:uid="{B5E76794-4629-4CBA-ABC4-D0B7242C69DF}"/>
    <cellStyle name="Normal 4 6 5 3 4" xfId="13624" xr:uid="{3BD113AC-55FA-412E-9493-F7C009881BFB}"/>
    <cellStyle name="Normal 4 6 5 4" xfId="17847" xr:uid="{7A6E5E2E-1B57-47CA-BBE5-A412550FF57E}"/>
    <cellStyle name="Normal 4 6 5 5" xfId="26292" xr:uid="{FF487832-3411-4261-978A-9F8FBF84EBD0}"/>
    <cellStyle name="Normal 4 6 5 6" xfId="9406" xr:uid="{1F10AE2E-3B9D-4C79-B480-714C6D8B1293}"/>
    <cellStyle name="Normal 4 6 6" xfId="1287" xr:uid="{00000000-0005-0000-0000-000093160000}"/>
    <cellStyle name="Normal 4 6 6 2" xfId="3517" xr:uid="{00000000-0005-0000-0000-000094160000}"/>
    <cellStyle name="Normal 4 6 6 2 2" xfId="7740" xr:uid="{00000000-0005-0000-0000-000095160000}"/>
    <cellStyle name="Normal 4 6 6 2 2 2" xfId="24623" xr:uid="{03114EF5-BEC4-46AD-932A-CB0182ADFFE3}"/>
    <cellStyle name="Normal 4 6 6 2 2 3" xfId="33069" xr:uid="{D48355F2-4DA0-4219-9BB9-74595578B282}"/>
    <cellStyle name="Normal 4 6 6 2 2 4" xfId="16182" xr:uid="{056999FE-CD5E-4E4A-A946-A78A7AAC4215}"/>
    <cellStyle name="Normal 4 6 6 2 3" xfId="20405" xr:uid="{15F020EE-12A3-46E7-983B-6F28152FECA6}"/>
    <cellStyle name="Normal 4 6 6 2 4" xfId="28852" xr:uid="{1960C8FB-908C-4873-BC31-871FA84471A3}"/>
    <cellStyle name="Normal 4 6 6 2 5" xfId="11964" xr:uid="{9CBD50DF-594F-49BE-A22B-14F3AC182B38}"/>
    <cellStyle name="Normal 4 6 6 3" xfId="5595" xr:uid="{00000000-0005-0000-0000-000096160000}"/>
    <cellStyle name="Normal 4 6 6 3 2" xfId="22478" xr:uid="{222BEB42-D0B7-42E6-B7A2-87CF11FAD38D}"/>
    <cellStyle name="Normal 4 6 6 3 3" xfId="30924" xr:uid="{56690592-6B0C-4E56-A266-63355E03A3F2}"/>
    <cellStyle name="Normal 4 6 6 3 4" xfId="14037" xr:uid="{AD6F8ED8-0FDF-4F2E-AAC2-D0D69940C6E7}"/>
    <cellStyle name="Normal 4 6 6 4" xfId="18260" xr:uid="{A5D0B714-8497-48E2-A2A4-3E6BDD5185BC}"/>
    <cellStyle name="Normal 4 6 6 5" xfId="26705" xr:uid="{632760DD-EBB3-49BF-9FCF-BE3D9F1166D5}"/>
    <cellStyle name="Normal 4 6 6 6" xfId="9819" xr:uid="{77B8CFE9-0ADA-49D8-AF14-5D3ECDA92763}"/>
    <cellStyle name="Normal 4 6 7" xfId="1700" xr:uid="{00000000-0005-0000-0000-000097160000}"/>
    <cellStyle name="Normal 4 6 7 2" xfId="3930" xr:uid="{00000000-0005-0000-0000-000098160000}"/>
    <cellStyle name="Normal 4 6 7 2 2" xfId="8153" xr:uid="{00000000-0005-0000-0000-000099160000}"/>
    <cellStyle name="Normal 4 6 7 2 2 2" xfId="25036" xr:uid="{2B237418-156C-46C9-A523-8CA520E65AB2}"/>
    <cellStyle name="Normal 4 6 7 2 2 3" xfId="33482" xr:uid="{580B398F-6F98-426A-889A-DB208BF8CDF3}"/>
    <cellStyle name="Normal 4 6 7 2 2 4" xfId="16595" xr:uid="{D142142C-AE4D-44A2-BC0E-F2F84319C1B9}"/>
    <cellStyle name="Normal 4 6 7 2 3" xfId="20818" xr:uid="{158862B5-BE13-412B-BE62-0C59157B33D1}"/>
    <cellStyle name="Normal 4 6 7 2 4" xfId="29265" xr:uid="{CDBE35B5-A4A1-4C38-8834-E6054F42B11D}"/>
    <cellStyle name="Normal 4 6 7 2 5" xfId="12377" xr:uid="{9652CBA9-38AF-41C5-9D13-FEE5E1EB05B6}"/>
    <cellStyle name="Normal 4 6 7 3" xfId="6008" xr:uid="{00000000-0005-0000-0000-00009A160000}"/>
    <cellStyle name="Normal 4 6 7 3 2" xfId="22891" xr:uid="{DAA47D04-720F-439E-B785-88592B0F3B66}"/>
    <cellStyle name="Normal 4 6 7 3 3" xfId="31337" xr:uid="{56C044AC-6F88-432A-9B12-193B82D5D7E4}"/>
    <cellStyle name="Normal 4 6 7 3 4" xfId="14450" xr:uid="{D33C70E6-01CB-4261-88FB-AB8F9297F214}"/>
    <cellStyle name="Normal 4 6 7 4" xfId="18673" xr:uid="{3C66D1D7-10EB-4AA3-8759-15A249D441A1}"/>
    <cellStyle name="Normal 4 6 7 5" xfId="27118" xr:uid="{FD35F2B0-12DC-410F-AFE6-5A1B9D955D4C}"/>
    <cellStyle name="Normal 4 6 7 6" xfId="10232" xr:uid="{E3A5EB73-1E72-44FA-978E-FC4DD9DD8EF2}"/>
    <cellStyle name="Normal 4 6 8" xfId="2114" xr:uid="{00000000-0005-0000-0000-00009B160000}"/>
    <cellStyle name="Normal 4 6 8 2" xfId="4343" xr:uid="{00000000-0005-0000-0000-00009C160000}"/>
    <cellStyle name="Normal 4 6 8 2 2" xfId="8566" xr:uid="{00000000-0005-0000-0000-00009D160000}"/>
    <cellStyle name="Normal 4 6 8 2 2 2" xfId="25449" xr:uid="{839DB64E-AAC4-4270-9925-A4A3D388DEBD}"/>
    <cellStyle name="Normal 4 6 8 2 2 3" xfId="33895" xr:uid="{B0337313-4B9E-4658-B1E6-0E4D905A97E3}"/>
    <cellStyle name="Normal 4 6 8 2 2 4" xfId="17008" xr:uid="{8FAF66F2-A8D7-4A0F-BF36-DA67A428D1DE}"/>
    <cellStyle name="Normal 4 6 8 2 3" xfId="21231" xr:uid="{7612B92E-C5EA-4446-8B3B-4BAEB8E7A334}"/>
    <cellStyle name="Normal 4 6 8 2 4" xfId="29678" xr:uid="{6E5D11C0-3269-4660-9A7B-85D45CC865EC}"/>
    <cellStyle name="Normal 4 6 8 2 5" xfId="12790" xr:uid="{2F494D53-90C2-410B-869B-B5CD36653CB7}"/>
    <cellStyle name="Normal 4 6 8 3" xfId="6421" xr:uid="{00000000-0005-0000-0000-00009E160000}"/>
    <cellStyle name="Normal 4 6 8 3 2" xfId="23304" xr:uid="{BC6425EF-F5A5-4FFC-B5C5-14DFCF5CA0CD}"/>
    <cellStyle name="Normal 4 6 8 3 3" xfId="31750" xr:uid="{F4062CAD-C959-4380-BAAD-29EFC85FE14F}"/>
    <cellStyle name="Normal 4 6 8 3 4" xfId="14863" xr:uid="{746A2B58-29B1-43FB-9C4C-EF4CDDEC72CC}"/>
    <cellStyle name="Normal 4 6 8 4" xfId="19086" xr:uid="{C83A5955-E34F-4E3D-AC56-20C0364514C5}"/>
    <cellStyle name="Normal 4 6 8 5" xfId="27531" xr:uid="{05C8E7FD-9222-4A5E-A8BC-BC0A09B59517}"/>
    <cellStyle name="Normal 4 6 8 6" xfId="10645" xr:uid="{7AA3D586-ABD5-4916-81D4-FAE4306F72D4}"/>
    <cellStyle name="Normal 4 6 9" xfId="2550" xr:uid="{00000000-0005-0000-0000-00009F160000}"/>
    <cellStyle name="Normal 4 6 9 2" xfId="6834" xr:uid="{00000000-0005-0000-0000-0000A0160000}"/>
    <cellStyle name="Normal 4 6 9 2 2" xfId="23717" xr:uid="{B0C6A491-22CF-4DED-8A14-2E12422B99CA}"/>
    <cellStyle name="Normal 4 6 9 2 3" xfId="32163" xr:uid="{F1B10180-FF17-4045-B6A8-8210EF9A4E36}"/>
    <cellStyle name="Normal 4 6 9 2 4" xfId="15276" xr:uid="{F5C6E5B9-AFD3-4953-A9E6-7B338A0EC40A}"/>
    <cellStyle name="Normal 4 6 9 3" xfId="19499" xr:uid="{3CA20732-0B2B-4C59-8E9A-FE809DF315B3}"/>
    <cellStyle name="Normal 4 6 9 4" xfId="27944" xr:uid="{86D41E9B-2301-408D-883D-64A5D6AB9E19}"/>
    <cellStyle name="Normal 4 6 9 5" xfId="11058" xr:uid="{A097E1A5-D9CD-4CDB-A862-3C088C6FE198}"/>
    <cellStyle name="Normal 4 7" xfId="403" xr:uid="{00000000-0005-0000-0000-0000A1160000}"/>
    <cellStyle name="Normal 4 7 10" xfId="25886" xr:uid="{F25E2DBD-1BBF-4DDA-9037-DF9FA613D882}"/>
    <cellStyle name="Normal 4 7 11" xfId="9001" xr:uid="{F37D70DC-BE83-4D53-9A49-561F10BBDD74}"/>
    <cellStyle name="Normal 4 7 2" xfId="404" xr:uid="{00000000-0005-0000-0000-0000A2160000}"/>
    <cellStyle name="Normal 4 7 2 10" xfId="9002" xr:uid="{D16F704B-D8DC-4BBC-B86C-5A5FC9414956}"/>
    <cellStyle name="Normal 4 7 2 2" xfId="878" xr:uid="{00000000-0005-0000-0000-0000A3160000}"/>
    <cellStyle name="Normal 4 7 2 2 2" xfId="3113" xr:uid="{00000000-0005-0000-0000-0000A4160000}"/>
    <cellStyle name="Normal 4 7 2 2 2 2" xfId="7336" xr:uid="{00000000-0005-0000-0000-0000A5160000}"/>
    <cellStyle name="Normal 4 7 2 2 2 2 2" xfId="24219" xr:uid="{6AE82897-A78F-4AA2-8BA2-6877D63F5342}"/>
    <cellStyle name="Normal 4 7 2 2 2 2 3" xfId="32665" xr:uid="{14124A8D-9973-4632-930F-3282CD8586BF}"/>
    <cellStyle name="Normal 4 7 2 2 2 2 4" xfId="15778" xr:uid="{4B72C8E5-C756-48C1-ADE7-14E81F52B9D5}"/>
    <cellStyle name="Normal 4 7 2 2 2 3" xfId="20001" xr:uid="{A6F5F491-7D45-4608-9B6B-ABF0A0DC97E8}"/>
    <cellStyle name="Normal 4 7 2 2 2 4" xfId="28448" xr:uid="{067456E4-3ABF-4CDB-8BB9-BAD51E1C59F3}"/>
    <cellStyle name="Normal 4 7 2 2 2 5" xfId="11560" xr:uid="{12A1D2C4-5E65-45FF-9CE9-F4269E6EE4C8}"/>
    <cellStyle name="Normal 4 7 2 2 3" xfId="5191" xr:uid="{00000000-0005-0000-0000-0000A6160000}"/>
    <cellStyle name="Normal 4 7 2 2 3 2" xfId="22074" xr:uid="{6D1A25A8-72DC-4F73-8A50-98A472AAE1CD}"/>
    <cellStyle name="Normal 4 7 2 2 3 3" xfId="30520" xr:uid="{C8928BC5-4E08-425E-8456-E3A340D88CCC}"/>
    <cellStyle name="Normal 4 7 2 2 3 4" xfId="13633" xr:uid="{B8835705-510A-4F6A-9676-C6C5EEFC327D}"/>
    <cellStyle name="Normal 4 7 2 2 4" xfId="17856" xr:uid="{BCA8C8B2-5832-4BE6-8853-E5741B080145}"/>
    <cellStyle name="Normal 4 7 2 2 5" xfId="26301" xr:uid="{1DB75CE0-0F42-4726-B2CD-0BB7F6D08CCF}"/>
    <cellStyle name="Normal 4 7 2 2 6" xfId="9415" xr:uid="{6A71360F-AFFA-4AB1-BD5E-3A45CB76D4FF}"/>
    <cellStyle name="Normal 4 7 2 3" xfId="1296" xr:uid="{00000000-0005-0000-0000-0000A7160000}"/>
    <cellStyle name="Normal 4 7 2 3 2" xfId="3526" xr:uid="{00000000-0005-0000-0000-0000A8160000}"/>
    <cellStyle name="Normal 4 7 2 3 2 2" xfId="7749" xr:uid="{00000000-0005-0000-0000-0000A9160000}"/>
    <cellStyle name="Normal 4 7 2 3 2 2 2" xfId="24632" xr:uid="{595249DE-0BA6-4510-9A51-3B844D727CB3}"/>
    <cellStyle name="Normal 4 7 2 3 2 2 3" xfId="33078" xr:uid="{877206C4-9560-4BD9-98D5-102CD4D72B89}"/>
    <cellStyle name="Normal 4 7 2 3 2 2 4" xfId="16191" xr:uid="{7FD375B9-9DA3-49EB-A906-21E50F3205E6}"/>
    <cellStyle name="Normal 4 7 2 3 2 3" xfId="20414" xr:uid="{03E4CBC0-A84D-435E-84C9-A10F616D853C}"/>
    <cellStyle name="Normal 4 7 2 3 2 4" xfId="28861" xr:uid="{C58E0F42-8A5A-4620-B841-E50CE7C562A9}"/>
    <cellStyle name="Normal 4 7 2 3 2 5" xfId="11973" xr:uid="{3D8DBA68-02CC-44DC-9B87-B7D8CD706F70}"/>
    <cellStyle name="Normal 4 7 2 3 3" xfId="5604" xr:uid="{00000000-0005-0000-0000-0000AA160000}"/>
    <cellStyle name="Normal 4 7 2 3 3 2" xfId="22487" xr:uid="{1013848D-A87B-49BA-82E9-28F87E2F191A}"/>
    <cellStyle name="Normal 4 7 2 3 3 3" xfId="30933" xr:uid="{E9CE98E7-C94C-482E-968E-E3265A75D672}"/>
    <cellStyle name="Normal 4 7 2 3 3 4" xfId="14046" xr:uid="{A3D77479-B2CA-480F-B3F5-E4C2E3759C75}"/>
    <cellStyle name="Normal 4 7 2 3 4" xfId="18269" xr:uid="{B1BCF7D5-C994-40FD-B64B-DE2AFAB7DC25}"/>
    <cellStyle name="Normal 4 7 2 3 5" xfId="26714" xr:uid="{FD0F12E2-D3E9-490A-AA35-B54FFF9700D8}"/>
    <cellStyle name="Normal 4 7 2 3 6" xfId="9828" xr:uid="{6A81DAF9-4705-48CB-A763-34519F41ED68}"/>
    <cellStyle name="Normal 4 7 2 4" xfId="1709" xr:uid="{00000000-0005-0000-0000-0000AB160000}"/>
    <cellStyle name="Normal 4 7 2 4 2" xfId="3939" xr:uid="{00000000-0005-0000-0000-0000AC160000}"/>
    <cellStyle name="Normal 4 7 2 4 2 2" xfId="8162" xr:uid="{00000000-0005-0000-0000-0000AD160000}"/>
    <cellStyle name="Normal 4 7 2 4 2 2 2" xfId="25045" xr:uid="{EB536D30-8F0C-4E8F-AB8B-790395BF58DD}"/>
    <cellStyle name="Normal 4 7 2 4 2 2 3" xfId="33491" xr:uid="{E23C8EA8-463F-46FB-82C5-648C448B4DF5}"/>
    <cellStyle name="Normal 4 7 2 4 2 2 4" xfId="16604" xr:uid="{00B1DF54-B5C1-4499-A109-4B58A2B52D84}"/>
    <cellStyle name="Normal 4 7 2 4 2 3" xfId="20827" xr:uid="{A0AB7F4A-8B74-4461-A68B-144CD4439814}"/>
    <cellStyle name="Normal 4 7 2 4 2 4" xfId="29274" xr:uid="{29C3F8A4-EC08-456A-95C7-9253E6633A1C}"/>
    <cellStyle name="Normal 4 7 2 4 2 5" xfId="12386" xr:uid="{9612947C-90A1-414B-9443-B4B5D36C7498}"/>
    <cellStyle name="Normal 4 7 2 4 3" xfId="6017" xr:uid="{00000000-0005-0000-0000-0000AE160000}"/>
    <cellStyle name="Normal 4 7 2 4 3 2" xfId="22900" xr:uid="{881FE347-A47C-400C-95C7-223146AE9285}"/>
    <cellStyle name="Normal 4 7 2 4 3 3" xfId="31346" xr:uid="{95973E85-91CA-4417-AE58-03849FE96199}"/>
    <cellStyle name="Normal 4 7 2 4 3 4" xfId="14459" xr:uid="{20BB01AA-BB8A-455D-BA0C-3E28E241C261}"/>
    <cellStyle name="Normal 4 7 2 4 4" xfId="18682" xr:uid="{77B92BFB-9809-46EE-91B1-E7BCA854711A}"/>
    <cellStyle name="Normal 4 7 2 4 5" xfId="27127" xr:uid="{BB13BE4E-C0F2-41D6-9ABE-63759CF2BAC6}"/>
    <cellStyle name="Normal 4 7 2 4 6" xfId="10241" xr:uid="{399DE68D-7652-4FF8-992C-9CFA43C73BBA}"/>
    <cellStyle name="Normal 4 7 2 5" xfId="2123" xr:uid="{00000000-0005-0000-0000-0000AF160000}"/>
    <cellStyle name="Normal 4 7 2 5 2" xfId="4352" xr:uid="{00000000-0005-0000-0000-0000B0160000}"/>
    <cellStyle name="Normal 4 7 2 5 2 2" xfId="8575" xr:uid="{00000000-0005-0000-0000-0000B1160000}"/>
    <cellStyle name="Normal 4 7 2 5 2 2 2" xfId="25458" xr:uid="{9432D7EE-882E-4B26-B8BC-CE41C9E562A4}"/>
    <cellStyle name="Normal 4 7 2 5 2 2 3" xfId="33904" xr:uid="{6DC79CA1-93C6-4F13-8DE8-0F01967AAE31}"/>
    <cellStyle name="Normal 4 7 2 5 2 2 4" xfId="17017" xr:uid="{E8B1077A-224C-4EA9-AF52-ADA3A84CA2E1}"/>
    <cellStyle name="Normal 4 7 2 5 2 3" xfId="21240" xr:uid="{6A5C64CD-704B-4816-8695-F38EDA9C23D4}"/>
    <cellStyle name="Normal 4 7 2 5 2 4" xfId="29687" xr:uid="{F804CF7C-4972-4A7F-B4BE-34901141322E}"/>
    <cellStyle name="Normal 4 7 2 5 2 5" xfId="12799" xr:uid="{717F3C69-0BAD-4136-AC40-83C4BF94643D}"/>
    <cellStyle name="Normal 4 7 2 5 3" xfId="6430" xr:uid="{00000000-0005-0000-0000-0000B2160000}"/>
    <cellStyle name="Normal 4 7 2 5 3 2" xfId="23313" xr:uid="{59251D69-56CE-40D9-B45F-9354FCA02CFB}"/>
    <cellStyle name="Normal 4 7 2 5 3 3" xfId="31759" xr:uid="{481503C8-E8A4-4BB1-AB39-4F7642051012}"/>
    <cellStyle name="Normal 4 7 2 5 3 4" xfId="14872" xr:uid="{E1D60264-8884-44CC-83FE-0A108BD7393F}"/>
    <cellStyle name="Normal 4 7 2 5 4" xfId="19095" xr:uid="{2AE82520-D648-44F9-8DAA-0EBC44FBE971}"/>
    <cellStyle name="Normal 4 7 2 5 5" xfId="27540" xr:uid="{AFA093EB-762D-4857-95C5-FFC80BA4A7EF}"/>
    <cellStyle name="Normal 4 7 2 5 6" xfId="10654" xr:uid="{FD9D3DC3-30F3-4296-9F24-A85341B0AB20}"/>
    <cellStyle name="Normal 4 7 2 6" xfId="2559" xr:uid="{00000000-0005-0000-0000-0000B3160000}"/>
    <cellStyle name="Normal 4 7 2 6 2" xfId="6843" xr:uid="{00000000-0005-0000-0000-0000B4160000}"/>
    <cellStyle name="Normal 4 7 2 6 2 2" xfId="23726" xr:uid="{96E17327-FE2B-4407-BCCD-971CEF301D7C}"/>
    <cellStyle name="Normal 4 7 2 6 2 3" xfId="32172" xr:uid="{407662E1-20C2-469E-BF34-EA4DF1FA0ADC}"/>
    <cellStyle name="Normal 4 7 2 6 2 4" xfId="15285" xr:uid="{6991B887-6758-4916-A016-BC2CB8BA9AE5}"/>
    <cellStyle name="Normal 4 7 2 6 3" xfId="19508" xr:uid="{9FCDE8AB-6E5D-4225-ACB2-B8BBBACE3F0E}"/>
    <cellStyle name="Normal 4 7 2 6 4" xfId="27953" xr:uid="{3035AE28-DBB9-4964-8BD8-5B294B856C2A}"/>
    <cellStyle name="Normal 4 7 2 6 5" xfId="11067" xr:uid="{3C705463-DF4B-4114-ACC3-88C0D7DA3333}"/>
    <cellStyle name="Normal 4 7 2 7" xfId="4778" xr:uid="{00000000-0005-0000-0000-0000B5160000}"/>
    <cellStyle name="Normal 4 7 2 7 2" xfId="21661" xr:uid="{01B48FF6-E795-4ABD-9FAD-6C513EF0FB22}"/>
    <cellStyle name="Normal 4 7 2 7 3" xfId="30107" xr:uid="{4C035123-9D95-4A14-A914-09CDC3EB53FB}"/>
    <cellStyle name="Normal 4 7 2 7 4" xfId="13220" xr:uid="{E844AB39-E3DF-4788-814E-F1FAC8C4C362}"/>
    <cellStyle name="Normal 4 7 2 8" xfId="17443" xr:uid="{DE7E5BAF-261A-45B3-8A55-2E586C6FC68B}"/>
    <cellStyle name="Normal 4 7 2 9" xfId="25887" xr:uid="{CBA2B159-2C82-49B4-88DD-B252D7E025A3}"/>
    <cellStyle name="Normal 4 7 3" xfId="877" xr:uid="{00000000-0005-0000-0000-0000B6160000}"/>
    <cellStyle name="Normal 4 7 3 2" xfId="3112" xr:uid="{00000000-0005-0000-0000-0000B7160000}"/>
    <cellStyle name="Normal 4 7 3 2 2" xfId="7335" xr:uid="{00000000-0005-0000-0000-0000B8160000}"/>
    <cellStyle name="Normal 4 7 3 2 2 2" xfId="24218" xr:uid="{D1A6CFD4-6865-4CED-B161-29D6B68D2350}"/>
    <cellStyle name="Normal 4 7 3 2 2 3" xfId="32664" xr:uid="{BA89D4B3-A213-46E2-A47D-702486992925}"/>
    <cellStyle name="Normal 4 7 3 2 2 4" xfId="15777" xr:uid="{1AA25075-4DA5-4D77-A3E2-62B0FBA7FBBD}"/>
    <cellStyle name="Normal 4 7 3 2 3" xfId="20000" xr:uid="{58D80651-3936-441F-BA4B-503EDEB82033}"/>
    <cellStyle name="Normal 4 7 3 2 4" xfId="28447" xr:uid="{CA770264-66E1-437F-BE0F-9838C57D5F60}"/>
    <cellStyle name="Normal 4 7 3 2 5" xfId="11559" xr:uid="{EEB9D8E7-ADC4-4192-B0C2-29B003774AD7}"/>
    <cellStyle name="Normal 4 7 3 3" xfId="5190" xr:uid="{00000000-0005-0000-0000-0000B9160000}"/>
    <cellStyle name="Normal 4 7 3 3 2" xfId="22073" xr:uid="{9422C458-7038-4F7E-BEE7-E4E8C14FF55A}"/>
    <cellStyle name="Normal 4 7 3 3 3" xfId="30519" xr:uid="{17ABDB5D-5975-4C56-9C34-3F06DB6F7767}"/>
    <cellStyle name="Normal 4 7 3 3 4" xfId="13632" xr:uid="{72573154-5717-46EA-BDE8-258351C70BA3}"/>
    <cellStyle name="Normal 4 7 3 4" xfId="17855" xr:uid="{5A2069DD-9E9C-43AA-AF9D-C138A17FD94B}"/>
    <cellStyle name="Normal 4 7 3 5" xfId="26300" xr:uid="{5BC72F93-ED69-45DF-87D6-9C98707FA0A4}"/>
    <cellStyle name="Normal 4 7 3 6" xfId="9414" xr:uid="{847E7CB1-5BCD-43DD-8A87-2F0893B8C26C}"/>
    <cellStyle name="Normal 4 7 4" xfId="1295" xr:uid="{00000000-0005-0000-0000-0000BA160000}"/>
    <cellStyle name="Normal 4 7 4 2" xfId="3525" xr:uid="{00000000-0005-0000-0000-0000BB160000}"/>
    <cellStyle name="Normal 4 7 4 2 2" xfId="7748" xr:uid="{00000000-0005-0000-0000-0000BC160000}"/>
    <cellStyle name="Normal 4 7 4 2 2 2" xfId="24631" xr:uid="{D685B186-2677-4E5C-9F48-2BDB8607686B}"/>
    <cellStyle name="Normal 4 7 4 2 2 3" xfId="33077" xr:uid="{457F03B9-4596-4223-8ADD-C263D3BA9FDC}"/>
    <cellStyle name="Normal 4 7 4 2 2 4" xfId="16190" xr:uid="{44B6D162-9126-454B-9FE9-3AB6961A3E95}"/>
    <cellStyle name="Normal 4 7 4 2 3" xfId="20413" xr:uid="{46C6E23A-72D9-4EF1-B2A2-7EDC6DBC0692}"/>
    <cellStyle name="Normal 4 7 4 2 4" xfId="28860" xr:uid="{818BC679-6A5C-4AEF-B280-2D0E6EA4DE35}"/>
    <cellStyle name="Normal 4 7 4 2 5" xfId="11972" xr:uid="{48DDE4EA-4D2A-4407-B3AA-B5CC1B5E9CC4}"/>
    <cellStyle name="Normal 4 7 4 3" xfId="5603" xr:uid="{00000000-0005-0000-0000-0000BD160000}"/>
    <cellStyle name="Normal 4 7 4 3 2" xfId="22486" xr:uid="{8AED20FB-0B34-4FFA-BED1-77B225A2DA2B}"/>
    <cellStyle name="Normal 4 7 4 3 3" xfId="30932" xr:uid="{B60B56AA-4539-4CAC-ADA0-18BDF71DA9A6}"/>
    <cellStyle name="Normal 4 7 4 3 4" xfId="14045" xr:uid="{97112FD6-977B-4289-91B5-CA1BC97EC84F}"/>
    <cellStyle name="Normal 4 7 4 4" xfId="18268" xr:uid="{F3A70168-AB7A-4010-B349-0BF67F62E1B2}"/>
    <cellStyle name="Normal 4 7 4 5" xfId="26713" xr:uid="{55485BA3-5306-49F4-BAC1-23675CEA6725}"/>
    <cellStyle name="Normal 4 7 4 6" xfId="9827" xr:uid="{B33B22C3-DD59-4D6F-B9C9-4C37DC96DECF}"/>
    <cellStyle name="Normal 4 7 5" xfId="1708" xr:uid="{00000000-0005-0000-0000-0000BE160000}"/>
    <cellStyle name="Normal 4 7 5 2" xfId="3938" xr:uid="{00000000-0005-0000-0000-0000BF160000}"/>
    <cellStyle name="Normal 4 7 5 2 2" xfId="8161" xr:uid="{00000000-0005-0000-0000-0000C0160000}"/>
    <cellStyle name="Normal 4 7 5 2 2 2" xfId="25044" xr:uid="{4FF08341-35EF-4380-8F59-0A561BDC733E}"/>
    <cellStyle name="Normal 4 7 5 2 2 3" xfId="33490" xr:uid="{57CC3E29-5FE8-4D7D-AEBA-7F71172FC137}"/>
    <cellStyle name="Normal 4 7 5 2 2 4" xfId="16603" xr:uid="{20C1A55E-1A50-4770-9339-E07786654942}"/>
    <cellStyle name="Normal 4 7 5 2 3" xfId="20826" xr:uid="{1779888C-F0C5-4A21-935A-5B1D640215A0}"/>
    <cellStyle name="Normal 4 7 5 2 4" xfId="29273" xr:uid="{8D53EEDB-AA9B-4B4B-8372-604AEC0976A8}"/>
    <cellStyle name="Normal 4 7 5 2 5" xfId="12385" xr:uid="{2109CD1C-8A27-4AB6-AA61-EF0A7A279EB6}"/>
    <cellStyle name="Normal 4 7 5 3" xfId="6016" xr:uid="{00000000-0005-0000-0000-0000C1160000}"/>
    <cellStyle name="Normal 4 7 5 3 2" xfId="22899" xr:uid="{65F5837B-C0E4-43CA-9D98-A801F91BFE7C}"/>
    <cellStyle name="Normal 4 7 5 3 3" xfId="31345" xr:uid="{21D66D42-B8FC-40AF-B83D-941FE2480D94}"/>
    <cellStyle name="Normal 4 7 5 3 4" xfId="14458" xr:uid="{A28A0A9F-3BA9-4E90-BAA5-3B10961D5DB5}"/>
    <cellStyle name="Normal 4 7 5 4" xfId="18681" xr:uid="{99BB98EB-886E-45D9-9886-9C7AC24A889F}"/>
    <cellStyle name="Normal 4 7 5 5" xfId="27126" xr:uid="{1D044B0B-0027-40C8-8574-E6F4241E0438}"/>
    <cellStyle name="Normal 4 7 5 6" xfId="10240" xr:uid="{36AEA6BA-DE17-41B2-B0C3-F3BDBE221048}"/>
    <cellStyle name="Normal 4 7 6" xfId="2122" xr:uid="{00000000-0005-0000-0000-0000C2160000}"/>
    <cellStyle name="Normal 4 7 6 2" xfId="4351" xr:uid="{00000000-0005-0000-0000-0000C3160000}"/>
    <cellStyle name="Normal 4 7 6 2 2" xfId="8574" xr:uid="{00000000-0005-0000-0000-0000C4160000}"/>
    <cellStyle name="Normal 4 7 6 2 2 2" xfId="25457" xr:uid="{09CDB1CB-A882-4F51-A0F3-2A8C4F410FC4}"/>
    <cellStyle name="Normal 4 7 6 2 2 3" xfId="33903" xr:uid="{85CA655E-70D0-47DC-952D-B6013096B1A6}"/>
    <cellStyle name="Normal 4 7 6 2 2 4" xfId="17016" xr:uid="{D6C28819-DEC0-40CD-A750-1FAD4E74DB52}"/>
    <cellStyle name="Normal 4 7 6 2 3" xfId="21239" xr:uid="{06B70DBD-B8AB-492D-83F8-1F24E72D0AC4}"/>
    <cellStyle name="Normal 4 7 6 2 4" xfId="29686" xr:uid="{BE0A768D-1504-463B-8006-B35F8BCBCB35}"/>
    <cellStyle name="Normal 4 7 6 2 5" xfId="12798" xr:uid="{F702FD5D-4B93-4E51-A8BF-8A31207B9776}"/>
    <cellStyle name="Normal 4 7 6 3" xfId="6429" xr:uid="{00000000-0005-0000-0000-0000C5160000}"/>
    <cellStyle name="Normal 4 7 6 3 2" xfId="23312" xr:uid="{B1942ADC-85B6-4976-A23A-3B6EF3778C92}"/>
    <cellStyle name="Normal 4 7 6 3 3" xfId="31758" xr:uid="{7945F69E-41A8-495D-987F-D5CB699CF7DB}"/>
    <cellStyle name="Normal 4 7 6 3 4" xfId="14871" xr:uid="{36C4ECFA-5F17-4230-894B-EBC7C8A36E5C}"/>
    <cellStyle name="Normal 4 7 6 4" xfId="19094" xr:uid="{60838D3D-7E7F-41CC-9189-2FA90C4B05F3}"/>
    <cellStyle name="Normal 4 7 6 5" xfId="27539" xr:uid="{8898946C-7A56-46CF-85AC-880A0FD1B77D}"/>
    <cellStyle name="Normal 4 7 6 6" xfId="10653" xr:uid="{A6853218-5EB9-425F-AA50-7C219C0F71E9}"/>
    <cellStyle name="Normal 4 7 7" xfId="2558" xr:uid="{00000000-0005-0000-0000-0000C6160000}"/>
    <cellStyle name="Normal 4 7 7 2" xfId="6842" xr:uid="{00000000-0005-0000-0000-0000C7160000}"/>
    <cellStyle name="Normal 4 7 7 2 2" xfId="23725" xr:uid="{67184AE0-A2A8-4669-8F03-FAAEC757028D}"/>
    <cellStyle name="Normal 4 7 7 2 3" xfId="32171" xr:uid="{8D64118E-ACFF-413F-A96A-1B08EB4F8996}"/>
    <cellStyle name="Normal 4 7 7 2 4" xfId="15284" xr:uid="{623923DA-8F4B-4D25-BEF3-551DFB969B77}"/>
    <cellStyle name="Normal 4 7 7 3" xfId="19507" xr:uid="{73E74E13-E30C-4237-B3B0-FC587FAB639F}"/>
    <cellStyle name="Normal 4 7 7 4" xfId="27952" xr:uid="{7E5BCAD9-FEF3-4E83-9A04-15649A8C675F}"/>
    <cellStyle name="Normal 4 7 7 5" xfId="11066" xr:uid="{6B3351D5-E89A-4BCE-9E59-48919DC174E0}"/>
    <cellStyle name="Normal 4 7 8" xfId="4777" xr:uid="{00000000-0005-0000-0000-0000C8160000}"/>
    <cellStyle name="Normal 4 7 8 2" xfId="21660" xr:uid="{7B13ECF1-4DEE-40F4-BF3F-DBB35AA54587}"/>
    <cellStyle name="Normal 4 7 8 3" xfId="30106" xr:uid="{C6143680-5160-43EC-A338-1C12FEB04D74}"/>
    <cellStyle name="Normal 4 7 8 4" xfId="13219" xr:uid="{E117E360-A1E0-4BAE-94A2-42712277A42A}"/>
    <cellStyle name="Normal 4 7 9" xfId="17442" xr:uid="{F51A5E58-E23D-4F65-831E-CA3653D83CCC}"/>
    <cellStyle name="Normal 4 8" xfId="405" xr:uid="{00000000-0005-0000-0000-0000C9160000}"/>
    <cellStyle name="Normal 4 8 10" xfId="9003" xr:uid="{710A9756-476B-437F-A786-A4E2EBFC2625}"/>
    <cellStyle name="Normal 4 8 2" xfId="879" xr:uid="{00000000-0005-0000-0000-0000CA160000}"/>
    <cellStyle name="Normal 4 8 2 2" xfId="3114" xr:uid="{00000000-0005-0000-0000-0000CB160000}"/>
    <cellStyle name="Normal 4 8 2 2 2" xfId="7337" xr:uid="{00000000-0005-0000-0000-0000CC160000}"/>
    <cellStyle name="Normal 4 8 2 2 2 2" xfId="24220" xr:uid="{6D724E3F-86AD-4702-B0F0-A56219569166}"/>
    <cellStyle name="Normal 4 8 2 2 2 3" xfId="32666" xr:uid="{17F0A8D7-DABF-4C1C-B513-E8368DA894F3}"/>
    <cellStyle name="Normal 4 8 2 2 2 4" xfId="15779" xr:uid="{4649D0DF-99BA-4054-9418-7F8FFA597929}"/>
    <cellStyle name="Normal 4 8 2 2 3" xfId="20002" xr:uid="{B7D02F2B-0CAE-43EB-B88A-44506E196424}"/>
    <cellStyle name="Normal 4 8 2 2 4" xfId="28449" xr:uid="{635F0AC5-E269-4310-ADC2-A501872978E9}"/>
    <cellStyle name="Normal 4 8 2 2 5" xfId="11561" xr:uid="{95BA9E1B-5C2A-4EFD-A192-8019ED834A39}"/>
    <cellStyle name="Normal 4 8 2 3" xfId="5192" xr:uid="{00000000-0005-0000-0000-0000CD160000}"/>
    <cellStyle name="Normal 4 8 2 3 2" xfId="22075" xr:uid="{BB21B1C0-1E1B-4897-AF9E-69CF972CD05D}"/>
    <cellStyle name="Normal 4 8 2 3 3" xfId="30521" xr:uid="{CF4B70FF-DAB4-44F9-B7F6-233959B7E4AC}"/>
    <cellStyle name="Normal 4 8 2 3 4" xfId="13634" xr:uid="{384FDE22-B0F8-4A8F-A594-4E13C04E0319}"/>
    <cellStyle name="Normal 4 8 2 4" xfId="17857" xr:uid="{25974774-E0D1-45B2-81A4-EA8B75397B7E}"/>
    <cellStyle name="Normal 4 8 2 5" xfId="26302" xr:uid="{F61786D2-2D2D-4B1B-87B7-F939F5E991CD}"/>
    <cellStyle name="Normal 4 8 2 6" xfId="9416" xr:uid="{D6BB63FD-D8C6-4A62-9508-6ED100755EBD}"/>
    <cellStyle name="Normal 4 8 3" xfId="1297" xr:uid="{00000000-0005-0000-0000-0000CE160000}"/>
    <cellStyle name="Normal 4 8 3 2" xfId="3527" xr:uid="{00000000-0005-0000-0000-0000CF160000}"/>
    <cellStyle name="Normal 4 8 3 2 2" xfId="7750" xr:uid="{00000000-0005-0000-0000-0000D0160000}"/>
    <cellStyle name="Normal 4 8 3 2 2 2" xfId="24633" xr:uid="{858F64F6-D919-48E8-864D-9BF19895CA98}"/>
    <cellStyle name="Normal 4 8 3 2 2 3" xfId="33079" xr:uid="{E88AF7FA-EA9E-4575-8F76-6A38A1B91852}"/>
    <cellStyle name="Normal 4 8 3 2 2 4" xfId="16192" xr:uid="{ED443759-D2AD-4DEC-8318-D01BBF21315A}"/>
    <cellStyle name="Normal 4 8 3 2 3" xfId="20415" xr:uid="{A62EFE92-1FC5-4587-A284-CF642F7F91EA}"/>
    <cellStyle name="Normal 4 8 3 2 4" xfId="28862" xr:uid="{B683CE29-CD5A-4CB4-B8ED-3EA723CDC50E}"/>
    <cellStyle name="Normal 4 8 3 2 5" xfId="11974" xr:uid="{07747B99-4C5B-4342-A23A-E424245A71A0}"/>
    <cellStyle name="Normal 4 8 3 3" xfId="5605" xr:uid="{00000000-0005-0000-0000-0000D1160000}"/>
    <cellStyle name="Normal 4 8 3 3 2" xfId="22488" xr:uid="{9B6FFA75-437F-45B4-BC86-F921FB03E2B5}"/>
    <cellStyle name="Normal 4 8 3 3 3" xfId="30934" xr:uid="{D6D34457-C6AA-4FB2-8A4E-66D2B6D64C2F}"/>
    <cellStyle name="Normal 4 8 3 3 4" xfId="14047" xr:uid="{DF54C1E6-FA6B-4A9A-B3AD-43C331470761}"/>
    <cellStyle name="Normal 4 8 3 4" xfId="18270" xr:uid="{FD044464-7676-4A33-817F-0A84A7A826EB}"/>
    <cellStyle name="Normal 4 8 3 5" xfId="26715" xr:uid="{765B7520-A907-4583-9833-48E09485D5D3}"/>
    <cellStyle name="Normal 4 8 3 6" xfId="9829" xr:uid="{789041EB-B5B5-471A-A8AD-8234A71E501E}"/>
    <cellStyle name="Normal 4 8 4" xfId="1710" xr:uid="{00000000-0005-0000-0000-0000D2160000}"/>
    <cellStyle name="Normal 4 8 4 2" xfId="3940" xr:uid="{00000000-0005-0000-0000-0000D3160000}"/>
    <cellStyle name="Normal 4 8 4 2 2" xfId="8163" xr:uid="{00000000-0005-0000-0000-0000D4160000}"/>
    <cellStyle name="Normal 4 8 4 2 2 2" xfId="25046" xr:uid="{F033C76D-DAEE-444A-9BA0-AA79A7FFB234}"/>
    <cellStyle name="Normal 4 8 4 2 2 3" xfId="33492" xr:uid="{75108FC7-FC5D-4B1F-8EAC-532600650193}"/>
    <cellStyle name="Normal 4 8 4 2 2 4" xfId="16605" xr:uid="{A1D4202A-6ED5-4DF0-AE1D-161BB14D1C79}"/>
    <cellStyle name="Normal 4 8 4 2 3" xfId="20828" xr:uid="{A484AA1C-21B0-4222-BAD7-C02770F64859}"/>
    <cellStyle name="Normal 4 8 4 2 4" xfId="29275" xr:uid="{4EB55587-D9A6-4070-9658-6FABB51EDF32}"/>
    <cellStyle name="Normal 4 8 4 2 5" xfId="12387" xr:uid="{2F44AD40-C4C5-4B66-A4E5-BFCF4D55F6FF}"/>
    <cellStyle name="Normal 4 8 4 3" xfId="6018" xr:uid="{00000000-0005-0000-0000-0000D5160000}"/>
    <cellStyle name="Normal 4 8 4 3 2" xfId="22901" xr:uid="{DECA4DBC-AD7D-44C0-AF7D-1BC1641B74D8}"/>
    <cellStyle name="Normal 4 8 4 3 3" xfId="31347" xr:uid="{B06BCB14-39CF-45F1-B565-87B16775B1FC}"/>
    <cellStyle name="Normal 4 8 4 3 4" xfId="14460" xr:uid="{C64434BE-9119-45C2-AE93-B2F8E0965EBD}"/>
    <cellStyle name="Normal 4 8 4 4" xfId="18683" xr:uid="{827223B6-3333-4AA5-B842-D51E880BED22}"/>
    <cellStyle name="Normal 4 8 4 5" xfId="27128" xr:uid="{C0E848D5-CDEC-4C44-9EB1-781F7CAB543B}"/>
    <cellStyle name="Normal 4 8 4 6" xfId="10242" xr:uid="{1C78D170-8962-4155-9558-7CC4A72C6DF2}"/>
    <cellStyle name="Normal 4 8 5" xfId="2124" xr:uid="{00000000-0005-0000-0000-0000D6160000}"/>
    <cellStyle name="Normal 4 8 5 2" xfId="4353" xr:uid="{00000000-0005-0000-0000-0000D7160000}"/>
    <cellStyle name="Normal 4 8 5 2 2" xfId="8576" xr:uid="{00000000-0005-0000-0000-0000D8160000}"/>
    <cellStyle name="Normal 4 8 5 2 2 2" xfId="25459" xr:uid="{7C7E3F33-D845-40B5-9ACF-94F63B9C1346}"/>
    <cellStyle name="Normal 4 8 5 2 2 3" xfId="33905" xr:uid="{2D7FAA72-BD5E-4AFA-A03A-1E07DC27A8DD}"/>
    <cellStyle name="Normal 4 8 5 2 2 4" xfId="17018" xr:uid="{048C41E3-4BE5-4D3B-B1FD-7BDC024F0FE9}"/>
    <cellStyle name="Normal 4 8 5 2 3" xfId="21241" xr:uid="{0B3D6C48-EA16-4DCD-B8C6-CDCC55364803}"/>
    <cellStyle name="Normal 4 8 5 2 4" xfId="29688" xr:uid="{100EA852-3A3E-4939-9A88-071D6E1F176E}"/>
    <cellStyle name="Normal 4 8 5 2 5" xfId="12800" xr:uid="{3C42240D-125D-4D41-BCDD-E78A5827E901}"/>
    <cellStyle name="Normal 4 8 5 3" xfId="6431" xr:uid="{00000000-0005-0000-0000-0000D9160000}"/>
    <cellStyle name="Normal 4 8 5 3 2" xfId="23314" xr:uid="{E299D148-784A-4A01-9808-588195B259FE}"/>
    <cellStyle name="Normal 4 8 5 3 3" xfId="31760" xr:uid="{B49571B4-CEA4-459D-ABDC-7CE9C7B358FC}"/>
    <cellStyle name="Normal 4 8 5 3 4" xfId="14873" xr:uid="{90A71481-06D0-4D38-A70B-1227925E529B}"/>
    <cellStyle name="Normal 4 8 5 4" xfId="19096" xr:uid="{FCB665B2-AB08-4B78-B80B-43CBF44E2B9C}"/>
    <cellStyle name="Normal 4 8 5 5" xfId="27541" xr:uid="{79448B21-6046-4E38-A817-2FEB560AEAD0}"/>
    <cellStyle name="Normal 4 8 5 6" xfId="10655" xr:uid="{44729AF1-E853-4BCA-BDC2-3C884CEC1499}"/>
    <cellStyle name="Normal 4 8 6" xfId="2560" xr:uid="{00000000-0005-0000-0000-0000DA160000}"/>
    <cellStyle name="Normal 4 8 6 2" xfId="6844" xr:uid="{00000000-0005-0000-0000-0000DB160000}"/>
    <cellStyle name="Normal 4 8 6 2 2" xfId="23727" xr:uid="{5D068931-CD75-49DE-8020-18F1DF75493E}"/>
    <cellStyle name="Normal 4 8 6 2 3" xfId="32173" xr:uid="{46B6F694-827C-44B3-9EF4-C7219E5D8EE5}"/>
    <cellStyle name="Normal 4 8 6 2 4" xfId="15286" xr:uid="{F21629D0-59F6-4685-8518-AF85514C9B15}"/>
    <cellStyle name="Normal 4 8 6 3" xfId="19509" xr:uid="{449BFFF1-2CD5-440B-A0B9-18D09A13825E}"/>
    <cellStyle name="Normal 4 8 6 4" xfId="27954" xr:uid="{AEE9327E-AC80-49C8-8EDB-43E34A2B9DA6}"/>
    <cellStyle name="Normal 4 8 6 5" xfId="11068" xr:uid="{A524CFBB-01D5-4502-832A-D843B6DEAD32}"/>
    <cellStyle name="Normal 4 8 7" xfId="4779" xr:uid="{00000000-0005-0000-0000-0000DC160000}"/>
    <cellStyle name="Normal 4 8 7 2" xfId="21662" xr:uid="{A5F8185F-163A-4385-8EFD-2B54EE73EE16}"/>
    <cellStyle name="Normal 4 8 7 3" xfId="30108" xr:uid="{BDB30265-C7C4-48FD-9F5A-9B2FC6341336}"/>
    <cellStyle name="Normal 4 8 7 4" xfId="13221" xr:uid="{E11EE8E7-04E5-4C8E-A801-7949D60D8D0B}"/>
    <cellStyle name="Normal 4 8 8" xfId="17444" xr:uid="{90CCA1AD-CBD5-496D-A427-F2875F9A69A7}"/>
    <cellStyle name="Normal 4 8 9" xfId="25888" xr:uid="{A52E09AF-8A79-42D9-8E85-547817C0AE33}"/>
    <cellStyle name="Normal 4 9" xfId="4716" xr:uid="{00000000-0005-0000-0000-0000DD160000}"/>
    <cellStyle name="Normal 4 9 2" xfId="21599" xr:uid="{F2CF21C4-EC0F-4CC4-8178-9C6C136BEF01}"/>
    <cellStyle name="Normal 4 9 3" xfId="30045" xr:uid="{26F79073-BEF7-4B5D-9F74-F4FFB5CB8ED0}"/>
    <cellStyle name="Normal 4 9 4" xfId="13158" xr:uid="{8C4C765C-B852-46D8-826B-0E00B0FEBD09}"/>
    <cellStyle name="Normal 4_Dropdowns" xfId="34219" xr:uid="{4CF33A14-64CA-43FC-87D9-45B7CC593FB6}"/>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25047" xr:uid="{DF66229A-E63F-45F0-8AC8-8D5A36397BEA}"/>
    <cellStyle name="Normal 5 10 2 2 3" xfId="33493" xr:uid="{73801D29-52D0-4593-B46F-23FFFACC2EF4}"/>
    <cellStyle name="Normal 5 10 2 2 4" xfId="16606" xr:uid="{B5C5BF04-EC21-41FE-8103-3529BDD8506E}"/>
    <cellStyle name="Normal 5 10 2 3" xfId="20829" xr:uid="{48A382D7-DFF2-4CE1-9616-A328AE87C6CD}"/>
    <cellStyle name="Normal 5 10 2 4" xfId="29276" xr:uid="{EEEDCA81-836C-47E7-9FA3-63A8273BB8FF}"/>
    <cellStyle name="Normal 5 10 2 5" xfId="12388" xr:uid="{9D265143-E8E0-4F5C-B629-4300C5DB3423}"/>
    <cellStyle name="Normal 5 10 3" xfId="6019" xr:uid="{00000000-0005-0000-0000-0000E2160000}"/>
    <cellStyle name="Normal 5 10 3 2" xfId="22902" xr:uid="{97BB4730-2B1B-493E-96D4-8E15A4536B33}"/>
    <cellStyle name="Normal 5 10 3 3" xfId="31348" xr:uid="{6F3B358F-51AF-4679-926C-2FB6678AA0C8}"/>
    <cellStyle name="Normal 5 10 3 4" xfId="14461" xr:uid="{94A25F2E-CDE7-41A5-B5DC-DE87938E0E39}"/>
    <cellStyle name="Normal 5 10 4" xfId="18684" xr:uid="{4DA4FF1D-EB35-4E30-84C3-909EA2172436}"/>
    <cellStyle name="Normal 5 10 5" xfId="27129" xr:uid="{3DDF596F-E2F2-4B17-BB6F-9B624AF9EFE1}"/>
    <cellStyle name="Normal 5 10 6" xfId="10243" xr:uid="{4B6E5D30-E292-4FB0-A3AA-52A9E683AE6D}"/>
    <cellStyle name="Normal 5 11" xfId="2125" xr:uid="{00000000-0005-0000-0000-0000E3160000}"/>
    <cellStyle name="Normal 5 11 2" xfId="4354" xr:uid="{00000000-0005-0000-0000-0000E4160000}"/>
    <cellStyle name="Normal 5 11 2 2" xfId="8577" xr:uid="{00000000-0005-0000-0000-0000E5160000}"/>
    <cellStyle name="Normal 5 11 2 2 2" xfId="25460" xr:uid="{F99156F4-D767-4283-8D15-FB2B2AB333FC}"/>
    <cellStyle name="Normal 5 11 2 2 3" xfId="33906" xr:uid="{B4EB8AA3-0B76-4F9C-8404-E5C88BCAE7BC}"/>
    <cellStyle name="Normal 5 11 2 2 4" xfId="17019" xr:uid="{C7F264EA-2564-4B58-AE16-E4E001C6DDD4}"/>
    <cellStyle name="Normal 5 11 2 3" xfId="21242" xr:uid="{9CD6AEE3-1641-4DAB-B57C-8C6923BF6E6E}"/>
    <cellStyle name="Normal 5 11 2 4" xfId="29689" xr:uid="{771C237D-E447-43AA-98C9-CF791DD1E093}"/>
    <cellStyle name="Normal 5 11 2 5" xfId="12801" xr:uid="{F74C6B1A-76B1-4895-B650-8D302AC84D34}"/>
    <cellStyle name="Normal 5 11 3" xfId="6432" xr:uid="{00000000-0005-0000-0000-0000E6160000}"/>
    <cellStyle name="Normal 5 11 3 2" xfId="23315" xr:uid="{AC21427C-FDC9-4718-8A67-CC9E5798BC6C}"/>
    <cellStyle name="Normal 5 11 3 3" xfId="31761" xr:uid="{BA06A63A-3E63-4C55-82DE-41146F9D0DB7}"/>
    <cellStyle name="Normal 5 11 3 4" xfId="14874" xr:uid="{66952A3B-EC12-4882-9FAE-CC117321695F}"/>
    <cellStyle name="Normal 5 11 4" xfId="19097" xr:uid="{7024CE01-D691-4A1C-870F-A683E8EC9056}"/>
    <cellStyle name="Normal 5 11 5" xfId="27542" xr:uid="{F8A352D9-EC27-401E-BD9F-C6D136DED982}"/>
    <cellStyle name="Normal 5 11 6" xfId="10656" xr:uid="{6606C86C-DBAC-4215-90EF-02F2F5A3AD3B}"/>
    <cellStyle name="Normal 5 12" xfId="2561" xr:uid="{00000000-0005-0000-0000-0000E7160000}"/>
    <cellStyle name="Normal 5 12 2" xfId="6845" xr:uid="{00000000-0005-0000-0000-0000E8160000}"/>
    <cellStyle name="Normal 5 12 2 2" xfId="23728" xr:uid="{B0A14B0C-5CCA-4065-A5C4-F0D627412AA8}"/>
    <cellStyle name="Normal 5 12 2 3" xfId="32174" xr:uid="{DC9301B6-326C-4E5D-A5C1-FB2345F2BC95}"/>
    <cellStyle name="Normal 5 12 2 4" xfId="15287" xr:uid="{106A34B5-0998-4773-AC7D-B15D49B7F7F0}"/>
    <cellStyle name="Normal 5 12 3" xfId="19510" xr:uid="{F40771F4-077E-4842-81E9-9E399FCA06A4}"/>
    <cellStyle name="Normal 5 12 4" xfId="27955" xr:uid="{C0342944-9BAE-4A0A-959D-2A830DB5A7C1}"/>
    <cellStyle name="Normal 5 12 5" xfId="11069" xr:uid="{693FD426-49B2-4D0F-9304-94B686E5927B}"/>
    <cellStyle name="Normal 5 13" xfId="4780" xr:uid="{00000000-0005-0000-0000-0000E9160000}"/>
    <cellStyle name="Normal 5 13 2" xfId="21663" xr:uid="{CCACF5FC-0D8B-44CF-BB8D-D7C889C3B8C2}"/>
    <cellStyle name="Normal 5 13 3" xfId="30109" xr:uid="{6EB45EFD-37AE-4E94-85C1-A1CC864097CA}"/>
    <cellStyle name="Normal 5 13 4" xfId="13222" xr:uid="{BF4B1071-8472-4BA1-901B-7AB64DAC00EC}"/>
    <cellStyle name="Normal 5 14" xfId="17445" xr:uid="{962FBD3F-6E27-4FF0-994B-7611B4D14D26}"/>
    <cellStyle name="Normal 5 15" xfId="25889" xr:uid="{CC9E18FF-070F-4FA0-B83F-2E93BD96BD02}"/>
    <cellStyle name="Normal 5 16" xfId="34171" xr:uid="{00793BBC-FCC3-48A3-8201-C257224F2F29}"/>
    <cellStyle name="Normal 5 17" xfId="9004" xr:uid="{23CD843C-3712-4F3B-A3F2-BCB84D745A1C}"/>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25461" xr:uid="{18B3C28A-243C-4E49-81E6-059ACDC2C42E}"/>
    <cellStyle name="Normal 5 2 10 2 2 3" xfId="33907" xr:uid="{113A510F-284C-4AE4-AD84-CCD9DCAEC85F}"/>
    <cellStyle name="Normal 5 2 10 2 2 4" xfId="17020" xr:uid="{A58A24AE-38D1-4BF3-86A0-AFBDFA9DE3AE}"/>
    <cellStyle name="Normal 5 2 10 2 3" xfId="21243" xr:uid="{9ED813E3-F955-4448-8EEF-97A2141FD12B}"/>
    <cellStyle name="Normal 5 2 10 2 4" xfId="29690" xr:uid="{113732A0-8B62-48ED-AE62-BD0ABFE1734D}"/>
    <cellStyle name="Normal 5 2 10 2 5" xfId="12802" xr:uid="{C408E573-0A91-478F-8C60-8D27B2813E12}"/>
    <cellStyle name="Normal 5 2 10 3" xfId="6433" xr:uid="{00000000-0005-0000-0000-0000EE160000}"/>
    <cellStyle name="Normal 5 2 10 3 2" xfId="23316" xr:uid="{CCA561FC-9C76-4639-89DC-EE21CDD0F451}"/>
    <cellStyle name="Normal 5 2 10 3 3" xfId="31762" xr:uid="{2DFA61E8-DE8B-42BE-829A-25A5D2E3D038}"/>
    <cellStyle name="Normal 5 2 10 3 4" xfId="14875" xr:uid="{EC6EF433-70FB-48D9-8F6D-5CC47D9F1BD8}"/>
    <cellStyle name="Normal 5 2 10 4" xfId="19098" xr:uid="{84DA8299-905C-47B6-BB5E-AE9C113D3869}"/>
    <cellStyle name="Normal 5 2 10 5" xfId="27543" xr:uid="{87983FD4-3923-4921-82B5-C66CFDD34205}"/>
    <cellStyle name="Normal 5 2 10 6" xfId="10657" xr:uid="{8BCEA63C-19A7-4CA5-8603-C561F7925112}"/>
    <cellStyle name="Normal 5 2 11" xfId="2562" xr:uid="{00000000-0005-0000-0000-0000EF160000}"/>
    <cellStyle name="Normal 5 2 11 2" xfId="6846" xr:uid="{00000000-0005-0000-0000-0000F0160000}"/>
    <cellStyle name="Normal 5 2 11 2 2" xfId="23729" xr:uid="{3B946214-99B8-4D46-95BE-C385E44ADB67}"/>
    <cellStyle name="Normal 5 2 11 2 3" xfId="32175" xr:uid="{960DDF7F-6533-499D-9FF2-E4D3CC5CB151}"/>
    <cellStyle name="Normal 5 2 11 2 4" xfId="15288" xr:uid="{F1592329-18DF-4F49-841F-D231A8FE1B86}"/>
    <cellStyle name="Normal 5 2 11 3" xfId="19511" xr:uid="{C2E33267-BBDE-466C-9828-C7048B1EB9D3}"/>
    <cellStyle name="Normal 5 2 11 4" xfId="27956" xr:uid="{4DAF9049-A9CF-495E-99DC-A386E725D8EC}"/>
    <cellStyle name="Normal 5 2 11 5" xfId="11070" xr:uid="{231FCE65-2045-4D76-8162-7E6E7AB914B1}"/>
    <cellStyle name="Normal 5 2 12" xfId="4781" xr:uid="{00000000-0005-0000-0000-0000F1160000}"/>
    <cellStyle name="Normal 5 2 12 2" xfId="21664" xr:uid="{1EF48A7D-7D4C-4C16-9C73-8D85F4A98A2C}"/>
    <cellStyle name="Normal 5 2 12 3" xfId="30110" xr:uid="{1FAB584B-A5EC-44A7-BF04-DC6B1A06E2D7}"/>
    <cellStyle name="Normal 5 2 12 4" xfId="13223" xr:uid="{F71494E4-6BF0-4666-9441-F4E8BED01805}"/>
    <cellStyle name="Normal 5 2 13" xfId="17446" xr:uid="{277F61F1-7200-49D3-A25F-4019CA339169}"/>
    <cellStyle name="Normal 5 2 14" xfId="25890" xr:uid="{ABC271A0-8EAD-4508-81F4-52F85C61F564}"/>
    <cellStyle name="Normal 5 2 15" xfId="34195" xr:uid="{15024897-E0D0-4CA1-9656-9BA53E60BE7D}"/>
    <cellStyle name="Normal 5 2 16" xfId="9005" xr:uid="{4DBD5E03-2970-4B7A-8361-0A2FD9CFF15B}"/>
    <cellStyle name="Normal 5 2 2" xfId="408" xr:uid="{00000000-0005-0000-0000-0000F2160000}"/>
    <cellStyle name="Normal 5 2 2 10" xfId="2563" xr:uid="{00000000-0005-0000-0000-0000F3160000}"/>
    <cellStyle name="Normal 5 2 2 10 2" xfId="6847" xr:uid="{00000000-0005-0000-0000-0000F4160000}"/>
    <cellStyle name="Normal 5 2 2 10 2 2" xfId="23730" xr:uid="{36E69AAB-3496-4FAD-99B1-A9698C696C8C}"/>
    <cellStyle name="Normal 5 2 2 10 2 3" xfId="32176" xr:uid="{15143FD1-090B-4D91-9B48-19B3A2AD580C}"/>
    <cellStyle name="Normal 5 2 2 10 2 4" xfId="15289" xr:uid="{618894A5-DF39-44B0-9B14-79B551FA8738}"/>
    <cellStyle name="Normal 5 2 2 10 3" xfId="19512" xr:uid="{7D77AF4F-7CDB-4CAC-8275-AE6291F1F8DF}"/>
    <cellStyle name="Normal 5 2 2 10 4" xfId="27957" xr:uid="{0AAD97F6-55E3-4C2A-8056-29CD78EEC29A}"/>
    <cellStyle name="Normal 5 2 2 10 5" xfId="11071" xr:uid="{632DD744-FBAF-4A97-95B1-4E2F10388CAC}"/>
    <cellStyle name="Normal 5 2 2 11" xfId="4782" xr:uid="{00000000-0005-0000-0000-0000F5160000}"/>
    <cellStyle name="Normal 5 2 2 11 2" xfId="21665" xr:uid="{51F9B989-F281-435E-AF81-9A1627C95242}"/>
    <cellStyle name="Normal 5 2 2 11 3" xfId="30111" xr:uid="{E96E721E-C88C-422E-A909-4188726CE83D}"/>
    <cellStyle name="Normal 5 2 2 11 4" xfId="13224" xr:uid="{BF49AAF1-7FE6-433B-A843-DDC3709782F2}"/>
    <cellStyle name="Normal 5 2 2 12" xfId="17447" xr:uid="{257D3CCF-F19C-4577-937B-9F61AD2ABB81}"/>
    <cellStyle name="Normal 5 2 2 13" xfId="25891" xr:uid="{B5B2DD1D-F673-4184-945F-FC545AC3F867}"/>
    <cellStyle name="Normal 5 2 2 14" xfId="34081" xr:uid="{790B8A9F-3B1C-4AC9-B358-ADED22E5400E}"/>
    <cellStyle name="Normal 5 2 2 15" xfId="9006" xr:uid="{12E40D47-D330-4151-A41C-E3613BC982D2}"/>
    <cellStyle name="Normal 5 2 2 2" xfId="409" xr:uid="{00000000-0005-0000-0000-0000F6160000}"/>
    <cellStyle name="Normal 5 2 2 2 10" xfId="4783" xr:uid="{00000000-0005-0000-0000-0000F7160000}"/>
    <cellStyle name="Normal 5 2 2 2 10 2" xfId="21666" xr:uid="{0D553B3B-25AE-478B-8D1A-ED40A0FCB28E}"/>
    <cellStyle name="Normal 5 2 2 2 10 3" xfId="30112" xr:uid="{5D60850A-E51A-41D7-AAC7-E77C152E40C0}"/>
    <cellStyle name="Normal 5 2 2 2 10 4" xfId="13225" xr:uid="{A8A64819-FE0D-4F3E-A0D4-55DB2E403181}"/>
    <cellStyle name="Normal 5 2 2 2 11" xfId="17448" xr:uid="{FDE7D654-CA50-49A8-9ACE-39CEB48931DD}"/>
    <cellStyle name="Normal 5 2 2 2 12" xfId="25892" xr:uid="{29B08EFE-EF00-4DA6-AD96-0B5E02CBA471}"/>
    <cellStyle name="Normal 5 2 2 2 13" xfId="9007" xr:uid="{54A057A0-7E06-4427-AE5F-2C9FEF936747}"/>
    <cellStyle name="Normal 5 2 2 2 2" xfId="410" xr:uid="{00000000-0005-0000-0000-0000F8160000}"/>
    <cellStyle name="Normal 5 2 2 2 2 10" xfId="17449" xr:uid="{52B14336-2B13-45C8-B51F-19A991650276}"/>
    <cellStyle name="Normal 5 2 2 2 2 11" xfId="25893" xr:uid="{053674AD-A43D-4839-BF93-89DCEA2DCD68}"/>
    <cellStyle name="Normal 5 2 2 2 2 12" xfId="9008" xr:uid="{C51FB4A4-4ED7-4EF0-B53E-015C1C1652F9}"/>
    <cellStyle name="Normal 5 2 2 2 2 2" xfId="411" xr:uid="{00000000-0005-0000-0000-0000F9160000}"/>
    <cellStyle name="Normal 5 2 2 2 2 2 10" xfId="25894" xr:uid="{A27693AC-F808-49CA-88AC-B2E8C8AF1C67}"/>
    <cellStyle name="Normal 5 2 2 2 2 2 11" xfId="9009" xr:uid="{CBFAB1B1-72A6-4EAA-8108-A3FA0D2920AB}"/>
    <cellStyle name="Normal 5 2 2 2 2 2 2" xfId="412" xr:uid="{00000000-0005-0000-0000-0000FA160000}"/>
    <cellStyle name="Normal 5 2 2 2 2 2 2 10" xfId="9010" xr:uid="{664A0293-680F-4207-B3EA-B4D6814DE935}"/>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24227" xr:uid="{2B39F04B-8DC6-48FD-909F-120845EED561}"/>
    <cellStyle name="Normal 5 2 2 2 2 2 2 2 2 2 3" xfId="32673" xr:uid="{2DB0F78B-27BE-4F3B-A754-B28C873130B8}"/>
    <cellStyle name="Normal 5 2 2 2 2 2 2 2 2 2 4" xfId="15786" xr:uid="{43ECFE08-ED2E-4C95-968F-ADB6EB1FD51F}"/>
    <cellStyle name="Normal 5 2 2 2 2 2 2 2 2 3" xfId="20009" xr:uid="{4DEB9458-6850-4348-AE8B-A060FD27BA9B}"/>
    <cellStyle name="Normal 5 2 2 2 2 2 2 2 2 4" xfId="28456" xr:uid="{83EE012D-1598-46F6-BA53-E1E7CBA690DD}"/>
    <cellStyle name="Normal 5 2 2 2 2 2 2 2 2 5" xfId="11568" xr:uid="{3B2EAD10-4E3B-471D-8433-615A5B5BF18F}"/>
    <cellStyle name="Normal 5 2 2 2 2 2 2 2 3" xfId="5199" xr:uid="{00000000-0005-0000-0000-0000FE160000}"/>
    <cellStyle name="Normal 5 2 2 2 2 2 2 2 3 2" xfId="22082" xr:uid="{4CFFE351-6FEE-46CC-A75C-40E78437AB75}"/>
    <cellStyle name="Normal 5 2 2 2 2 2 2 2 3 3" xfId="30528" xr:uid="{211B7006-1C84-4A89-8482-5A3C36ECE9F6}"/>
    <cellStyle name="Normal 5 2 2 2 2 2 2 2 3 4" xfId="13641" xr:uid="{9308EC9B-7F2D-4CF9-94BE-769964164816}"/>
    <cellStyle name="Normal 5 2 2 2 2 2 2 2 4" xfId="17864" xr:uid="{664AAE57-6B4B-41D9-BFAC-C3976CA8DB3A}"/>
    <cellStyle name="Normal 5 2 2 2 2 2 2 2 5" xfId="26309" xr:uid="{912FCFDE-9433-4F79-BD39-38158B58E8B5}"/>
    <cellStyle name="Normal 5 2 2 2 2 2 2 2 6" xfId="9423" xr:uid="{D64BECAA-DD00-40D3-90BE-A5B556274988}"/>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24640" xr:uid="{8DBBBD0D-F4D7-44EF-8872-0B9E20FCB483}"/>
    <cellStyle name="Normal 5 2 2 2 2 2 2 3 2 2 3" xfId="33086" xr:uid="{E5595AE7-CFA4-4F48-B305-9A1550AD7F42}"/>
    <cellStyle name="Normal 5 2 2 2 2 2 2 3 2 2 4" xfId="16199" xr:uid="{3CCB2F29-E9BE-458E-9067-AC2E14B21573}"/>
    <cellStyle name="Normal 5 2 2 2 2 2 2 3 2 3" xfId="20422" xr:uid="{90EE6AB8-B5C0-46BE-8779-5D22E75A1F6B}"/>
    <cellStyle name="Normal 5 2 2 2 2 2 2 3 2 4" xfId="28869" xr:uid="{FE166A50-0BDC-4021-A7F1-C93F65D5D0EE}"/>
    <cellStyle name="Normal 5 2 2 2 2 2 2 3 2 5" xfId="11981" xr:uid="{989E9148-9289-4C35-9E65-397E1F5BD16F}"/>
    <cellStyle name="Normal 5 2 2 2 2 2 2 3 3" xfId="5612" xr:uid="{00000000-0005-0000-0000-000002170000}"/>
    <cellStyle name="Normal 5 2 2 2 2 2 2 3 3 2" xfId="22495" xr:uid="{3C9903A2-6680-479A-A252-996D31838D3A}"/>
    <cellStyle name="Normal 5 2 2 2 2 2 2 3 3 3" xfId="30941" xr:uid="{93C87289-4D7C-4397-9E36-6BF4C278AD9C}"/>
    <cellStyle name="Normal 5 2 2 2 2 2 2 3 3 4" xfId="14054" xr:uid="{6C74B124-E2DD-4057-90CC-B78CC6D56716}"/>
    <cellStyle name="Normal 5 2 2 2 2 2 2 3 4" xfId="18277" xr:uid="{0536FA8A-525A-4E53-A932-61945F477650}"/>
    <cellStyle name="Normal 5 2 2 2 2 2 2 3 5" xfId="26722" xr:uid="{D9E26B10-246C-4731-ADA1-0D77AAB0C602}"/>
    <cellStyle name="Normal 5 2 2 2 2 2 2 3 6" xfId="9836" xr:uid="{408FDA1C-53EE-4B46-A5CB-503304AEE55C}"/>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25053" xr:uid="{87311EC6-662F-4D81-8BF8-A2FBB3B02D1B}"/>
    <cellStyle name="Normal 5 2 2 2 2 2 2 4 2 2 3" xfId="33499" xr:uid="{076AA159-F18C-460F-A749-8E40979C3E5C}"/>
    <cellStyle name="Normal 5 2 2 2 2 2 2 4 2 2 4" xfId="16612" xr:uid="{8F2B8986-2B02-48BA-9C8E-D8E5CF71B3D9}"/>
    <cellStyle name="Normal 5 2 2 2 2 2 2 4 2 3" xfId="20835" xr:uid="{4DEB3456-5F0E-4CFC-BCED-E7B6AB0DC719}"/>
    <cellStyle name="Normal 5 2 2 2 2 2 2 4 2 4" xfId="29282" xr:uid="{6F58DE90-3512-4E19-9F6F-B3079DE1E6B1}"/>
    <cellStyle name="Normal 5 2 2 2 2 2 2 4 2 5" xfId="12394" xr:uid="{5D8FC3F5-BD4C-470E-AACA-D42C71686353}"/>
    <cellStyle name="Normal 5 2 2 2 2 2 2 4 3" xfId="6025" xr:uid="{00000000-0005-0000-0000-000006170000}"/>
    <cellStyle name="Normal 5 2 2 2 2 2 2 4 3 2" xfId="22908" xr:uid="{86F64B0E-B9A6-4553-A21D-8D3030598273}"/>
    <cellStyle name="Normal 5 2 2 2 2 2 2 4 3 3" xfId="31354" xr:uid="{3D5B31E2-A4BB-4B24-B4C0-86C75849B761}"/>
    <cellStyle name="Normal 5 2 2 2 2 2 2 4 3 4" xfId="14467" xr:uid="{FC0DEE1B-1A8D-46C6-B47A-52D35437A392}"/>
    <cellStyle name="Normal 5 2 2 2 2 2 2 4 4" xfId="18690" xr:uid="{BE6F1CA0-E768-40CC-9E90-F7E7E420A164}"/>
    <cellStyle name="Normal 5 2 2 2 2 2 2 4 5" xfId="27135" xr:uid="{7BE22C71-B6C6-4DCE-80E2-882CFB002061}"/>
    <cellStyle name="Normal 5 2 2 2 2 2 2 4 6" xfId="10249" xr:uid="{9C7D7C66-82F3-4D02-82A3-7BA9117F60A8}"/>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25466" xr:uid="{53FF8215-15EB-4A99-9461-22C0B5EDC16C}"/>
    <cellStyle name="Normal 5 2 2 2 2 2 2 5 2 2 3" xfId="33912" xr:uid="{750CB134-5ADB-4DFB-A8D8-E5C0ABB3E2D1}"/>
    <cellStyle name="Normal 5 2 2 2 2 2 2 5 2 2 4" xfId="17025" xr:uid="{27CD738E-D0A7-46B6-9CE0-C7516C515FA5}"/>
    <cellStyle name="Normal 5 2 2 2 2 2 2 5 2 3" xfId="21248" xr:uid="{A8C91598-B88A-454E-83F3-43F6C13990AF}"/>
    <cellStyle name="Normal 5 2 2 2 2 2 2 5 2 4" xfId="29695" xr:uid="{36A5F36A-F893-48DB-840F-32DC1C9F0ED5}"/>
    <cellStyle name="Normal 5 2 2 2 2 2 2 5 2 5" xfId="12807" xr:uid="{7D2DCA52-644F-4838-A90A-30C058608B7E}"/>
    <cellStyle name="Normal 5 2 2 2 2 2 2 5 3" xfId="6438" xr:uid="{00000000-0005-0000-0000-00000A170000}"/>
    <cellStyle name="Normal 5 2 2 2 2 2 2 5 3 2" xfId="23321" xr:uid="{7C38BE09-85D4-4540-9B80-979CB6A05CC2}"/>
    <cellStyle name="Normal 5 2 2 2 2 2 2 5 3 3" xfId="31767" xr:uid="{F9D894AC-9A87-4DA4-80A6-64D7DE60390E}"/>
    <cellStyle name="Normal 5 2 2 2 2 2 2 5 3 4" xfId="14880" xr:uid="{CB6D147B-791F-4FAA-8ADD-2EB98DC512D3}"/>
    <cellStyle name="Normal 5 2 2 2 2 2 2 5 4" xfId="19103" xr:uid="{F908962E-E92D-48B9-8584-38134096E621}"/>
    <cellStyle name="Normal 5 2 2 2 2 2 2 5 5" xfId="27548" xr:uid="{784E56B5-59C8-4692-A46E-CDDA2C00A873}"/>
    <cellStyle name="Normal 5 2 2 2 2 2 2 5 6" xfId="10662" xr:uid="{DCD05AAE-C3AC-4D3F-A991-866C17318A3D}"/>
    <cellStyle name="Normal 5 2 2 2 2 2 2 6" xfId="2567" xr:uid="{00000000-0005-0000-0000-00000B170000}"/>
    <cellStyle name="Normal 5 2 2 2 2 2 2 6 2" xfId="6851" xr:uid="{00000000-0005-0000-0000-00000C170000}"/>
    <cellStyle name="Normal 5 2 2 2 2 2 2 6 2 2" xfId="23734" xr:uid="{2A88E1F9-AE1E-4182-A8DA-123BD5B9D351}"/>
    <cellStyle name="Normal 5 2 2 2 2 2 2 6 2 3" xfId="32180" xr:uid="{23F61C4A-1765-4EE4-A533-F504D4475D12}"/>
    <cellStyle name="Normal 5 2 2 2 2 2 2 6 2 4" xfId="15293" xr:uid="{7623DC73-B208-41DC-A76A-9C0FDAFE3879}"/>
    <cellStyle name="Normal 5 2 2 2 2 2 2 6 3" xfId="19516" xr:uid="{504BD4C8-1E7C-47B5-8841-09A8C0A27304}"/>
    <cellStyle name="Normal 5 2 2 2 2 2 2 6 4" xfId="27961" xr:uid="{751241FD-C4E9-4E7E-8F12-6C84B626E561}"/>
    <cellStyle name="Normal 5 2 2 2 2 2 2 6 5" xfId="11075" xr:uid="{C97FED9B-DA55-4998-8BB1-066C8AFF4646}"/>
    <cellStyle name="Normal 5 2 2 2 2 2 2 7" xfId="4786" xr:uid="{00000000-0005-0000-0000-00000D170000}"/>
    <cellStyle name="Normal 5 2 2 2 2 2 2 7 2" xfId="21669" xr:uid="{0DFBC404-DA6E-4972-8CBF-F825EC5F4406}"/>
    <cellStyle name="Normal 5 2 2 2 2 2 2 7 3" xfId="30115" xr:uid="{B31CF150-3E4E-4CF8-BBA6-918A72ECED20}"/>
    <cellStyle name="Normal 5 2 2 2 2 2 2 7 4" xfId="13228" xr:uid="{DD422088-4AE5-40D9-BE94-55F3E34CE916}"/>
    <cellStyle name="Normal 5 2 2 2 2 2 2 8" xfId="17451" xr:uid="{89EACB32-FACE-400A-80AC-CA9B3E1614BE}"/>
    <cellStyle name="Normal 5 2 2 2 2 2 2 9" xfId="25895" xr:uid="{B428BA50-23EE-4C4A-B3BA-D295C3F72C9C}"/>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24226" xr:uid="{C179197D-F601-4B1E-A4A5-A71255300865}"/>
    <cellStyle name="Normal 5 2 2 2 2 2 3 2 2 3" xfId="32672" xr:uid="{4CD88DD2-75DE-4EC9-BE2E-A24989E687CE}"/>
    <cellStyle name="Normal 5 2 2 2 2 2 3 2 2 4" xfId="15785" xr:uid="{D30DBED1-0D3E-44FF-971C-684B4D2E5DC2}"/>
    <cellStyle name="Normal 5 2 2 2 2 2 3 2 3" xfId="20008" xr:uid="{522BB12B-6AE2-4856-9B40-992195243E0D}"/>
    <cellStyle name="Normal 5 2 2 2 2 2 3 2 4" xfId="28455" xr:uid="{FC8A2DA6-49F1-480A-9F69-FC41D2599FAA}"/>
    <cellStyle name="Normal 5 2 2 2 2 2 3 2 5" xfId="11567" xr:uid="{CBF8C0C1-B9CC-480C-AEF8-DE22FE23348F}"/>
    <cellStyle name="Normal 5 2 2 2 2 2 3 3" xfId="5198" xr:uid="{00000000-0005-0000-0000-000011170000}"/>
    <cellStyle name="Normal 5 2 2 2 2 2 3 3 2" xfId="22081" xr:uid="{D6767754-622D-4182-A7D9-584477ECD4A8}"/>
    <cellStyle name="Normal 5 2 2 2 2 2 3 3 3" xfId="30527" xr:uid="{1AF45BCD-CD1F-4DB9-B85B-E11DC261F3C3}"/>
    <cellStyle name="Normal 5 2 2 2 2 2 3 3 4" xfId="13640" xr:uid="{93697F0F-62E1-46AC-9099-E27750447971}"/>
    <cellStyle name="Normal 5 2 2 2 2 2 3 4" xfId="17863" xr:uid="{22ECF92D-BC89-4965-B699-B649749598EB}"/>
    <cellStyle name="Normal 5 2 2 2 2 2 3 5" xfId="26308" xr:uid="{517DE362-2071-4A6B-8913-CCC3C8D52234}"/>
    <cellStyle name="Normal 5 2 2 2 2 2 3 6" xfId="9422" xr:uid="{6DC15301-C8CD-4FF0-8C21-84797F1F264A}"/>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24639" xr:uid="{5AE7FA69-8BCE-4CEF-BC9C-1D54606A362F}"/>
    <cellStyle name="Normal 5 2 2 2 2 2 4 2 2 3" xfId="33085" xr:uid="{847EF031-0B54-44B4-9917-D4EAEE01B529}"/>
    <cellStyle name="Normal 5 2 2 2 2 2 4 2 2 4" xfId="16198" xr:uid="{44FABA42-7A4E-4237-991B-9BDF8DC7B746}"/>
    <cellStyle name="Normal 5 2 2 2 2 2 4 2 3" xfId="20421" xr:uid="{164F493B-E0F6-4F51-9B14-C4C56E3DD4D6}"/>
    <cellStyle name="Normal 5 2 2 2 2 2 4 2 4" xfId="28868" xr:uid="{227757AD-B90D-487F-B6E3-75355E67CF7D}"/>
    <cellStyle name="Normal 5 2 2 2 2 2 4 2 5" xfId="11980" xr:uid="{BD6E3019-6A09-4D43-8855-1143E10154AD}"/>
    <cellStyle name="Normal 5 2 2 2 2 2 4 3" xfId="5611" xr:uid="{00000000-0005-0000-0000-000015170000}"/>
    <cellStyle name="Normal 5 2 2 2 2 2 4 3 2" xfId="22494" xr:uid="{9E46AFD4-976F-40FA-9ACB-3C64294724B2}"/>
    <cellStyle name="Normal 5 2 2 2 2 2 4 3 3" xfId="30940" xr:uid="{C67398E4-CEC3-4D6F-8AA6-3FF486365ABC}"/>
    <cellStyle name="Normal 5 2 2 2 2 2 4 3 4" xfId="14053" xr:uid="{64274411-2704-47B2-9D77-E12728E02F75}"/>
    <cellStyle name="Normal 5 2 2 2 2 2 4 4" xfId="18276" xr:uid="{1CBD9974-A995-43CA-9656-2774BE4DDE68}"/>
    <cellStyle name="Normal 5 2 2 2 2 2 4 5" xfId="26721" xr:uid="{B926C9C2-E640-4014-9A63-B0CA2DE3F9DA}"/>
    <cellStyle name="Normal 5 2 2 2 2 2 4 6" xfId="9835" xr:uid="{45EBA4F7-2079-46BE-BCED-E5EC494BDFB1}"/>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25052" xr:uid="{8B1D593D-AAED-448F-B21F-4FC1B70C94E6}"/>
    <cellStyle name="Normal 5 2 2 2 2 2 5 2 2 3" xfId="33498" xr:uid="{EBC2B3AD-E836-44C0-86C1-62CCED3B35A8}"/>
    <cellStyle name="Normal 5 2 2 2 2 2 5 2 2 4" xfId="16611" xr:uid="{4B6B8129-136B-4346-811A-2C51A19BC14F}"/>
    <cellStyle name="Normal 5 2 2 2 2 2 5 2 3" xfId="20834" xr:uid="{0C0EC5CE-40BF-426B-9732-643D3DE991C6}"/>
    <cellStyle name="Normal 5 2 2 2 2 2 5 2 4" xfId="29281" xr:uid="{C10857E6-F1FC-43B9-8405-45F22EC61BE5}"/>
    <cellStyle name="Normal 5 2 2 2 2 2 5 2 5" xfId="12393" xr:uid="{629B44D1-1BB0-43A3-974D-29377C1CA6B5}"/>
    <cellStyle name="Normal 5 2 2 2 2 2 5 3" xfId="6024" xr:uid="{00000000-0005-0000-0000-000019170000}"/>
    <cellStyle name="Normal 5 2 2 2 2 2 5 3 2" xfId="22907" xr:uid="{2414BB01-8C3D-4B93-9B3C-840A91E751BF}"/>
    <cellStyle name="Normal 5 2 2 2 2 2 5 3 3" xfId="31353" xr:uid="{E8189C08-A420-4A92-AD4C-3D711BD6EA36}"/>
    <cellStyle name="Normal 5 2 2 2 2 2 5 3 4" xfId="14466" xr:uid="{BB865DCE-1E0F-45E5-8D2E-2649DE482117}"/>
    <cellStyle name="Normal 5 2 2 2 2 2 5 4" xfId="18689" xr:uid="{B8BBEB4A-365A-4951-88E8-50E18625F45A}"/>
    <cellStyle name="Normal 5 2 2 2 2 2 5 5" xfId="27134" xr:uid="{0677DF76-B4AC-450E-ABBB-B67CF9795B41}"/>
    <cellStyle name="Normal 5 2 2 2 2 2 5 6" xfId="10248" xr:uid="{A434AE6D-2990-4029-A6EF-9205224C1872}"/>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25465" xr:uid="{8C474B22-87B5-4465-B30A-CF230013B9A4}"/>
    <cellStyle name="Normal 5 2 2 2 2 2 6 2 2 3" xfId="33911" xr:uid="{49338782-6D30-4AC9-ABDC-180323B2F143}"/>
    <cellStyle name="Normal 5 2 2 2 2 2 6 2 2 4" xfId="17024" xr:uid="{32F1E44D-8162-4C17-939E-BF94E9FC02F8}"/>
    <cellStyle name="Normal 5 2 2 2 2 2 6 2 3" xfId="21247" xr:uid="{A1792640-A521-4546-8FE4-B28276931778}"/>
    <cellStyle name="Normal 5 2 2 2 2 2 6 2 4" xfId="29694" xr:uid="{ACD7308C-88FD-451D-ABB0-82CAF7D1185F}"/>
    <cellStyle name="Normal 5 2 2 2 2 2 6 2 5" xfId="12806" xr:uid="{7529701D-C7D6-49A7-BC55-BCA3500419EA}"/>
    <cellStyle name="Normal 5 2 2 2 2 2 6 3" xfId="6437" xr:uid="{00000000-0005-0000-0000-00001D170000}"/>
    <cellStyle name="Normal 5 2 2 2 2 2 6 3 2" xfId="23320" xr:uid="{F80E7051-027D-49CD-99B7-F44ED1E5C950}"/>
    <cellStyle name="Normal 5 2 2 2 2 2 6 3 3" xfId="31766" xr:uid="{5A184BD4-8292-40CE-A43E-4DE2230D5183}"/>
    <cellStyle name="Normal 5 2 2 2 2 2 6 3 4" xfId="14879" xr:uid="{6F1DE392-3B93-4AC6-AE7D-0ACA157F7E57}"/>
    <cellStyle name="Normal 5 2 2 2 2 2 6 4" xfId="19102" xr:uid="{C0290E1B-9550-46C4-9DC7-144174CD902E}"/>
    <cellStyle name="Normal 5 2 2 2 2 2 6 5" xfId="27547" xr:uid="{80FA9F5C-0642-46A1-88DD-062A4F199E0A}"/>
    <cellStyle name="Normal 5 2 2 2 2 2 6 6" xfId="10661" xr:uid="{629274A7-E955-42D9-A57C-94ECA14F3D5C}"/>
    <cellStyle name="Normal 5 2 2 2 2 2 7" xfId="2566" xr:uid="{00000000-0005-0000-0000-00001E170000}"/>
    <cellStyle name="Normal 5 2 2 2 2 2 7 2" xfId="6850" xr:uid="{00000000-0005-0000-0000-00001F170000}"/>
    <cellStyle name="Normal 5 2 2 2 2 2 7 2 2" xfId="23733" xr:uid="{AF85CED0-3709-4B62-93C6-A10A411F8567}"/>
    <cellStyle name="Normal 5 2 2 2 2 2 7 2 3" xfId="32179" xr:uid="{03610E2B-1CEF-4B04-9CAA-808F95305122}"/>
    <cellStyle name="Normal 5 2 2 2 2 2 7 2 4" xfId="15292" xr:uid="{D792DFC0-8CCE-426C-9BCD-DD0D3949BD9A}"/>
    <cellStyle name="Normal 5 2 2 2 2 2 7 3" xfId="19515" xr:uid="{4D35753A-2401-460B-94A6-958A872C72B8}"/>
    <cellStyle name="Normal 5 2 2 2 2 2 7 4" xfId="27960" xr:uid="{2810CEDF-5823-4E20-8AF3-D8A9F81AE42F}"/>
    <cellStyle name="Normal 5 2 2 2 2 2 7 5" xfId="11074" xr:uid="{0091BF48-541F-4715-9C6E-0BCD989EA0C3}"/>
    <cellStyle name="Normal 5 2 2 2 2 2 8" xfId="4785" xr:uid="{00000000-0005-0000-0000-000020170000}"/>
    <cellStyle name="Normal 5 2 2 2 2 2 8 2" xfId="21668" xr:uid="{7010D2F0-7511-4F11-B4C5-7949A3937C74}"/>
    <cellStyle name="Normal 5 2 2 2 2 2 8 3" xfId="30114" xr:uid="{12B024DC-8613-48EC-A2E0-B63BAFBE5B58}"/>
    <cellStyle name="Normal 5 2 2 2 2 2 8 4" xfId="13227" xr:uid="{DAEE02C0-8E75-47DC-9D60-5666E6934B64}"/>
    <cellStyle name="Normal 5 2 2 2 2 2 9" xfId="17450" xr:uid="{CBA87B87-2F5D-4F86-AA7D-BC1F645936E1}"/>
    <cellStyle name="Normal 5 2 2 2 2 3" xfId="413" xr:uid="{00000000-0005-0000-0000-000021170000}"/>
    <cellStyle name="Normal 5 2 2 2 2 3 10" xfId="9011" xr:uid="{1A4CF9DC-E15C-459C-8CED-F65A825ACDE8}"/>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24228" xr:uid="{A33C50F0-3902-43D3-8917-B2E4082AEE1B}"/>
    <cellStyle name="Normal 5 2 2 2 2 3 2 2 2 3" xfId="32674" xr:uid="{8F3A6781-C2F1-4A1E-8208-9C89FB69B885}"/>
    <cellStyle name="Normal 5 2 2 2 2 3 2 2 2 4" xfId="15787" xr:uid="{33F68ED0-DF4F-4988-8831-F2F86E7DCC8A}"/>
    <cellStyle name="Normal 5 2 2 2 2 3 2 2 3" xfId="20010" xr:uid="{DC878B3C-B702-4D4C-ACE0-275018863D9B}"/>
    <cellStyle name="Normal 5 2 2 2 2 3 2 2 4" xfId="28457" xr:uid="{52042162-4A68-4BEB-8DA4-FD58C63AA255}"/>
    <cellStyle name="Normal 5 2 2 2 2 3 2 2 5" xfId="11569" xr:uid="{7D78C1C3-FAFF-4B6B-8FB8-4A111D43773E}"/>
    <cellStyle name="Normal 5 2 2 2 2 3 2 3" xfId="5200" xr:uid="{00000000-0005-0000-0000-000025170000}"/>
    <cellStyle name="Normal 5 2 2 2 2 3 2 3 2" xfId="22083" xr:uid="{E634CD64-F675-4719-8B39-71650AC673FD}"/>
    <cellStyle name="Normal 5 2 2 2 2 3 2 3 3" xfId="30529" xr:uid="{EB128CC1-15D0-4037-B31A-DCE31EF1F2D5}"/>
    <cellStyle name="Normal 5 2 2 2 2 3 2 3 4" xfId="13642" xr:uid="{C7693E2D-0EF7-447C-B58D-567D428D9E7F}"/>
    <cellStyle name="Normal 5 2 2 2 2 3 2 4" xfId="17865" xr:uid="{B9402FC7-0ADD-44F3-9FFB-B85A3BB1C59C}"/>
    <cellStyle name="Normal 5 2 2 2 2 3 2 5" xfId="26310" xr:uid="{787D7667-67EC-4C78-9A87-4D57FE4E9418}"/>
    <cellStyle name="Normal 5 2 2 2 2 3 2 6" xfId="9424" xr:uid="{443FD265-8409-4105-8252-DF6040CD6CCB}"/>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24641" xr:uid="{E186F642-4F90-48F2-825B-72C2DF7F7545}"/>
    <cellStyle name="Normal 5 2 2 2 2 3 3 2 2 3" xfId="33087" xr:uid="{3C54BE65-086B-4C33-B4BD-60F279960392}"/>
    <cellStyle name="Normal 5 2 2 2 2 3 3 2 2 4" xfId="16200" xr:uid="{C39E6D33-E030-4340-9C02-B14DD36148E0}"/>
    <cellStyle name="Normal 5 2 2 2 2 3 3 2 3" xfId="20423" xr:uid="{C5392432-1803-4EF9-84D2-033796355505}"/>
    <cellStyle name="Normal 5 2 2 2 2 3 3 2 4" xfId="28870" xr:uid="{A2166C61-4A97-4BB3-B401-A340615A4830}"/>
    <cellStyle name="Normal 5 2 2 2 2 3 3 2 5" xfId="11982" xr:uid="{4A322E80-FB98-4A68-B139-40F9D570D26F}"/>
    <cellStyle name="Normal 5 2 2 2 2 3 3 3" xfId="5613" xr:uid="{00000000-0005-0000-0000-000029170000}"/>
    <cellStyle name="Normal 5 2 2 2 2 3 3 3 2" xfId="22496" xr:uid="{719A4D98-C2E2-4C01-A29D-5BB9458CBC9F}"/>
    <cellStyle name="Normal 5 2 2 2 2 3 3 3 3" xfId="30942" xr:uid="{1ECA11F6-CA68-4B47-AB9C-790603CD485B}"/>
    <cellStyle name="Normal 5 2 2 2 2 3 3 3 4" xfId="14055" xr:uid="{FED711B4-6F5A-49AC-9F63-9A747E6D6517}"/>
    <cellStyle name="Normal 5 2 2 2 2 3 3 4" xfId="18278" xr:uid="{553B303D-EA7E-4E6E-A86E-AAE982A9A95D}"/>
    <cellStyle name="Normal 5 2 2 2 2 3 3 5" xfId="26723" xr:uid="{377AB173-F821-43F7-91DC-62510A0B7529}"/>
    <cellStyle name="Normal 5 2 2 2 2 3 3 6" xfId="9837" xr:uid="{A0DC0F58-210D-44DA-9ED3-B473764877D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25054" xr:uid="{3C6A26D3-B02F-4F9B-93E7-173C08857C2B}"/>
    <cellStyle name="Normal 5 2 2 2 2 3 4 2 2 3" xfId="33500" xr:uid="{4F0B4C8C-5116-45F8-8C01-C2880DEBDDF4}"/>
    <cellStyle name="Normal 5 2 2 2 2 3 4 2 2 4" xfId="16613" xr:uid="{A4EE5D04-A941-41ED-B47C-6ADE4B248B32}"/>
    <cellStyle name="Normal 5 2 2 2 2 3 4 2 3" xfId="20836" xr:uid="{C82DCCBF-5148-474A-81E0-16EEC0F60CA5}"/>
    <cellStyle name="Normal 5 2 2 2 2 3 4 2 4" xfId="29283" xr:uid="{7003EF6B-9B36-47D9-B1D5-711FBFFE2B7C}"/>
    <cellStyle name="Normal 5 2 2 2 2 3 4 2 5" xfId="12395" xr:uid="{BDF533E3-ABCE-46D8-AC3E-8CB1BCDE5C67}"/>
    <cellStyle name="Normal 5 2 2 2 2 3 4 3" xfId="6026" xr:uid="{00000000-0005-0000-0000-00002D170000}"/>
    <cellStyle name="Normal 5 2 2 2 2 3 4 3 2" xfId="22909" xr:uid="{42B33C89-8A5B-4F5A-B9B6-252D163CB594}"/>
    <cellStyle name="Normal 5 2 2 2 2 3 4 3 3" xfId="31355" xr:uid="{952BB7DA-981F-4B18-B80B-98B2DB349E06}"/>
    <cellStyle name="Normal 5 2 2 2 2 3 4 3 4" xfId="14468" xr:uid="{7C1163EC-7EE1-4194-AFF3-2E501FD68A18}"/>
    <cellStyle name="Normal 5 2 2 2 2 3 4 4" xfId="18691" xr:uid="{F19C1CD3-21B9-453A-9A2D-A8A08509A3B1}"/>
    <cellStyle name="Normal 5 2 2 2 2 3 4 5" xfId="27136" xr:uid="{31AE0E63-364B-4EDD-B3F4-2935294200D6}"/>
    <cellStyle name="Normal 5 2 2 2 2 3 4 6" xfId="10250" xr:uid="{38EFAB12-42CC-4EC6-9E36-F9DEF990B459}"/>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25467" xr:uid="{0948827C-5911-4100-B52B-7ED66B122D93}"/>
    <cellStyle name="Normal 5 2 2 2 2 3 5 2 2 3" xfId="33913" xr:uid="{2AEDCC6E-08DC-4F10-91C2-03263AA818D6}"/>
    <cellStyle name="Normal 5 2 2 2 2 3 5 2 2 4" xfId="17026" xr:uid="{D8A696FF-69AC-40FE-B2B0-F356E9E1C800}"/>
    <cellStyle name="Normal 5 2 2 2 2 3 5 2 3" xfId="21249" xr:uid="{80023E2C-9908-4F96-8585-FB260459E066}"/>
    <cellStyle name="Normal 5 2 2 2 2 3 5 2 4" xfId="29696" xr:uid="{4262E735-6FAE-4585-B464-238B9DF00FEB}"/>
    <cellStyle name="Normal 5 2 2 2 2 3 5 2 5" xfId="12808" xr:uid="{2CD1494D-A994-4C60-B1F2-E950D42D5FED}"/>
    <cellStyle name="Normal 5 2 2 2 2 3 5 3" xfId="6439" xr:uid="{00000000-0005-0000-0000-000031170000}"/>
    <cellStyle name="Normal 5 2 2 2 2 3 5 3 2" xfId="23322" xr:uid="{3732C150-4C8C-4501-A6A0-6340A9FCE79C}"/>
    <cellStyle name="Normal 5 2 2 2 2 3 5 3 3" xfId="31768" xr:uid="{68FF530A-947D-4669-B5F4-12BCF363C2ED}"/>
    <cellStyle name="Normal 5 2 2 2 2 3 5 3 4" xfId="14881" xr:uid="{094A9754-DB6A-4CA6-83E4-A24128818821}"/>
    <cellStyle name="Normal 5 2 2 2 2 3 5 4" xfId="19104" xr:uid="{31045297-5ECC-4403-B25C-DD5AB0BB9FCD}"/>
    <cellStyle name="Normal 5 2 2 2 2 3 5 5" xfId="27549" xr:uid="{C409BB6D-86C0-44A1-BDA2-4506660769B6}"/>
    <cellStyle name="Normal 5 2 2 2 2 3 5 6" xfId="10663" xr:uid="{8BA56BF1-9EAD-4E9A-B6C2-BB6E182A1F45}"/>
    <cellStyle name="Normal 5 2 2 2 2 3 6" xfId="2568" xr:uid="{00000000-0005-0000-0000-000032170000}"/>
    <cellStyle name="Normal 5 2 2 2 2 3 6 2" xfId="6852" xr:uid="{00000000-0005-0000-0000-000033170000}"/>
    <cellStyle name="Normal 5 2 2 2 2 3 6 2 2" xfId="23735" xr:uid="{DD79B3F8-2248-4AEB-81FC-FFDC65841C88}"/>
    <cellStyle name="Normal 5 2 2 2 2 3 6 2 3" xfId="32181" xr:uid="{35CF217E-142C-4F88-8896-EE09FB7A8862}"/>
    <cellStyle name="Normal 5 2 2 2 2 3 6 2 4" xfId="15294" xr:uid="{34DCB1AB-7E3F-4371-809A-9E27D9C71A27}"/>
    <cellStyle name="Normal 5 2 2 2 2 3 6 3" xfId="19517" xr:uid="{5BC6BA39-2ED2-4B77-8997-1147483F0F7D}"/>
    <cellStyle name="Normal 5 2 2 2 2 3 6 4" xfId="27962" xr:uid="{7F73B729-4CDD-45DB-98D3-AE435CCA5FCB}"/>
    <cellStyle name="Normal 5 2 2 2 2 3 6 5" xfId="11076" xr:uid="{7E501AA0-E07B-4826-9DB6-DADBB8C50E58}"/>
    <cellStyle name="Normal 5 2 2 2 2 3 7" xfId="4787" xr:uid="{00000000-0005-0000-0000-000034170000}"/>
    <cellStyle name="Normal 5 2 2 2 2 3 7 2" xfId="21670" xr:uid="{758FA6F9-4639-430A-952D-4FB4538036FB}"/>
    <cellStyle name="Normal 5 2 2 2 2 3 7 3" xfId="30116" xr:uid="{D56C3393-9E7F-4C6F-8FEF-BC9F5BF34F7D}"/>
    <cellStyle name="Normal 5 2 2 2 2 3 7 4" xfId="13229" xr:uid="{C3C3FEDD-C621-463F-9A6D-8A8BDC3A5332}"/>
    <cellStyle name="Normal 5 2 2 2 2 3 8" xfId="17452" xr:uid="{0FA1F409-508C-43CB-A2E5-6F5A260288A6}"/>
    <cellStyle name="Normal 5 2 2 2 2 3 9" xfId="25896" xr:uid="{6B2C4242-4D2D-42D6-BFBE-A89FBAD9C756}"/>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24225" xr:uid="{090B9178-57A9-4402-9382-4672B94BEA47}"/>
    <cellStyle name="Normal 5 2 2 2 2 4 2 2 3" xfId="32671" xr:uid="{BF4E584C-656A-4E19-9641-EDC35CA07F6A}"/>
    <cellStyle name="Normal 5 2 2 2 2 4 2 2 4" xfId="15784" xr:uid="{B9B0A6CE-936B-4227-8B2C-43F5A4D9CEC7}"/>
    <cellStyle name="Normal 5 2 2 2 2 4 2 3" xfId="20007" xr:uid="{B8252387-10E0-4D3F-AF36-1A3464DBD81A}"/>
    <cellStyle name="Normal 5 2 2 2 2 4 2 4" xfId="28454" xr:uid="{3CDC7F83-221A-47AD-86F9-B2F6D4E9B54B}"/>
    <cellStyle name="Normal 5 2 2 2 2 4 2 5" xfId="11566" xr:uid="{648E3E5B-2D4E-4508-AE29-0490BA017315}"/>
    <cellStyle name="Normal 5 2 2 2 2 4 3" xfId="5197" xr:uid="{00000000-0005-0000-0000-000038170000}"/>
    <cellStyle name="Normal 5 2 2 2 2 4 3 2" xfId="22080" xr:uid="{34097DEA-1430-434A-819C-81583E6EDEF9}"/>
    <cellStyle name="Normal 5 2 2 2 2 4 3 3" xfId="30526" xr:uid="{83D9B8AD-4162-420F-8734-36639FE437E9}"/>
    <cellStyle name="Normal 5 2 2 2 2 4 3 4" xfId="13639" xr:uid="{3B137B28-4640-45B7-B43E-3844598300E3}"/>
    <cellStyle name="Normal 5 2 2 2 2 4 4" xfId="17862" xr:uid="{3CD183DA-139D-400E-B145-F4999FBFC4AA}"/>
    <cellStyle name="Normal 5 2 2 2 2 4 5" xfId="26307" xr:uid="{B80DE2C2-86F8-4773-906E-C01A2550715A}"/>
    <cellStyle name="Normal 5 2 2 2 2 4 6" xfId="9421" xr:uid="{78E25223-1599-463C-9809-1E4792222EC3}"/>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24638" xr:uid="{B5803CE3-45B3-4810-A351-B74D777E0836}"/>
    <cellStyle name="Normal 5 2 2 2 2 5 2 2 3" xfId="33084" xr:uid="{9B7877C0-4431-4E2A-BF08-B8EC4AC8F7C6}"/>
    <cellStyle name="Normal 5 2 2 2 2 5 2 2 4" xfId="16197" xr:uid="{878B3A8D-1920-4E44-9390-F21DBD681314}"/>
    <cellStyle name="Normal 5 2 2 2 2 5 2 3" xfId="20420" xr:uid="{46991881-2D33-431B-A7B8-4CEE629CCAB4}"/>
    <cellStyle name="Normal 5 2 2 2 2 5 2 4" xfId="28867" xr:uid="{10B0A171-A66B-4DA8-BC11-772ED15F7678}"/>
    <cellStyle name="Normal 5 2 2 2 2 5 2 5" xfId="11979" xr:uid="{FA652ED8-397D-40BD-8FBE-E892C61CECA0}"/>
    <cellStyle name="Normal 5 2 2 2 2 5 3" xfId="5610" xr:uid="{00000000-0005-0000-0000-00003C170000}"/>
    <cellStyle name="Normal 5 2 2 2 2 5 3 2" xfId="22493" xr:uid="{8341275C-6248-4812-A0D1-DB0E7FBBB830}"/>
    <cellStyle name="Normal 5 2 2 2 2 5 3 3" xfId="30939" xr:uid="{DDC4E19E-C130-4BDD-90DC-4561442CAF2A}"/>
    <cellStyle name="Normal 5 2 2 2 2 5 3 4" xfId="14052" xr:uid="{A546A514-770D-40A0-A9AB-278B3642BE12}"/>
    <cellStyle name="Normal 5 2 2 2 2 5 4" xfId="18275" xr:uid="{6693CE2A-D624-4C58-ABFE-C4F1F187D13F}"/>
    <cellStyle name="Normal 5 2 2 2 2 5 5" xfId="26720" xr:uid="{4C2D69FA-1323-438B-9573-E770BD82C985}"/>
    <cellStyle name="Normal 5 2 2 2 2 5 6" xfId="9834" xr:uid="{E13817A1-F989-4D58-B8E0-F32D6B450FDF}"/>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25051" xr:uid="{3176CEF3-3DEA-4678-A07B-7927C978E20C}"/>
    <cellStyle name="Normal 5 2 2 2 2 6 2 2 3" xfId="33497" xr:uid="{571669D6-38D5-4684-BFB0-4A55A61C0513}"/>
    <cellStyle name="Normal 5 2 2 2 2 6 2 2 4" xfId="16610" xr:uid="{8F9056F1-145B-44D3-9FFD-ACBA0F852B52}"/>
    <cellStyle name="Normal 5 2 2 2 2 6 2 3" xfId="20833" xr:uid="{DC08D209-083A-448C-882B-F34DA26EEC41}"/>
    <cellStyle name="Normal 5 2 2 2 2 6 2 4" xfId="29280" xr:uid="{F61D48D6-638F-41CE-BDD9-8F8811260013}"/>
    <cellStyle name="Normal 5 2 2 2 2 6 2 5" xfId="12392" xr:uid="{B0B3CC0F-CDD9-4E0D-8585-4E2FAB4FA6B4}"/>
    <cellStyle name="Normal 5 2 2 2 2 6 3" xfId="6023" xr:uid="{00000000-0005-0000-0000-000040170000}"/>
    <cellStyle name="Normal 5 2 2 2 2 6 3 2" xfId="22906" xr:uid="{6A2A6043-1630-4298-9AE6-03370F372430}"/>
    <cellStyle name="Normal 5 2 2 2 2 6 3 3" xfId="31352" xr:uid="{B7B4DC38-E0C0-4C30-ACE8-E8547F7CD589}"/>
    <cellStyle name="Normal 5 2 2 2 2 6 3 4" xfId="14465" xr:uid="{83C258FD-1BC5-4EC1-8A8B-FCA600D5B8B7}"/>
    <cellStyle name="Normal 5 2 2 2 2 6 4" xfId="18688" xr:uid="{E236BD95-946D-4325-B795-EF697A686E04}"/>
    <cellStyle name="Normal 5 2 2 2 2 6 5" xfId="27133" xr:uid="{2A1D32B8-D763-45E9-BA98-EDD20D6098A8}"/>
    <cellStyle name="Normal 5 2 2 2 2 6 6" xfId="10247" xr:uid="{0FBFEE5F-4BD6-4891-82B0-55FB8CB6D42C}"/>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25464" xr:uid="{A55BB205-4996-4BBF-B918-6A0166C69957}"/>
    <cellStyle name="Normal 5 2 2 2 2 7 2 2 3" xfId="33910" xr:uid="{17E0D2E0-2BE1-47B2-96AE-DF7C1475A527}"/>
    <cellStyle name="Normal 5 2 2 2 2 7 2 2 4" xfId="17023" xr:uid="{8B41CA2A-D832-4EBE-8078-BEC227D93F42}"/>
    <cellStyle name="Normal 5 2 2 2 2 7 2 3" xfId="21246" xr:uid="{EEBEF139-48F0-4706-B4F9-6DBF1D9011C5}"/>
    <cellStyle name="Normal 5 2 2 2 2 7 2 4" xfId="29693" xr:uid="{1A18826C-3059-43F4-BA16-27D5D4449F35}"/>
    <cellStyle name="Normal 5 2 2 2 2 7 2 5" xfId="12805" xr:uid="{BB6A61B5-A69A-4E5F-A4BA-C1B5C90D7AAA}"/>
    <cellStyle name="Normal 5 2 2 2 2 7 3" xfId="6436" xr:uid="{00000000-0005-0000-0000-000044170000}"/>
    <cellStyle name="Normal 5 2 2 2 2 7 3 2" xfId="23319" xr:uid="{641F615A-ADA1-4561-B778-DF8BAFFE1621}"/>
    <cellStyle name="Normal 5 2 2 2 2 7 3 3" xfId="31765" xr:uid="{7F1FAB02-C32C-400C-B5AA-9C4203324C30}"/>
    <cellStyle name="Normal 5 2 2 2 2 7 3 4" xfId="14878" xr:uid="{C6303A60-D3B4-4682-93FF-A59F435F9CEC}"/>
    <cellStyle name="Normal 5 2 2 2 2 7 4" xfId="19101" xr:uid="{32C72DDC-40F5-44C6-AE40-B814BAB0D37B}"/>
    <cellStyle name="Normal 5 2 2 2 2 7 5" xfId="27546" xr:uid="{6F1DC5DB-CA43-434F-BD2E-5420AC04E8A5}"/>
    <cellStyle name="Normal 5 2 2 2 2 7 6" xfId="10660" xr:uid="{A9FB8FF8-B2A1-42DA-B0D4-4D6C96C6B56D}"/>
    <cellStyle name="Normal 5 2 2 2 2 8" xfId="2565" xr:uid="{00000000-0005-0000-0000-000045170000}"/>
    <cellStyle name="Normal 5 2 2 2 2 8 2" xfId="6849" xr:uid="{00000000-0005-0000-0000-000046170000}"/>
    <cellStyle name="Normal 5 2 2 2 2 8 2 2" xfId="23732" xr:uid="{251465FB-FD7B-4778-9B38-22E2963E2AF4}"/>
    <cellStyle name="Normal 5 2 2 2 2 8 2 3" xfId="32178" xr:uid="{28D5E41E-BB35-45AB-9AA2-D31C87CBA77C}"/>
    <cellStyle name="Normal 5 2 2 2 2 8 2 4" xfId="15291" xr:uid="{55140139-9584-4D0B-9BE9-47B4272DF0E4}"/>
    <cellStyle name="Normal 5 2 2 2 2 8 3" xfId="19514" xr:uid="{AB1EF367-26AC-47C7-9E85-E4797CE44038}"/>
    <cellStyle name="Normal 5 2 2 2 2 8 4" xfId="27959" xr:uid="{8E6E45AF-1777-41EF-9CFC-BC0E833B200E}"/>
    <cellStyle name="Normal 5 2 2 2 2 8 5" xfId="11073" xr:uid="{5EA4027F-4D0C-4AF4-8DD3-1D14305156D2}"/>
    <cellStyle name="Normal 5 2 2 2 2 9" xfId="4784" xr:uid="{00000000-0005-0000-0000-000047170000}"/>
    <cellStyle name="Normal 5 2 2 2 2 9 2" xfId="21667" xr:uid="{49AFA679-F18D-454E-8F3A-ECD4D0FCF91E}"/>
    <cellStyle name="Normal 5 2 2 2 2 9 3" xfId="30113" xr:uid="{9CBAF3DA-9597-4552-8E4B-C5547926E151}"/>
    <cellStyle name="Normal 5 2 2 2 2 9 4" xfId="13226" xr:uid="{ABB55FA2-E225-42DA-BBFB-D783233C98BD}"/>
    <cellStyle name="Normal 5 2 2 2 3" xfId="414" xr:uid="{00000000-0005-0000-0000-000048170000}"/>
    <cellStyle name="Normal 5 2 2 2 3 10" xfId="25897" xr:uid="{71041EEC-ECC7-4907-99BB-A0E8E08A51C8}"/>
    <cellStyle name="Normal 5 2 2 2 3 11" xfId="9012" xr:uid="{967D050C-7A54-4F84-8FC9-BE5D1556610A}"/>
    <cellStyle name="Normal 5 2 2 2 3 2" xfId="415" xr:uid="{00000000-0005-0000-0000-000049170000}"/>
    <cellStyle name="Normal 5 2 2 2 3 2 10" xfId="9013" xr:uid="{93594D02-CA3B-4B28-988A-0832E6CB54F5}"/>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24230" xr:uid="{522B2CF3-A047-415E-B841-F0AFD6211DE6}"/>
    <cellStyle name="Normal 5 2 2 2 3 2 2 2 2 3" xfId="32676" xr:uid="{A4BDECD7-6A44-47C5-A47B-E05919DB62BB}"/>
    <cellStyle name="Normal 5 2 2 2 3 2 2 2 2 4" xfId="15789" xr:uid="{E186B5A1-350B-44DA-8A6D-01BFDDEF4D87}"/>
    <cellStyle name="Normal 5 2 2 2 3 2 2 2 3" xfId="20012" xr:uid="{476527AD-6D35-4161-B2A1-DAC836AD58E2}"/>
    <cellStyle name="Normal 5 2 2 2 3 2 2 2 4" xfId="28459" xr:uid="{693899F6-C6AD-456A-BE9A-A605ECCE3357}"/>
    <cellStyle name="Normal 5 2 2 2 3 2 2 2 5" xfId="11571" xr:uid="{10FC3B62-55DB-4622-AC2B-29E7F30FDDCD}"/>
    <cellStyle name="Normal 5 2 2 2 3 2 2 3" xfId="5202" xr:uid="{00000000-0005-0000-0000-00004D170000}"/>
    <cellStyle name="Normal 5 2 2 2 3 2 2 3 2" xfId="22085" xr:uid="{1069336F-A2A0-4366-8B6F-913F167BE883}"/>
    <cellStyle name="Normal 5 2 2 2 3 2 2 3 3" xfId="30531" xr:uid="{E1DBC8D6-86D4-4D60-A313-6F82EA25D49A}"/>
    <cellStyle name="Normal 5 2 2 2 3 2 2 3 4" xfId="13644" xr:uid="{79471585-B6A9-4B60-AA6D-179ED7B25994}"/>
    <cellStyle name="Normal 5 2 2 2 3 2 2 4" xfId="17867" xr:uid="{1242EAFB-BD7E-4D90-AB54-BC38A634D4B0}"/>
    <cellStyle name="Normal 5 2 2 2 3 2 2 5" xfId="26312" xr:uid="{BE0B15D7-6860-4F38-A412-EEE020C43C59}"/>
    <cellStyle name="Normal 5 2 2 2 3 2 2 6" xfId="9426" xr:uid="{F684C082-A381-4F2D-992C-870CC7C6DABC}"/>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24643" xr:uid="{426B48E1-C3DC-4D22-81AE-C419635614F0}"/>
    <cellStyle name="Normal 5 2 2 2 3 2 3 2 2 3" xfId="33089" xr:uid="{BE1C93FF-2355-4C4B-A800-2B88AE441E4D}"/>
    <cellStyle name="Normal 5 2 2 2 3 2 3 2 2 4" xfId="16202" xr:uid="{73140192-3E8F-4595-8400-4B3A2E72CDCE}"/>
    <cellStyle name="Normal 5 2 2 2 3 2 3 2 3" xfId="20425" xr:uid="{BB75A138-9491-4501-B847-9CA662FCC8C8}"/>
    <cellStyle name="Normal 5 2 2 2 3 2 3 2 4" xfId="28872" xr:uid="{E9CF600C-6367-48D2-A4E5-98222FF0FA4D}"/>
    <cellStyle name="Normal 5 2 2 2 3 2 3 2 5" xfId="11984" xr:uid="{14C1D59B-9DF0-43F4-A566-6E1EAA34FBD4}"/>
    <cellStyle name="Normal 5 2 2 2 3 2 3 3" xfId="5615" xr:uid="{00000000-0005-0000-0000-000051170000}"/>
    <cellStyle name="Normal 5 2 2 2 3 2 3 3 2" xfId="22498" xr:uid="{D579EE69-6E7E-4E6A-B236-842664A35149}"/>
    <cellStyle name="Normal 5 2 2 2 3 2 3 3 3" xfId="30944" xr:uid="{78E76B30-C157-452A-BF73-86053322A3E0}"/>
    <cellStyle name="Normal 5 2 2 2 3 2 3 3 4" xfId="14057" xr:uid="{3B546FA6-3F95-4C81-A997-EE4158749877}"/>
    <cellStyle name="Normal 5 2 2 2 3 2 3 4" xfId="18280" xr:uid="{7E248CE1-236F-40BC-9609-3BC171A96082}"/>
    <cellStyle name="Normal 5 2 2 2 3 2 3 5" xfId="26725" xr:uid="{2A08B8A2-8468-4AE1-97A6-AE0F021DE46D}"/>
    <cellStyle name="Normal 5 2 2 2 3 2 3 6" xfId="9839" xr:uid="{D695B3E1-93D8-449C-B24E-4785AF32EA03}"/>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25056" xr:uid="{5A6E8EE2-0E5C-4CC8-B323-CFAAAD7463F7}"/>
    <cellStyle name="Normal 5 2 2 2 3 2 4 2 2 3" xfId="33502" xr:uid="{17C3AC68-6F34-4DA9-9602-461C31072A25}"/>
    <cellStyle name="Normal 5 2 2 2 3 2 4 2 2 4" xfId="16615" xr:uid="{9AB543B7-F9C3-43CB-A25D-6292DFCE4FA4}"/>
    <cellStyle name="Normal 5 2 2 2 3 2 4 2 3" xfId="20838" xr:uid="{9E867959-0CCF-452B-964F-B5EC297A5EE3}"/>
    <cellStyle name="Normal 5 2 2 2 3 2 4 2 4" xfId="29285" xr:uid="{8F79828B-DB7F-4A13-A652-656B6DA369C5}"/>
    <cellStyle name="Normal 5 2 2 2 3 2 4 2 5" xfId="12397" xr:uid="{78B113EF-AD0E-40BE-84CB-B166B94213C6}"/>
    <cellStyle name="Normal 5 2 2 2 3 2 4 3" xfId="6028" xr:uid="{00000000-0005-0000-0000-000055170000}"/>
    <cellStyle name="Normal 5 2 2 2 3 2 4 3 2" xfId="22911" xr:uid="{7E00E80E-7ACE-4D70-8F02-F140334112FC}"/>
    <cellStyle name="Normal 5 2 2 2 3 2 4 3 3" xfId="31357" xr:uid="{3E4D7379-B645-4772-BE50-62539A7D23D2}"/>
    <cellStyle name="Normal 5 2 2 2 3 2 4 3 4" xfId="14470" xr:uid="{8A04A5A9-EC07-4B23-831C-C448D27A1BF4}"/>
    <cellStyle name="Normal 5 2 2 2 3 2 4 4" xfId="18693" xr:uid="{7DD1562F-2CA6-4320-9B16-395CEDC0A847}"/>
    <cellStyle name="Normal 5 2 2 2 3 2 4 5" xfId="27138" xr:uid="{F9DEA20F-148C-4E37-819F-025F72ED94BE}"/>
    <cellStyle name="Normal 5 2 2 2 3 2 4 6" xfId="10252" xr:uid="{68EB63F1-9D2F-4808-BB0C-4A02F06825AD}"/>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25469" xr:uid="{62E00DFC-E709-4D5B-9BBA-A69F5372A0BE}"/>
    <cellStyle name="Normal 5 2 2 2 3 2 5 2 2 3" xfId="33915" xr:uid="{F534C9F5-34F3-4933-B839-AE2C75FB62B2}"/>
    <cellStyle name="Normal 5 2 2 2 3 2 5 2 2 4" xfId="17028" xr:uid="{BB3854AA-02D2-4079-B08D-4DB1714386E8}"/>
    <cellStyle name="Normal 5 2 2 2 3 2 5 2 3" xfId="21251" xr:uid="{57D41BC4-5C45-4528-997F-794D4E599ACD}"/>
    <cellStyle name="Normal 5 2 2 2 3 2 5 2 4" xfId="29698" xr:uid="{A0630C09-0953-4F5F-B551-8ACF5B51F7A1}"/>
    <cellStyle name="Normal 5 2 2 2 3 2 5 2 5" xfId="12810" xr:uid="{48A5555A-7B20-49AA-A154-03AF0A2AC174}"/>
    <cellStyle name="Normal 5 2 2 2 3 2 5 3" xfId="6441" xr:uid="{00000000-0005-0000-0000-000059170000}"/>
    <cellStyle name="Normal 5 2 2 2 3 2 5 3 2" xfId="23324" xr:uid="{9B6004D5-435E-4A25-9726-4BF2819B5032}"/>
    <cellStyle name="Normal 5 2 2 2 3 2 5 3 3" xfId="31770" xr:uid="{E37B3C19-7007-42CF-B0EA-82E279A7F76A}"/>
    <cellStyle name="Normal 5 2 2 2 3 2 5 3 4" xfId="14883" xr:uid="{EE8F21A9-ECCA-4073-A8DA-6236EAE24207}"/>
    <cellStyle name="Normal 5 2 2 2 3 2 5 4" xfId="19106" xr:uid="{7BC1422C-5BF3-47A6-83A2-1FD796C66451}"/>
    <cellStyle name="Normal 5 2 2 2 3 2 5 5" xfId="27551" xr:uid="{0AB728F4-9110-4F70-8A7E-FBB374E7D9FF}"/>
    <cellStyle name="Normal 5 2 2 2 3 2 5 6" xfId="10665" xr:uid="{2741A2DF-F6B8-441A-87B2-73FFDAD42019}"/>
    <cellStyle name="Normal 5 2 2 2 3 2 6" xfId="2570" xr:uid="{00000000-0005-0000-0000-00005A170000}"/>
    <cellStyle name="Normal 5 2 2 2 3 2 6 2" xfId="6854" xr:uid="{00000000-0005-0000-0000-00005B170000}"/>
    <cellStyle name="Normal 5 2 2 2 3 2 6 2 2" xfId="23737" xr:uid="{F5C7E49B-2E3F-485A-84DC-D552C9984FC1}"/>
    <cellStyle name="Normal 5 2 2 2 3 2 6 2 3" xfId="32183" xr:uid="{132F8DD4-9284-4941-9A9B-0088C9A90335}"/>
    <cellStyle name="Normal 5 2 2 2 3 2 6 2 4" xfId="15296" xr:uid="{57B22AB5-92FF-498E-9CAB-EFF1EDBB9DF5}"/>
    <cellStyle name="Normal 5 2 2 2 3 2 6 3" xfId="19519" xr:uid="{81B541AA-99A2-48FA-9ED0-72EB6E918982}"/>
    <cellStyle name="Normal 5 2 2 2 3 2 6 4" xfId="27964" xr:uid="{B6AAC763-2525-4F93-AFFF-A9DA4CDE0C09}"/>
    <cellStyle name="Normal 5 2 2 2 3 2 6 5" xfId="11078" xr:uid="{01A1E2FA-1BD7-4B1D-9075-FB59C07E60C0}"/>
    <cellStyle name="Normal 5 2 2 2 3 2 7" xfId="4789" xr:uid="{00000000-0005-0000-0000-00005C170000}"/>
    <cellStyle name="Normal 5 2 2 2 3 2 7 2" xfId="21672" xr:uid="{E3420F3C-05F5-4003-BE4F-207D39EEEA60}"/>
    <cellStyle name="Normal 5 2 2 2 3 2 7 3" xfId="30118" xr:uid="{22491F39-C105-4BAF-8A09-663B04004170}"/>
    <cellStyle name="Normal 5 2 2 2 3 2 7 4" xfId="13231" xr:uid="{5389425D-D9DC-477C-ACB7-0249976E5A04}"/>
    <cellStyle name="Normal 5 2 2 2 3 2 8" xfId="17454" xr:uid="{B92A82D5-F7E1-4B3B-B42A-44416CBE3BF8}"/>
    <cellStyle name="Normal 5 2 2 2 3 2 9" xfId="25898" xr:uid="{02A6429D-5E62-498B-8CCE-19E20BFDA96B}"/>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24229" xr:uid="{19F4E9B0-91AE-4699-8643-38112487B3D6}"/>
    <cellStyle name="Normal 5 2 2 2 3 3 2 2 3" xfId="32675" xr:uid="{4C6B1672-E66D-4935-A507-A105783B3CDD}"/>
    <cellStyle name="Normal 5 2 2 2 3 3 2 2 4" xfId="15788" xr:uid="{E8562298-CCF3-4207-AC2F-DA8E696BD704}"/>
    <cellStyle name="Normal 5 2 2 2 3 3 2 3" xfId="20011" xr:uid="{FE42F6D1-37E3-4ED5-B387-93EE2781104A}"/>
    <cellStyle name="Normal 5 2 2 2 3 3 2 4" xfId="28458" xr:uid="{3DAE6FDE-93CF-410B-A042-F3F4CC5713C4}"/>
    <cellStyle name="Normal 5 2 2 2 3 3 2 5" xfId="11570" xr:uid="{1045B5F5-E448-44B9-AD96-3A83AA36D647}"/>
    <cellStyle name="Normal 5 2 2 2 3 3 3" xfId="5201" xr:uid="{00000000-0005-0000-0000-000060170000}"/>
    <cellStyle name="Normal 5 2 2 2 3 3 3 2" xfId="22084" xr:uid="{6C0191E9-F224-4CEA-B48D-7C1D912EDA5D}"/>
    <cellStyle name="Normal 5 2 2 2 3 3 3 3" xfId="30530" xr:uid="{47300B51-C3C7-4D85-BE74-63E2E54BEAC3}"/>
    <cellStyle name="Normal 5 2 2 2 3 3 3 4" xfId="13643" xr:uid="{F49D23F0-D5D7-45AC-BCA6-0CF153E7FACB}"/>
    <cellStyle name="Normal 5 2 2 2 3 3 4" xfId="17866" xr:uid="{B91B1BF2-08C9-416C-BB83-E975DC24DB59}"/>
    <cellStyle name="Normal 5 2 2 2 3 3 5" xfId="26311" xr:uid="{5FE9ACF8-C121-4508-9F0B-3AEF250E40BC}"/>
    <cellStyle name="Normal 5 2 2 2 3 3 6" xfId="9425" xr:uid="{C567317A-B602-405A-80D9-F3B19F5293E7}"/>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24642" xr:uid="{277E122D-8003-402B-959E-0CC244AEFE8B}"/>
    <cellStyle name="Normal 5 2 2 2 3 4 2 2 3" xfId="33088" xr:uid="{23D8B472-56BE-405A-ADF4-2D537F338117}"/>
    <cellStyle name="Normal 5 2 2 2 3 4 2 2 4" xfId="16201" xr:uid="{74972D85-8CA3-464F-9399-26C5C3190B3E}"/>
    <cellStyle name="Normal 5 2 2 2 3 4 2 3" xfId="20424" xr:uid="{B41800D6-4DA5-41CC-8181-573D2B817FA4}"/>
    <cellStyle name="Normal 5 2 2 2 3 4 2 4" xfId="28871" xr:uid="{5A95C5A0-F145-4A22-AF87-D103D0BBE206}"/>
    <cellStyle name="Normal 5 2 2 2 3 4 2 5" xfId="11983" xr:uid="{87307B01-4E6B-431D-A772-74AFF5974F0A}"/>
    <cellStyle name="Normal 5 2 2 2 3 4 3" xfId="5614" xr:uid="{00000000-0005-0000-0000-000064170000}"/>
    <cellStyle name="Normal 5 2 2 2 3 4 3 2" xfId="22497" xr:uid="{808564DB-DBFC-41B4-868A-D2FE62D2C02F}"/>
    <cellStyle name="Normal 5 2 2 2 3 4 3 3" xfId="30943" xr:uid="{DF61ED9E-A15D-4765-858E-3EF7FE58D2AD}"/>
    <cellStyle name="Normal 5 2 2 2 3 4 3 4" xfId="14056" xr:uid="{6BB4593E-F398-45AB-B2FD-C600FA0492B2}"/>
    <cellStyle name="Normal 5 2 2 2 3 4 4" xfId="18279" xr:uid="{17E4161E-FC31-49D7-92E6-61167F220422}"/>
    <cellStyle name="Normal 5 2 2 2 3 4 5" xfId="26724" xr:uid="{C8D0798B-03F5-4A54-85F7-4BE3203386F3}"/>
    <cellStyle name="Normal 5 2 2 2 3 4 6" xfId="9838" xr:uid="{FD344EA5-73CD-43B3-8FAC-355E2FD4BF69}"/>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25055" xr:uid="{C688E6D9-63B2-4B6B-9F7B-3D242AA9E098}"/>
    <cellStyle name="Normal 5 2 2 2 3 5 2 2 3" xfId="33501" xr:uid="{EB17EF81-649E-44F3-A4EA-CE9CE466ADE4}"/>
    <cellStyle name="Normal 5 2 2 2 3 5 2 2 4" xfId="16614" xr:uid="{C4785C8F-00A1-4C4B-84E7-FF81E0768383}"/>
    <cellStyle name="Normal 5 2 2 2 3 5 2 3" xfId="20837" xr:uid="{780444D7-51BD-4281-99DB-D2650B7D77E0}"/>
    <cellStyle name="Normal 5 2 2 2 3 5 2 4" xfId="29284" xr:uid="{B99602F6-0797-4E45-AEAF-708E8A4E45B2}"/>
    <cellStyle name="Normal 5 2 2 2 3 5 2 5" xfId="12396" xr:uid="{5F132FFD-93AC-405E-8BEC-32319D6361A5}"/>
    <cellStyle name="Normal 5 2 2 2 3 5 3" xfId="6027" xr:uid="{00000000-0005-0000-0000-000068170000}"/>
    <cellStyle name="Normal 5 2 2 2 3 5 3 2" xfId="22910" xr:uid="{9BE0CBCD-6792-4E59-AE3D-B917A417C6D1}"/>
    <cellStyle name="Normal 5 2 2 2 3 5 3 3" xfId="31356" xr:uid="{16D14F95-406C-4A35-927F-4EC9F6256996}"/>
    <cellStyle name="Normal 5 2 2 2 3 5 3 4" xfId="14469" xr:uid="{EB94A05F-3B25-44AF-90C6-019B07A126E7}"/>
    <cellStyle name="Normal 5 2 2 2 3 5 4" xfId="18692" xr:uid="{64205751-3876-46E4-AAB2-9A88E9AC63EE}"/>
    <cellStyle name="Normal 5 2 2 2 3 5 5" xfId="27137" xr:uid="{9C291A8D-56F9-4F49-9615-BACD95F9CF5D}"/>
    <cellStyle name="Normal 5 2 2 2 3 5 6" xfId="10251" xr:uid="{24F853D3-4D2D-4E0C-B2B3-14CB13AA1C13}"/>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25468" xr:uid="{17BA61EB-F019-42A9-AD6B-C5119EA7D4A3}"/>
    <cellStyle name="Normal 5 2 2 2 3 6 2 2 3" xfId="33914" xr:uid="{11984F3D-B0B9-4D47-837F-6C9B88175708}"/>
    <cellStyle name="Normal 5 2 2 2 3 6 2 2 4" xfId="17027" xr:uid="{87847E6E-638F-4A57-ADC6-24F0F0A31490}"/>
    <cellStyle name="Normal 5 2 2 2 3 6 2 3" xfId="21250" xr:uid="{19A32C4D-13BD-4CD6-BB5A-B7E978E2E6EC}"/>
    <cellStyle name="Normal 5 2 2 2 3 6 2 4" xfId="29697" xr:uid="{E4C5810B-6DA5-495E-B83F-FD27181D31BD}"/>
    <cellStyle name="Normal 5 2 2 2 3 6 2 5" xfId="12809" xr:uid="{4E13D0E9-BF7F-443D-B25A-F85103424970}"/>
    <cellStyle name="Normal 5 2 2 2 3 6 3" xfId="6440" xr:uid="{00000000-0005-0000-0000-00006C170000}"/>
    <cellStyle name="Normal 5 2 2 2 3 6 3 2" xfId="23323" xr:uid="{3F396DF4-7D4D-479C-A7C2-93E5C9716EDC}"/>
    <cellStyle name="Normal 5 2 2 2 3 6 3 3" xfId="31769" xr:uid="{F0A4776B-C380-48C8-92ED-E360935E37D9}"/>
    <cellStyle name="Normal 5 2 2 2 3 6 3 4" xfId="14882" xr:uid="{3A5754ED-B756-4751-8063-F1D43558AD5C}"/>
    <cellStyle name="Normal 5 2 2 2 3 6 4" xfId="19105" xr:uid="{6C77D3B2-014D-40E9-9709-07F9C544A838}"/>
    <cellStyle name="Normal 5 2 2 2 3 6 5" xfId="27550" xr:uid="{295D00B4-D45C-4984-83C3-9E4BD67E646A}"/>
    <cellStyle name="Normal 5 2 2 2 3 6 6" xfId="10664" xr:uid="{D24E4069-7AD6-45D1-94D2-1DCFFDD6A7FD}"/>
    <cellStyle name="Normal 5 2 2 2 3 7" xfId="2569" xr:uid="{00000000-0005-0000-0000-00006D170000}"/>
    <cellStyle name="Normal 5 2 2 2 3 7 2" xfId="6853" xr:uid="{00000000-0005-0000-0000-00006E170000}"/>
    <cellStyle name="Normal 5 2 2 2 3 7 2 2" xfId="23736" xr:uid="{9462D157-8CE4-4EAB-BE26-739B2A9AB670}"/>
    <cellStyle name="Normal 5 2 2 2 3 7 2 3" xfId="32182" xr:uid="{7337EC8B-1B95-4FAB-BD38-40396D72844F}"/>
    <cellStyle name="Normal 5 2 2 2 3 7 2 4" xfId="15295" xr:uid="{97AEAFD0-0AEF-45CF-8A75-8F24D0E0CCD8}"/>
    <cellStyle name="Normal 5 2 2 2 3 7 3" xfId="19518" xr:uid="{76E6D01B-3B83-4229-B694-FE2715F31B07}"/>
    <cellStyle name="Normal 5 2 2 2 3 7 4" xfId="27963" xr:uid="{9E09571F-E134-412B-9395-3A0C7042496A}"/>
    <cellStyle name="Normal 5 2 2 2 3 7 5" xfId="11077" xr:uid="{E284B7F9-BD16-45A1-B0C7-033043AEE9C2}"/>
    <cellStyle name="Normal 5 2 2 2 3 8" xfId="4788" xr:uid="{00000000-0005-0000-0000-00006F170000}"/>
    <cellStyle name="Normal 5 2 2 2 3 8 2" xfId="21671" xr:uid="{56A533D8-732C-49BA-BEBB-610699FF0D5C}"/>
    <cellStyle name="Normal 5 2 2 2 3 8 3" xfId="30117" xr:uid="{9B48B92B-935C-4B94-B5AF-579DB19D264D}"/>
    <cellStyle name="Normal 5 2 2 2 3 8 4" xfId="13230" xr:uid="{8A061991-7142-472E-8235-EE7F2C522265}"/>
    <cellStyle name="Normal 5 2 2 2 3 9" xfId="17453" xr:uid="{B65DD6E9-56E9-4B63-94AF-F8D1786C9060}"/>
    <cellStyle name="Normal 5 2 2 2 4" xfId="416" xr:uid="{00000000-0005-0000-0000-000070170000}"/>
    <cellStyle name="Normal 5 2 2 2 4 10" xfId="9014" xr:uid="{B568A49D-88D8-48A1-9891-D8B7CD5B37DB}"/>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24231" xr:uid="{79A27282-566A-4E6B-9F39-F1ECAF0D8670}"/>
    <cellStyle name="Normal 5 2 2 2 4 2 2 2 3" xfId="32677" xr:uid="{671E140B-ABEA-4AD2-A9EE-9F1AC6A190FE}"/>
    <cellStyle name="Normal 5 2 2 2 4 2 2 2 4" xfId="15790" xr:uid="{9ECEB31E-AEAB-4AC9-9828-5A7D9DD9EC3F}"/>
    <cellStyle name="Normal 5 2 2 2 4 2 2 3" xfId="20013" xr:uid="{A219CD18-0E0D-406E-88F7-14FF62AABEFA}"/>
    <cellStyle name="Normal 5 2 2 2 4 2 2 4" xfId="28460" xr:uid="{F877E773-E5A2-4FB2-8747-35E6E0986136}"/>
    <cellStyle name="Normal 5 2 2 2 4 2 2 5" xfId="11572" xr:uid="{2712E83B-EA51-46D7-8525-692F4D72ECD1}"/>
    <cellStyle name="Normal 5 2 2 2 4 2 3" xfId="5203" xr:uid="{00000000-0005-0000-0000-000074170000}"/>
    <cellStyle name="Normal 5 2 2 2 4 2 3 2" xfId="22086" xr:uid="{DCFBA854-CB8C-4253-B66B-56645A15D146}"/>
    <cellStyle name="Normal 5 2 2 2 4 2 3 3" xfId="30532" xr:uid="{FE0A387A-711E-4701-8745-04E17DF0901A}"/>
    <cellStyle name="Normal 5 2 2 2 4 2 3 4" xfId="13645" xr:uid="{2E7A92EC-4D80-48B2-A431-EF4536D72117}"/>
    <cellStyle name="Normal 5 2 2 2 4 2 4" xfId="17868" xr:uid="{5C09E33A-2CA3-4A2D-ACAF-957149250DC6}"/>
    <cellStyle name="Normal 5 2 2 2 4 2 5" xfId="26313" xr:uid="{C699851A-BCC6-4BF6-9994-2A31ED3943E5}"/>
    <cellStyle name="Normal 5 2 2 2 4 2 6" xfId="9427" xr:uid="{19FE9C5E-C675-4DC5-9F0E-1E905BC36296}"/>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24644" xr:uid="{ABA958BC-0111-4191-BB41-66099D15FE30}"/>
    <cellStyle name="Normal 5 2 2 2 4 3 2 2 3" xfId="33090" xr:uid="{F07A3AF9-0638-4B04-83D9-C9A1C75C2D61}"/>
    <cellStyle name="Normal 5 2 2 2 4 3 2 2 4" xfId="16203" xr:uid="{01E35BC4-3A19-4626-9DD0-2877D71434C3}"/>
    <cellStyle name="Normal 5 2 2 2 4 3 2 3" xfId="20426" xr:uid="{296DF066-3706-4048-9175-BF53BEAF3F72}"/>
    <cellStyle name="Normal 5 2 2 2 4 3 2 4" xfId="28873" xr:uid="{6BBE2745-1968-47BC-BFE1-3287241EE94D}"/>
    <cellStyle name="Normal 5 2 2 2 4 3 2 5" xfId="11985" xr:uid="{AFF2BB4F-C2CA-4D85-A256-AECC940E9D59}"/>
    <cellStyle name="Normal 5 2 2 2 4 3 3" xfId="5616" xr:uid="{00000000-0005-0000-0000-000078170000}"/>
    <cellStyle name="Normal 5 2 2 2 4 3 3 2" xfId="22499" xr:uid="{07133E40-9946-46E7-A340-5E7841C0C217}"/>
    <cellStyle name="Normal 5 2 2 2 4 3 3 3" xfId="30945" xr:uid="{6D7914C8-7530-4BA1-B5C7-E9115E2E0D12}"/>
    <cellStyle name="Normal 5 2 2 2 4 3 3 4" xfId="14058" xr:uid="{BBCBFB6F-2BAF-4144-A886-507F057EF19A}"/>
    <cellStyle name="Normal 5 2 2 2 4 3 4" xfId="18281" xr:uid="{9CC1C850-FE19-45B2-BB28-59775536DFA1}"/>
    <cellStyle name="Normal 5 2 2 2 4 3 5" xfId="26726" xr:uid="{BC3FD570-63CB-41EC-AD56-14CF4C605AB6}"/>
    <cellStyle name="Normal 5 2 2 2 4 3 6" xfId="9840" xr:uid="{69D716ED-CE89-424F-81E9-4A2A3CF4FA02}"/>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25057" xr:uid="{52E24E3F-F1FA-4358-9308-E431C5F074DA}"/>
    <cellStyle name="Normal 5 2 2 2 4 4 2 2 3" xfId="33503" xr:uid="{2339A4EE-680A-4D72-A416-F4F4039F8097}"/>
    <cellStyle name="Normal 5 2 2 2 4 4 2 2 4" xfId="16616" xr:uid="{0287992A-E719-437F-B07C-FF4DA455917D}"/>
    <cellStyle name="Normal 5 2 2 2 4 4 2 3" xfId="20839" xr:uid="{1EC9A167-967B-49BA-93AD-20AEE7F7BE60}"/>
    <cellStyle name="Normal 5 2 2 2 4 4 2 4" xfId="29286" xr:uid="{18D0A497-EC5D-4AB7-91DD-EDF5F0362274}"/>
    <cellStyle name="Normal 5 2 2 2 4 4 2 5" xfId="12398" xr:uid="{D295DEBF-3128-4F2F-AB2F-8F1C43278B4E}"/>
    <cellStyle name="Normal 5 2 2 2 4 4 3" xfId="6029" xr:uid="{00000000-0005-0000-0000-00007C170000}"/>
    <cellStyle name="Normal 5 2 2 2 4 4 3 2" xfId="22912" xr:uid="{E74F938E-4A1A-4074-8D56-892E64156CBF}"/>
    <cellStyle name="Normal 5 2 2 2 4 4 3 3" xfId="31358" xr:uid="{2CE2308B-2E8E-4EC4-AAEF-9615DEEF0CA5}"/>
    <cellStyle name="Normal 5 2 2 2 4 4 3 4" xfId="14471" xr:uid="{8B232ACD-351E-428B-90E8-4F9B8251E988}"/>
    <cellStyle name="Normal 5 2 2 2 4 4 4" xfId="18694" xr:uid="{B97AD7E6-7A5D-4ECA-AB51-8395DE9FF5F4}"/>
    <cellStyle name="Normal 5 2 2 2 4 4 5" xfId="27139" xr:uid="{24C5B034-C946-4925-B8FE-3D4BD8B86CC9}"/>
    <cellStyle name="Normal 5 2 2 2 4 4 6" xfId="10253" xr:uid="{9FAB2315-F0FD-4D15-9909-FD769A1E57C4}"/>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25470" xr:uid="{1C499FFD-ACC5-46DB-8A6C-069403142BEE}"/>
    <cellStyle name="Normal 5 2 2 2 4 5 2 2 3" xfId="33916" xr:uid="{8F5679EC-A572-48DB-8E57-95F261E5381E}"/>
    <cellStyle name="Normal 5 2 2 2 4 5 2 2 4" xfId="17029" xr:uid="{28737B35-5EAD-4616-BD1B-2401E03E0DB4}"/>
    <cellStyle name="Normal 5 2 2 2 4 5 2 3" xfId="21252" xr:uid="{29367434-862B-4DB9-BFCF-217F2754C5ED}"/>
    <cellStyle name="Normal 5 2 2 2 4 5 2 4" xfId="29699" xr:uid="{10AF16F6-C752-476D-A162-0C07EA5F2587}"/>
    <cellStyle name="Normal 5 2 2 2 4 5 2 5" xfId="12811" xr:uid="{4A5AFB22-C072-433A-9508-1A9D0726C838}"/>
    <cellStyle name="Normal 5 2 2 2 4 5 3" xfId="6442" xr:uid="{00000000-0005-0000-0000-000080170000}"/>
    <cellStyle name="Normal 5 2 2 2 4 5 3 2" xfId="23325" xr:uid="{83C61894-C609-4749-9EDD-7EE0B8623599}"/>
    <cellStyle name="Normal 5 2 2 2 4 5 3 3" xfId="31771" xr:uid="{FD492BFA-FC99-4E9C-8D38-A668AAAA8169}"/>
    <cellStyle name="Normal 5 2 2 2 4 5 3 4" xfId="14884" xr:uid="{DB1DB7CE-E1FB-4326-9E99-9C3105CCCA3E}"/>
    <cellStyle name="Normal 5 2 2 2 4 5 4" xfId="19107" xr:uid="{D4EEF506-E20D-41C9-BA1A-F00AE5D6B0B7}"/>
    <cellStyle name="Normal 5 2 2 2 4 5 5" xfId="27552" xr:uid="{3AC6EB90-F296-44A6-B3BA-5F4822402672}"/>
    <cellStyle name="Normal 5 2 2 2 4 5 6" xfId="10666" xr:uid="{0BDB9FF8-CE6E-4801-BE04-E48E68534F54}"/>
    <cellStyle name="Normal 5 2 2 2 4 6" xfId="2571" xr:uid="{00000000-0005-0000-0000-000081170000}"/>
    <cellStyle name="Normal 5 2 2 2 4 6 2" xfId="6855" xr:uid="{00000000-0005-0000-0000-000082170000}"/>
    <cellStyle name="Normal 5 2 2 2 4 6 2 2" xfId="23738" xr:uid="{865A8F49-3E53-40B3-9E9D-3971FEDE9644}"/>
    <cellStyle name="Normal 5 2 2 2 4 6 2 3" xfId="32184" xr:uid="{C8730A0E-67B2-4B12-949B-C66D341EBBFA}"/>
    <cellStyle name="Normal 5 2 2 2 4 6 2 4" xfId="15297" xr:uid="{6157DC90-1AB4-4CA0-9B44-528D410FD772}"/>
    <cellStyle name="Normal 5 2 2 2 4 6 3" xfId="19520" xr:uid="{9904A15F-E7C7-4D73-A74E-CA7FA66B5D38}"/>
    <cellStyle name="Normal 5 2 2 2 4 6 4" xfId="27965" xr:uid="{7D80DFFB-3FEA-4214-A9BE-B4C08C0E6112}"/>
    <cellStyle name="Normal 5 2 2 2 4 6 5" xfId="11079" xr:uid="{72ABD786-8F72-495B-A38E-F3FCE0032AE2}"/>
    <cellStyle name="Normal 5 2 2 2 4 7" xfId="4790" xr:uid="{00000000-0005-0000-0000-000083170000}"/>
    <cellStyle name="Normal 5 2 2 2 4 7 2" xfId="21673" xr:uid="{1DE6D08D-E698-4223-87BA-63F0B4718FFC}"/>
    <cellStyle name="Normal 5 2 2 2 4 7 3" xfId="30119" xr:uid="{9524E715-FA3D-4B89-88FF-827177AD7A7F}"/>
    <cellStyle name="Normal 5 2 2 2 4 7 4" xfId="13232" xr:uid="{EAA235D3-8A2C-4D1A-9F72-8C9D703DF0A2}"/>
    <cellStyle name="Normal 5 2 2 2 4 8" xfId="17455" xr:uid="{3211AE4A-E846-4FD8-A5B8-AA0DEB401F39}"/>
    <cellStyle name="Normal 5 2 2 2 4 9" xfId="25899" xr:uid="{C7D5931E-A5F3-4300-8184-56F92D3229A7}"/>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24224" xr:uid="{8AAD8465-A9FE-42FD-9E26-02B621C9AF42}"/>
    <cellStyle name="Normal 5 2 2 2 5 2 2 3" xfId="32670" xr:uid="{8EFD56CC-A5BA-4B16-A1D1-238CA52C09B7}"/>
    <cellStyle name="Normal 5 2 2 2 5 2 2 4" xfId="15783" xr:uid="{B2096821-4554-4C32-A9D8-4984ADCAEA3B}"/>
    <cellStyle name="Normal 5 2 2 2 5 2 3" xfId="20006" xr:uid="{DA739320-2880-483C-BE7F-D6A17C27930B}"/>
    <cellStyle name="Normal 5 2 2 2 5 2 4" xfId="28453" xr:uid="{7B0DAE22-C139-4237-8D57-A6B8C4116CDE}"/>
    <cellStyle name="Normal 5 2 2 2 5 2 5" xfId="11565" xr:uid="{834DF105-B67B-42F3-81D2-EF2A27918EC9}"/>
    <cellStyle name="Normal 5 2 2 2 5 3" xfId="5196" xr:uid="{00000000-0005-0000-0000-000087170000}"/>
    <cellStyle name="Normal 5 2 2 2 5 3 2" xfId="22079" xr:uid="{434E5ABF-BBC4-4EA5-AD1F-DDE4FA59918C}"/>
    <cellStyle name="Normal 5 2 2 2 5 3 3" xfId="30525" xr:uid="{9D6AF0DC-42F9-4E48-85B5-63FADEC71DE4}"/>
    <cellStyle name="Normal 5 2 2 2 5 3 4" xfId="13638" xr:uid="{7E3CAE3F-07C3-4CFB-B5A6-9AD5D5137FC2}"/>
    <cellStyle name="Normal 5 2 2 2 5 4" xfId="17861" xr:uid="{14975669-11C9-405C-9B96-972E197A3B65}"/>
    <cellStyle name="Normal 5 2 2 2 5 5" xfId="26306" xr:uid="{5043C44F-A106-4C51-89A5-8BA4395A5A1E}"/>
    <cellStyle name="Normal 5 2 2 2 5 6" xfId="9420" xr:uid="{C7485297-0136-4502-ACF2-01D5CFBD5CFC}"/>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24637" xr:uid="{608ADFBA-28B2-4058-B226-054360C9C6BE}"/>
    <cellStyle name="Normal 5 2 2 2 6 2 2 3" xfId="33083" xr:uid="{E3A1BDF9-C246-429F-B28B-1386C0D8379A}"/>
    <cellStyle name="Normal 5 2 2 2 6 2 2 4" xfId="16196" xr:uid="{F72C3332-F95F-4691-8694-5FCECA778FFD}"/>
    <cellStyle name="Normal 5 2 2 2 6 2 3" xfId="20419" xr:uid="{16D9781C-D6A1-4596-A9B5-637302267F26}"/>
    <cellStyle name="Normal 5 2 2 2 6 2 4" xfId="28866" xr:uid="{FCBF4B8E-636E-433F-BE81-420A8BC83B09}"/>
    <cellStyle name="Normal 5 2 2 2 6 2 5" xfId="11978" xr:uid="{56621B6C-60C4-4CAD-8705-11802E065CBE}"/>
    <cellStyle name="Normal 5 2 2 2 6 3" xfId="5609" xr:uid="{00000000-0005-0000-0000-00008B170000}"/>
    <cellStyle name="Normal 5 2 2 2 6 3 2" xfId="22492" xr:uid="{2C3FF284-6450-4078-B844-A272E2B83ECB}"/>
    <cellStyle name="Normal 5 2 2 2 6 3 3" xfId="30938" xr:uid="{2296E0B0-8B30-421C-A857-62541516A4B9}"/>
    <cellStyle name="Normal 5 2 2 2 6 3 4" xfId="14051" xr:uid="{2331FC73-D18E-4C0A-B615-A4705BE23F76}"/>
    <cellStyle name="Normal 5 2 2 2 6 4" xfId="18274" xr:uid="{ADE519FE-242C-4D8B-A2E0-07D25289B239}"/>
    <cellStyle name="Normal 5 2 2 2 6 5" xfId="26719" xr:uid="{129566D2-6D18-4831-8136-0856E13D12C0}"/>
    <cellStyle name="Normal 5 2 2 2 6 6" xfId="9833" xr:uid="{325C65CC-93CC-4B6D-B968-682864DE7C2B}"/>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25050" xr:uid="{0913AAD7-F4B1-43BE-B2E3-6DA4B4716FAE}"/>
    <cellStyle name="Normal 5 2 2 2 7 2 2 3" xfId="33496" xr:uid="{F0F0F5DD-4521-408A-9B16-FBB7DD32BEB0}"/>
    <cellStyle name="Normal 5 2 2 2 7 2 2 4" xfId="16609" xr:uid="{52AC1BA0-A4EA-44FC-9076-694669106BFE}"/>
    <cellStyle name="Normal 5 2 2 2 7 2 3" xfId="20832" xr:uid="{AC7DE3FE-3F26-4B94-A030-7794878C8D9A}"/>
    <cellStyle name="Normal 5 2 2 2 7 2 4" xfId="29279" xr:uid="{F9B1754A-BE6C-4C79-9622-CDC12A5CFCBD}"/>
    <cellStyle name="Normal 5 2 2 2 7 2 5" xfId="12391" xr:uid="{36F5CD9F-DF5E-40FD-B687-9E8B3F12E689}"/>
    <cellStyle name="Normal 5 2 2 2 7 3" xfId="6022" xr:uid="{00000000-0005-0000-0000-00008F170000}"/>
    <cellStyle name="Normal 5 2 2 2 7 3 2" xfId="22905" xr:uid="{8C521D8E-22BD-44E8-9ED2-42BF677C9A0B}"/>
    <cellStyle name="Normal 5 2 2 2 7 3 3" xfId="31351" xr:uid="{3438FE91-2366-4ACF-A69D-2CE6712667DE}"/>
    <cellStyle name="Normal 5 2 2 2 7 3 4" xfId="14464" xr:uid="{65ED8650-9C86-48C4-9418-78B160338F6A}"/>
    <cellStyle name="Normal 5 2 2 2 7 4" xfId="18687" xr:uid="{5416BA0B-3835-4EB0-8265-D26D05B0DF1E}"/>
    <cellStyle name="Normal 5 2 2 2 7 5" xfId="27132" xr:uid="{D63F17A0-3178-4960-8F4A-3A5084434AA4}"/>
    <cellStyle name="Normal 5 2 2 2 7 6" xfId="10246" xr:uid="{B5FFE9AD-3358-4E0C-BB5A-810EA4990450}"/>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25463" xr:uid="{DE7E5012-78CE-40A9-A5C7-247061364C90}"/>
    <cellStyle name="Normal 5 2 2 2 8 2 2 3" xfId="33909" xr:uid="{2EA7BFF3-5C00-4C18-B9E4-FCD9DC4F00A1}"/>
    <cellStyle name="Normal 5 2 2 2 8 2 2 4" xfId="17022" xr:uid="{599E83A2-B5CD-45CA-A4F9-4540EF89D399}"/>
    <cellStyle name="Normal 5 2 2 2 8 2 3" xfId="21245" xr:uid="{2899766B-0EE9-4E66-BEDA-14290C5D47B8}"/>
    <cellStyle name="Normal 5 2 2 2 8 2 4" xfId="29692" xr:uid="{8602E499-02FB-42DB-8F76-7DD1D23FACA6}"/>
    <cellStyle name="Normal 5 2 2 2 8 2 5" xfId="12804" xr:uid="{CDD267E7-9177-46C5-BEF8-606F8ABA3578}"/>
    <cellStyle name="Normal 5 2 2 2 8 3" xfId="6435" xr:uid="{00000000-0005-0000-0000-000093170000}"/>
    <cellStyle name="Normal 5 2 2 2 8 3 2" xfId="23318" xr:uid="{4C1E4A96-7E99-4158-A6C3-B791AE17EFB4}"/>
    <cellStyle name="Normal 5 2 2 2 8 3 3" xfId="31764" xr:uid="{29F5A8CE-E1D9-4E4E-980E-ED43F54ABE5E}"/>
    <cellStyle name="Normal 5 2 2 2 8 3 4" xfId="14877" xr:uid="{9155DDED-4D91-468B-962B-64EBE6C264F8}"/>
    <cellStyle name="Normal 5 2 2 2 8 4" xfId="19100" xr:uid="{2BA4C335-12FD-410F-9678-C1114B5EA937}"/>
    <cellStyle name="Normal 5 2 2 2 8 5" xfId="27545" xr:uid="{F6A8D2C3-ED19-4E9C-A4A2-992E9C2BE32C}"/>
    <cellStyle name="Normal 5 2 2 2 8 6" xfId="10659" xr:uid="{8DDE49CA-881F-4681-BB17-51E48F14561B}"/>
    <cellStyle name="Normal 5 2 2 2 9" xfId="2564" xr:uid="{00000000-0005-0000-0000-000094170000}"/>
    <cellStyle name="Normal 5 2 2 2 9 2" xfId="6848" xr:uid="{00000000-0005-0000-0000-000095170000}"/>
    <cellStyle name="Normal 5 2 2 2 9 2 2" xfId="23731" xr:uid="{896C57DD-4079-44F4-B600-38E0B9DCF1A3}"/>
    <cellStyle name="Normal 5 2 2 2 9 2 3" xfId="32177" xr:uid="{D08BDDBC-60A9-48E3-B942-86F8088D73BC}"/>
    <cellStyle name="Normal 5 2 2 2 9 2 4" xfId="15290" xr:uid="{224ECB28-6277-4C09-ACD9-E501912DA54D}"/>
    <cellStyle name="Normal 5 2 2 2 9 3" xfId="19513" xr:uid="{34E46664-59F4-4436-8741-1695FE413044}"/>
    <cellStyle name="Normal 5 2 2 2 9 4" xfId="27958" xr:uid="{470D3E8B-3D7F-4BCB-8101-1C74DBF2054C}"/>
    <cellStyle name="Normal 5 2 2 2 9 5" xfId="11072" xr:uid="{09E07182-1566-41E2-BF53-ACCDACBD2C02}"/>
    <cellStyle name="Normal 5 2 2 3" xfId="417" xr:uid="{00000000-0005-0000-0000-000096170000}"/>
    <cellStyle name="Normal 5 2 2 3 10" xfId="17456" xr:uid="{CA5F42FA-DF96-4744-A948-DA377DB10931}"/>
    <cellStyle name="Normal 5 2 2 3 11" xfId="25900" xr:uid="{273C5D48-2663-4177-BA63-413D83297808}"/>
    <cellStyle name="Normal 5 2 2 3 12" xfId="9015" xr:uid="{C2555A01-40B3-451D-8A08-8994B8302109}"/>
    <cellStyle name="Normal 5 2 2 3 2" xfId="418" xr:uid="{00000000-0005-0000-0000-000097170000}"/>
    <cellStyle name="Normal 5 2 2 3 2 10" xfId="25901" xr:uid="{4D23FE19-5658-4EFE-AC85-F77EC3DE1600}"/>
    <cellStyle name="Normal 5 2 2 3 2 11" xfId="9016" xr:uid="{87B57C2C-E7C1-4ADF-B9A3-8CE4BF4CF107}"/>
    <cellStyle name="Normal 5 2 2 3 2 2" xfId="419" xr:uid="{00000000-0005-0000-0000-000098170000}"/>
    <cellStyle name="Normal 5 2 2 3 2 2 10" xfId="9017" xr:uid="{B3BF3A84-E369-4561-9A3A-847DEF9EB15A}"/>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24234" xr:uid="{8DA1D5EB-84EA-42CD-9F7C-A1483765B293}"/>
    <cellStyle name="Normal 5 2 2 3 2 2 2 2 2 3" xfId="32680" xr:uid="{BEDD2279-3687-4488-A81C-395857A211EB}"/>
    <cellStyle name="Normal 5 2 2 3 2 2 2 2 2 4" xfId="15793" xr:uid="{D48C562D-A2D7-4E1B-8894-95DA8A8E53C2}"/>
    <cellStyle name="Normal 5 2 2 3 2 2 2 2 3" xfId="20016" xr:uid="{9DE38DE5-B0C5-4684-BFDD-130F15D532B0}"/>
    <cellStyle name="Normal 5 2 2 3 2 2 2 2 4" xfId="28463" xr:uid="{5EB2BCCE-B2E1-470D-8D81-1625AC412428}"/>
    <cellStyle name="Normal 5 2 2 3 2 2 2 2 5" xfId="11575" xr:uid="{B69AF415-8FD6-4CE2-B31D-B9C95EB25E95}"/>
    <cellStyle name="Normal 5 2 2 3 2 2 2 3" xfId="5206" xr:uid="{00000000-0005-0000-0000-00009C170000}"/>
    <cellStyle name="Normal 5 2 2 3 2 2 2 3 2" xfId="22089" xr:uid="{148078FD-9DDC-4A63-A5B2-381E3A5B8F31}"/>
    <cellStyle name="Normal 5 2 2 3 2 2 2 3 3" xfId="30535" xr:uid="{4D94547C-8C34-4962-AC54-7F633F38F484}"/>
    <cellStyle name="Normal 5 2 2 3 2 2 2 3 4" xfId="13648" xr:uid="{06AFA06F-2724-4C1C-9291-FCEED39B2443}"/>
    <cellStyle name="Normal 5 2 2 3 2 2 2 4" xfId="17871" xr:uid="{B680A9F8-6CA0-48DC-AB1D-37ACA38E7A15}"/>
    <cellStyle name="Normal 5 2 2 3 2 2 2 5" xfId="26316" xr:uid="{7CCBF6E2-99D6-43A6-961C-C6986649AD28}"/>
    <cellStyle name="Normal 5 2 2 3 2 2 2 6" xfId="9430" xr:uid="{E7802386-D413-4826-AFDE-5DA48B680FB1}"/>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24647" xr:uid="{3FBE8855-2334-425D-8401-6E6E7C9B644B}"/>
    <cellStyle name="Normal 5 2 2 3 2 2 3 2 2 3" xfId="33093" xr:uid="{7F2242F3-92DA-4089-8BA8-3A858177C533}"/>
    <cellStyle name="Normal 5 2 2 3 2 2 3 2 2 4" xfId="16206" xr:uid="{5A82230C-8E21-477B-8EA4-B9536AAE30A6}"/>
    <cellStyle name="Normal 5 2 2 3 2 2 3 2 3" xfId="20429" xr:uid="{A20B6E2C-599A-4348-96A6-964558BA56B5}"/>
    <cellStyle name="Normal 5 2 2 3 2 2 3 2 4" xfId="28876" xr:uid="{B0F59178-6382-4765-B623-87AEF5841548}"/>
    <cellStyle name="Normal 5 2 2 3 2 2 3 2 5" xfId="11988" xr:uid="{92903AA2-B877-4A79-A32A-292B0204C6F2}"/>
    <cellStyle name="Normal 5 2 2 3 2 2 3 3" xfId="5619" xr:uid="{00000000-0005-0000-0000-0000A0170000}"/>
    <cellStyle name="Normal 5 2 2 3 2 2 3 3 2" xfId="22502" xr:uid="{A6DE0440-CFA1-439A-8175-ED306B89D6DF}"/>
    <cellStyle name="Normal 5 2 2 3 2 2 3 3 3" xfId="30948" xr:uid="{85BD4C31-4830-4DAD-8279-FD770591A28F}"/>
    <cellStyle name="Normal 5 2 2 3 2 2 3 3 4" xfId="14061" xr:uid="{62766845-3693-4136-A0A6-DCD91235CF49}"/>
    <cellStyle name="Normal 5 2 2 3 2 2 3 4" xfId="18284" xr:uid="{488DF67C-599A-4ED2-BD57-93A52592B523}"/>
    <cellStyle name="Normal 5 2 2 3 2 2 3 5" xfId="26729" xr:uid="{54B7DF12-A441-4137-BE79-6DEB40472440}"/>
    <cellStyle name="Normal 5 2 2 3 2 2 3 6" xfId="9843" xr:uid="{56BE955B-58F6-4680-B8BD-063C53542447}"/>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25060" xr:uid="{2FD73B46-33B8-4CFC-920A-D46C3E3A9833}"/>
    <cellStyle name="Normal 5 2 2 3 2 2 4 2 2 3" xfId="33506" xr:uid="{FF7F443F-BEB6-4D0D-A8EB-FB043E869B8F}"/>
    <cellStyle name="Normal 5 2 2 3 2 2 4 2 2 4" xfId="16619" xr:uid="{71902144-84A9-4F13-9F98-335840BFB833}"/>
    <cellStyle name="Normal 5 2 2 3 2 2 4 2 3" xfId="20842" xr:uid="{BE5A494F-EC9F-42E1-A5D0-938143F65A8D}"/>
    <cellStyle name="Normal 5 2 2 3 2 2 4 2 4" xfId="29289" xr:uid="{C2F40CD9-0643-4C0A-AF7D-C0C188D41D67}"/>
    <cellStyle name="Normal 5 2 2 3 2 2 4 2 5" xfId="12401" xr:uid="{FE82C0F7-A72E-4648-9C6F-8EBA9267D580}"/>
    <cellStyle name="Normal 5 2 2 3 2 2 4 3" xfId="6032" xr:uid="{00000000-0005-0000-0000-0000A4170000}"/>
    <cellStyle name="Normal 5 2 2 3 2 2 4 3 2" xfId="22915" xr:uid="{0CA93160-E0D4-427C-8E1A-74A1701834CF}"/>
    <cellStyle name="Normal 5 2 2 3 2 2 4 3 3" xfId="31361" xr:uid="{0FD1E38D-D67D-4235-A560-76F0099E4638}"/>
    <cellStyle name="Normal 5 2 2 3 2 2 4 3 4" xfId="14474" xr:uid="{F7ED3264-1B2B-41C5-8264-71F73B8B5472}"/>
    <cellStyle name="Normal 5 2 2 3 2 2 4 4" xfId="18697" xr:uid="{7533C910-B003-4AAD-8DE9-E9BFCADDEE7F}"/>
    <cellStyle name="Normal 5 2 2 3 2 2 4 5" xfId="27142" xr:uid="{18FC04DE-FD64-40A5-B477-418B94F38825}"/>
    <cellStyle name="Normal 5 2 2 3 2 2 4 6" xfId="10256" xr:uid="{5C8E6358-B171-4B6B-B90E-83ACB7614C7B}"/>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25473" xr:uid="{EB977424-D5E8-49D5-B981-70DAA23E07B1}"/>
    <cellStyle name="Normal 5 2 2 3 2 2 5 2 2 3" xfId="33919" xr:uid="{6B56E3F5-01EF-4330-8594-FBA44AA9B1C3}"/>
    <cellStyle name="Normal 5 2 2 3 2 2 5 2 2 4" xfId="17032" xr:uid="{6CF5D6FE-E356-4113-8CF0-67C14A108781}"/>
    <cellStyle name="Normal 5 2 2 3 2 2 5 2 3" xfId="21255" xr:uid="{23658DFD-9C31-4A4B-A830-C7A9C5D3304F}"/>
    <cellStyle name="Normal 5 2 2 3 2 2 5 2 4" xfId="29702" xr:uid="{A0CF36F5-12C4-4762-B903-631CB86E854E}"/>
    <cellStyle name="Normal 5 2 2 3 2 2 5 2 5" xfId="12814" xr:uid="{667177E4-781D-472C-A46E-686BF284306F}"/>
    <cellStyle name="Normal 5 2 2 3 2 2 5 3" xfId="6445" xr:uid="{00000000-0005-0000-0000-0000A8170000}"/>
    <cellStyle name="Normal 5 2 2 3 2 2 5 3 2" xfId="23328" xr:uid="{E98E9645-7ACB-4623-8482-98500C8E4B31}"/>
    <cellStyle name="Normal 5 2 2 3 2 2 5 3 3" xfId="31774" xr:uid="{D685D96D-7B6A-4623-BC88-B91387DADFC7}"/>
    <cellStyle name="Normal 5 2 2 3 2 2 5 3 4" xfId="14887" xr:uid="{B6100D2A-1D03-4D82-B75D-055060B7BE99}"/>
    <cellStyle name="Normal 5 2 2 3 2 2 5 4" xfId="19110" xr:uid="{F7B23F4E-C83E-4AFE-947D-90A852B49FDE}"/>
    <cellStyle name="Normal 5 2 2 3 2 2 5 5" xfId="27555" xr:uid="{67B24D59-F4D1-47FD-A8D9-FB11F5AC5A7B}"/>
    <cellStyle name="Normal 5 2 2 3 2 2 5 6" xfId="10669" xr:uid="{57CC75E8-ABCB-49A7-96F8-85DF34C0BDE5}"/>
    <cellStyle name="Normal 5 2 2 3 2 2 6" xfId="2574" xr:uid="{00000000-0005-0000-0000-0000A9170000}"/>
    <cellStyle name="Normal 5 2 2 3 2 2 6 2" xfId="6858" xr:uid="{00000000-0005-0000-0000-0000AA170000}"/>
    <cellStyle name="Normal 5 2 2 3 2 2 6 2 2" xfId="23741" xr:uid="{89F5B36A-1FF7-46FB-8C94-EC8A6448C7DD}"/>
    <cellStyle name="Normal 5 2 2 3 2 2 6 2 3" xfId="32187" xr:uid="{D5C8FAFA-530E-4D5E-9B95-9A610EB5532F}"/>
    <cellStyle name="Normal 5 2 2 3 2 2 6 2 4" xfId="15300" xr:uid="{7BC6320B-7C41-4E64-9AF4-557BF90A0D14}"/>
    <cellStyle name="Normal 5 2 2 3 2 2 6 3" xfId="19523" xr:uid="{4BEDA256-3CCC-4F8D-90D7-1990AFFCA089}"/>
    <cellStyle name="Normal 5 2 2 3 2 2 6 4" xfId="27968" xr:uid="{3823DD6E-2461-4FC7-9398-D151BC4842C1}"/>
    <cellStyle name="Normal 5 2 2 3 2 2 6 5" xfId="11082" xr:uid="{BD41BAD2-105C-4C1D-BCD0-C8A1C7473395}"/>
    <cellStyle name="Normal 5 2 2 3 2 2 7" xfId="4793" xr:uid="{00000000-0005-0000-0000-0000AB170000}"/>
    <cellStyle name="Normal 5 2 2 3 2 2 7 2" xfId="21676" xr:uid="{22AFD141-5D81-46E6-A017-2EE862130401}"/>
    <cellStyle name="Normal 5 2 2 3 2 2 7 3" xfId="30122" xr:uid="{0C5397B7-1261-48E3-9A9A-7A747DA26E49}"/>
    <cellStyle name="Normal 5 2 2 3 2 2 7 4" xfId="13235" xr:uid="{79612E83-3E24-4D4F-97D3-74C885CCCCB9}"/>
    <cellStyle name="Normal 5 2 2 3 2 2 8" xfId="17458" xr:uid="{F2B24227-BF90-4700-A2D5-0A14E724BDDF}"/>
    <cellStyle name="Normal 5 2 2 3 2 2 9" xfId="25902" xr:uid="{6A5E7B05-D723-48F9-B629-13A28EC197C2}"/>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24233" xr:uid="{B1DB8622-18C6-461B-81DF-22C1175613CF}"/>
    <cellStyle name="Normal 5 2 2 3 2 3 2 2 3" xfId="32679" xr:uid="{2D13A389-48FF-472A-B76F-95889C424152}"/>
    <cellStyle name="Normal 5 2 2 3 2 3 2 2 4" xfId="15792" xr:uid="{39E0EB1C-3CC9-420E-B9A4-3A771E5DD25E}"/>
    <cellStyle name="Normal 5 2 2 3 2 3 2 3" xfId="20015" xr:uid="{D61BF249-7537-4FD3-9BD6-8C5A2B104F67}"/>
    <cellStyle name="Normal 5 2 2 3 2 3 2 4" xfId="28462" xr:uid="{DB7471B7-98C1-4F27-8530-B12DB2EC75FB}"/>
    <cellStyle name="Normal 5 2 2 3 2 3 2 5" xfId="11574" xr:uid="{4B2A86EF-0470-41DB-8F1D-AA9489B47D61}"/>
    <cellStyle name="Normal 5 2 2 3 2 3 3" xfId="5205" xr:uid="{00000000-0005-0000-0000-0000AF170000}"/>
    <cellStyle name="Normal 5 2 2 3 2 3 3 2" xfId="22088" xr:uid="{1F3E8D90-3DA3-4433-8EEE-F965D40A2B55}"/>
    <cellStyle name="Normal 5 2 2 3 2 3 3 3" xfId="30534" xr:uid="{2BC858D9-C7B1-4ACA-994B-16F724FA727D}"/>
    <cellStyle name="Normal 5 2 2 3 2 3 3 4" xfId="13647" xr:uid="{2E32E3B2-0116-4A50-B11E-91BFA35A4E3E}"/>
    <cellStyle name="Normal 5 2 2 3 2 3 4" xfId="17870" xr:uid="{242A2168-D85C-4ABC-BC6A-A5B17B8AA17F}"/>
    <cellStyle name="Normal 5 2 2 3 2 3 5" xfId="26315" xr:uid="{B55F95E9-7CF6-4091-B051-CF78BCB17E3E}"/>
    <cellStyle name="Normal 5 2 2 3 2 3 6" xfId="9429" xr:uid="{4A6FF423-4F74-462D-AF53-55C4B025FE2A}"/>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24646" xr:uid="{8A14A777-288A-4B72-9BC7-546DE8D234C8}"/>
    <cellStyle name="Normal 5 2 2 3 2 4 2 2 3" xfId="33092" xr:uid="{91066C2A-7C14-49AE-8E3A-B890FF15C8F1}"/>
    <cellStyle name="Normal 5 2 2 3 2 4 2 2 4" xfId="16205" xr:uid="{13F8D7D4-790C-490E-893F-D4125C38D176}"/>
    <cellStyle name="Normal 5 2 2 3 2 4 2 3" xfId="20428" xr:uid="{C52E7582-D86C-496A-9944-9D0A7491B4E4}"/>
    <cellStyle name="Normal 5 2 2 3 2 4 2 4" xfId="28875" xr:uid="{BA695E64-A2FD-40E7-A65B-D0A9692F46AF}"/>
    <cellStyle name="Normal 5 2 2 3 2 4 2 5" xfId="11987" xr:uid="{505BF08F-6996-4549-8FE3-FD1D8CCB28B2}"/>
    <cellStyle name="Normal 5 2 2 3 2 4 3" xfId="5618" xr:uid="{00000000-0005-0000-0000-0000B3170000}"/>
    <cellStyle name="Normal 5 2 2 3 2 4 3 2" xfId="22501" xr:uid="{27780F71-0040-4000-8546-1D4476940CCA}"/>
    <cellStyle name="Normal 5 2 2 3 2 4 3 3" xfId="30947" xr:uid="{E8BC3EEA-6D94-4891-AD6D-B7C7D9A58FB7}"/>
    <cellStyle name="Normal 5 2 2 3 2 4 3 4" xfId="14060" xr:uid="{53E5C1A1-9B6E-4DDF-A16A-A2C86368B1BF}"/>
    <cellStyle name="Normal 5 2 2 3 2 4 4" xfId="18283" xr:uid="{AE369E6D-F591-4E15-ADF7-E0206DB5716D}"/>
    <cellStyle name="Normal 5 2 2 3 2 4 5" xfId="26728" xr:uid="{F7E5EEA9-85BE-4F0F-A218-4915A52BC395}"/>
    <cellStyle name="Normal 5 2 2 3 2 4 6" xfId="9842" xr:uid="{11ACAF7B-6D38-4061-87AE-0DC2250C974D}"/>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25059" xr:uid="{61726475-BB80-419C-93ED-5DF4EB709513}"/>
    <cellStyle name="Normal 5 2 2 3 2 5 2 2 3" xfId="33505" xr:uid="{A7BB6CC3-7E95-42DB-8D80-B873BEBC21CC}"/>
    <cellStyle name="Normal 5 2 2 3 2 5 2 2 4" xfId="16618" xr:uid="{C6161BC8-CA66-4F12-941F-0AA138136398}"/>
    <cellStyle name="Normal 5 2 2 3 2 5 2 3" xfId="20841" xr:uid="{439DCD34-21EC-49A6-8F8D-FA347320DE1F}"/>
    <cellStyle name="Normal 5 2 2 3 2 5 2 4" xfId="29288" xr:uid="{1BE598A3-1BF6-45B8-AC29-79A64F3911A9}"/>
    <cellStyle name="Normal 5 2 2 3 2 5 2 5" xfId="12400" xr:uid="{CC932027-F19D-43E3-A662-28DF6D2BA81F}"/>
    <cellStyle name="Normal 5 2 2 3 2 5 3" xfId="6031" xr:uid="{00000000-0005-0000-0000-0000B7170000}"/>
    <cellStyle name="Normal 5 2 2 3 2 5 3 2" xfId="22914" xr:uid="{51ED0B4F-4300-4F5B-A177-552E59FEC6C4}"/>
    <cellStyle name="Normal 5 2 2 3 2 5 3 3" xfId="31360" xr:uid="{F7C4E10F-61A1-4A6D-9CB9-A2B71DE06E79}"/>
    <cellStyle name="Normal 5 2 2 3 2 5 3 4" xfId="14473" xr:uid="{8B7F59FE-6C37-46B0-8ADD-44137A4238B9}"/>
    <cellStyle name="Normal 5 2 2 3 2 5 4" xfId="18696" xr:uid="{EFC353C4-D6A9-47DC-8254-ADE93B4CF125}"/>
    <cellStyle name="Normal 5 2 2 3 2 5 5" xfId="27141" xr:uid="{BD4D4AFB-8E63-4A37-8C35-3A9EF7E79266}"/>
    <cellStyle name="Normal 5 2 2 3 2 5 6" xfId="10255" xr:uid="{5E398B5C-8A35-42DE-BA22-EBA4DE9763E4}"/>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25472" xr:uid="{AA8E01D9-DC0F-4FA7-B23C-F4FA77C7BBD5}"/>
    <cellStyle name="Normal 5 2 2 3 2 6 2 2 3" xfId="33918" xr:uid="{DEC5CBF6-6E11-4D87-A3C5-E277A9E20370}"/>
    <cellStyle name="Normal 5 2 2 3 2 6 2 2 4" xfId="17031" xr:uid="{9A37C3D2-FA22-4E09-B248-455EBB315486}"/>
    <cellStyle name="Normal 5 2 2 3 2 6 2 3" xfId="21254" xr:uid="{15CC5073-490B-4C6F-8274-4821FC22DDC6}"/>
    <cellStyle name="Normal 5 2 2 3 2 6 2 4" xfId="29701" xr:uid="{99968594-E926-4DA4-BB69-564C07E176E4}"/>
    <cellStyle name="Normal 5 2 2 3 2 6 2 5" xfId="12813" xr:uid="{7D889998-8C8F-4859-ACE2-D1316D74B54A}"/>
    <cellStyle name="Normal 5 2 2 3 2 6 3" xfId="6444" xr:uid="{00000000-0005-0000-0000-0000BB170000}"/>
    <cellStyle name="Normal 5 2 2 3 2 6 3 2" xfId="23327" xr:uid="{FE263C1F-199E-42AE-B004-4A350EC8FC25}"/>
    <cellStyle name="Normal 5 2 2 3 2 6 3 3" xfId="31773" xr:uid="{40676E7F-ACB3-46C3-86CC-E9AD4F12FB90}"/>
    <cellStyle name="Normal 5 2 2 3 2 6 3 4" xfId="14886" xr:uid="{0DAF58FC-2B38-4AEA-88B7-B55597222E3A}"/>
    <cellStyle name="Normal 5 2 2 3 2 6 4" xfId="19109" xr:uid="{23F5C466-E7BD-4EFC-ABEA-EEEADCF36EE0}"/>
    <cellStyle name="Normal 5 2 2 3 2 6 5" xfId="27554" xr:uid="{825C96D0-E9D6-49F1-A82F-E9BDB1CCF418}"/>
    <cellStyle name="Normal 5 2 2 3 2 6 6" xfId="10668" xr:uid="{0340245B-4F0C-406A-97CF-FEF114873D8A}"/>
    <cellStyle name="Normal 5 2 2 3 2 7" xfId="2573" xr:uid="{00000000-0005-0000-0000-0000BC170000}"/>
    <cellStyle name="Normal 5 2 2 3 2 7 2" xfId="6857" xr:uid="{00000000-0005-0000-0000-0000BD170000}"/>
    <cellStyle name="Normal 5 2 2 3 2 7 2 2" xfId="23740" xr:uid="{7CBF626E-23AF-4F55-82E0-EBAA38FEBB21}"/>
    <cellStyle name="Normal 5 2 2 3 2 7 2 3" xfId="32186" xr:uid="{5B7DE0FD-72C1-4317-B723-DF3B641070B3}"/>
    <cellStyle name="Normal 5 2 2 3 2 7 2 4" xfId="15299" xr:uid="{E2FBA7D1-8CA1-4F65-9DFE-47CC3E3B689F}"/>
    <cellStyle name="Normal 5 2 2 3 2 7 3" xfId="19522" xr:uid="{D39EBD05-F771-4E0D-B8B8-335707983355}"/>
    <cellStyle name="Normal 5 2 2 3 2 7 4" xfId="27967" xr:uid="{6276DD47-4182-4A1A-8FAC-70A3371CB68F}"/>
    <cellStyle name="Normal 5 2 2 3 2 7 5" xfId="11081" xr:uid="{441AD10B-085C-4F24-9CD8-7FD8C8F309F8}"/>
    <cellStyle name="Normal 5 2 2 3 2 8" xfId="4792" xr:uid="{00000000-0005-0000-0000-0000BE170000}"/>
    <cellStyle name="Normal 5 2 2 3 2 8 2" xfId="21675" xr:uid="{47B71FA9-95F8-4B34-B08F-8B492F28F6C1}"/>
    <cellStyle name="Normal 5 2 2 3 2 8 3" xfId="30121" xr:uid="{4F4030A7-230D-43E6-A4CF-78B2C5D1C77C}"/>
    <cellStyle name="Normal 5 2 2 3 2 8 4" xfId="13234" xr:uid="{5AB34870-8D5E-45CF-9078-5D970FB4B0B5}"/>
    <cellStyle name="Normal 5 2 2 3 2 9" xfId="17457" xr:uid="{AB43A296-76AC-414D-B382-E82F2456664D}"/>
    <cellStyle name="Normal 5 2 2 3 3" xfId="420" xr:uid="{00000000-0005-0000-0000-0000BF170000}"/>
    <cellStyle name="Normal 5 2 2 3 3 10" xfId="9018" xr:uid="{BC24F808-9990-47D2-B45C-4FEA9A50D2E3}"/>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24235" xr:uid="{986734C7-DECA-4E25-875C-4B67401D77E8}"/>
    <cellStyle name="Normal 5 2 2 3 3 2 2 2 3" xfId="32681" xr:uid="{974673EA-4940-46DC-82A8-58E8B7FCDC07}"/>
    <cellStyle name="Normal 5 2 2 3 3 2 2 2 4" xfId="15794" xr:uid="{3489771A-F406-4CB2-8317-C418FED0669A}"/>
    <cellStyle name="Normal 5 2 2 3 3 2 2 3" xfId="20017" xr:uid="{9CB58CCE-056D-492E-9094-B5505CF938F2}"/>
    <cellStyle name="Normal 5 2 2 3 3 2 2 4" xfId="28464" xr:uid="{D9911846-4893-4E1A-9996-78E40BCD0921}"/>
    <cellStyle name="Normal 5 2 2 3 3 2 2 5" xfId="11576" xr:uid="{120A2EA7-AB43-4334-8364-12385EAC6D62}"/>
    <cellStyle name="Normal 5 2 2 3 3 2 3" xfId="5207" xr:uid="{00000000-0005-0000-0000-0000C3170000}"/>
    <cellStyle name="Normal 5 2 2 3 3 2 3 2" xfId="22090" xr:uid="{E690DC99-4CF9-443D-A504-3A731CA32AE4}"/>
    <cellStyle name="Normal 5 2 2 3 3 2 3 3" xfId="30536" xr:uid="{3DE3C7B8-BC5D-49D4-8067-49651DBE92C2}"/>
    <cellStyle name="Normal 5 2 2 3 3 2 3 4" xfId="13649" xr:uid="{1D531320-B4AA-489B-AECB-CE98DCF4851B}"/>
    <cellStyle name="Normal 5 2 2 3 3 2 4" xfId="17872" xr:uid="{3FA76330-9D4D-4E61-A9C8-DF55FBF86B85}"/>
    <cellStyle name="Normal 5 2 2 3 3 2 5" xfId="26317" xr:uid="{E20241D4-BE5F-42B2-815E-EBCEB4437036}"/>
    <cellStyle name="Normal 5 2 2 3 3 2 6" xfId="9431" xr:uid="{77F93822-639B-41A3-8BF2-9988E24FB03E}"/>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24648" xr:uid="{7B499EC7-736C-4C0C-BD4A-0D9B7D39FDA7}"/>
    <cellStyle name="Normal 5 2 2 3 3 3 2 2 3" xfId="33094" xr:uid="{A61F0ADB-8749-4F88-A264-B416DB1D4175}"/>
    <cellStyle name="Normal 5 2 2 3 3 3 2 2 4" xfId="16207" xr:uid="{95B7ABF9-258C-4304-AEE8-8EC68DD559DE}"/>
    <cellStyle name="Normal 5 2 2 3 3 3 2 3" xfId="20430" xr:uid="{2D8BDB1F-5340-4794-99F8-4383ED35EC7F}"/>
    <cellStyle name="Normal 5 2 2 3 3 3 2 4" xfId="28877" xr:uid="{D1FF7D61-DAF6-495A-A0C1-DFF991CCA305}"/>
    <cellStyle name="Normal 5 2 2 3 3 3 2 5" xfId="11989" xr:uid="{83A6A3FE-8CF3-4A8F-90CE-70047925D6F3}"/>
    <cellStyle name="Normal 5 2 2 3 3 3 3" xfId="5620" xr:uid="{00000000-0005-0000-0000-0000C7170000}"/>
    <cellStyle name="Normal 5 2 2 3 3 3 3 2" xfId="22503" xr:uid="{CFF07421-22AD-4238-8DB4-6661072CF39E}"/>
    <cellStyle name="Normal 5 2 2 3 3 3 3 3" xfId="30949" xr:uid="{46163CDF-537A-42D8-9DC9-96E368E62849}"/>
    <cellStyle name="Normal 5 2 2 3 3 3 3 4" xfId="14062" xr:uid="{A2B6D80C-8BBF-4CCD-8B37-ACC2B2ABC568}"/>
    <cellStyle name="Normal 5 2 2 3 3 3 4" xfId="18285" xr:uid="{C0D06344-3380-4E89-9E99-E188CA5EC9A1}"/>
    <cellStyle name="Normal 5 2 2 3 3 3 5" xfId="26730" xr:uid="{B3DBD6BC-EBE8-4670-81D3-9A233A488592}"/>
    <cellStyle name="Normal 5 2 2 3 3 3 6" xfId="9844" xr:uid="{6F0A8BB5-3106-4945-9F45-58D1481C720D}"/>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25061" xr:uid="{820C2440-AD34-4BD3-B9A2-8E6BBE055956}"/>
    <cellStyle name="Normal 5 2 2 3 3 4 2 2 3" xfId="33507" xr:uid="{8D03DD8A-CAE9-4919-BD67-3B69E99658BE}"/>
    <cellStyle name="Normal 5 2 2 3 3 4 2 2 4" xfId="16620" xr:uid="{D43EEB7B-B524-4552-9841-366703A9ECF7}"/>
    <cellStyle name="Normal 5 2 2 3 3 4 2 3" xfId="20843" xr:uid="{0D37F527-7EEB-458C-9A31-82EEF970350A}"/>
    <cellStyle name="Normal 5 2 2 3 3 4 2 4" xfId="29290" xr:uid="{B455186C-5AA0-4BD5-93A1-5703FB877BD7}"/>
    <cellStyle name="Normal 5 2 2 3 3 4 2 5" xfId="12402" xr:uid="{2256DFD9-1190-41CF-A1B8-05C1B4B7FEFF}"/>
    <cellStyle name="Normal 5 2 2 3 3 4 3" xfId="6033" xr:uid="{00000000-0005-0000-0000-0000CB170000}"/>
    <cellStyle name="Normal 5 2 2 3 3 4 3 2" xfId="22916" xr:uid="{1200BE26-3FD1-4B88-BC2B-F6A2096A35DF}"/>
    <cellStyle name="Normal 5 2 2 3 3 4 3 3" xfId="31362" xr:uid="{4FC6B452-35B1-41DC-A557-23B272A1DF0B}"/>
    <cellStyle name="Normal 5 2 2 3 3 4 3 4" xfId="14475" xr:uid="{FA33356D-3583-4634-A11F-3348FAD68332}"/>
    <cellStyle name="Normal 5 2 2 3 3 4 4" xfId="18698" xr:uid="{E298CA28-F0ED-4B8F-A21C-9BF361EBAFF6}"/>
    <cellStyle name="Normal 5 2 2 3 3 4 5" xfId="27143" xr:uid="{B26F2516-AD9A-4616-B403-30FF23EFC606}"/>
    <cellStyle name="Normal 5 2 2 3 3 4 6" xfId="10257" xr:uid="{EFC8B680-F574-4926-A271-6C7D46C9C8D3}"/>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25474" xr:uid="{DECA1920-9C80-4AD7-8969-ECC719EF9935}"/>
    <cellStyle name="Normal 5 2 2 3 3 5 2 2 3" xfId="33920" xr:uid="{5D3CD963-8EB1-4F62-98FD-889A7F671791}"/>
    <cellStyle name="Normal 5 2 2 3 3 5 2 2 4" xfId="17033" xr:uid="{B8E652A1-050A-4767-B653-E0C205CDF12F}"/>
    <cellStyle name="Normal 5 2 2 3 3 5 2 3" xfId="21256" xr:uid="{ADB8F15F-B68E-437C-B028-D940E0BC3F4E}"/>
    <cellStyle name="Normal 5 2 2 3 3 5 2 4" xfId="29703" xr:uid="{B577F055-BD95-4B1B-A8BE-84745F89B170}"/>
    <cellStyle name="Normal 5 2 2 3 3 5 2 5" xfId="12815" xr:uid="{6C87AC5C-F0F4-45B4-A383-6D1D77E7EBAD}"/>
    <cellStyle name="Normal 5 2 2 3 3 5 3" xfId="6446" xr:uid="{00000000-0005-0000-0000-0000CF170000}"/>
    <cellStyle name="Normal 5 2 2 3 3 5 3 2" xfId="23329" xr:uid="{DE04E719-141A-439A-9E10-FECA6957B9A2}"/>
    <cellStyle name="Normal 5 2 2 3 3 5 3 3" xfId="31775" xr:uid="{496B07D3-EF80-4880-ADA6-28C008DAD452}"/>
    <cellStyle name="Normal 5 2 2 3 3 5 3 4" xfId="14888" xr:uid="{0BE05475-2F19-4958-8ADC-CFDFEEA06FB1}"/>
    <cellStyle name="Normal 5 2 2 3 3 5 4" xfId="19111" xr:uid="{83D04317-9187-4B85-A5D8-D1446ABD42BF}"/>
    <cellStyle name="Normal 5 2 2 3 3 5 5" xfId="27556" xr:uid="{3EF36B0F-AD70-48D9-B318-584E45BE7322}"/>
    <cellStyle name="Normal 5 2 2 3 3 5 6" xfId="10670" xr:uid="{B6B1FC05-CBE4-45B2-9D39-C0BF3488EFBE}"/>
    <cellStyle name="Normal 5 2 2 3 3 6" xfId="2575" xr:uid="{00000000-0005-0000-0000-0000D0170000}"/>
    <cellStyle name="Normal 5 2 2 3 3 6 2" xfId="6859" xr:uid="{00000000-0005-0000-0000-0000D1170000}"/>
    <cellStyle name="Normal 5 2 2 3 3 6 2 2" xfId="23742" xr:uid="{BB2FBEC6-A863-484F-9FE0-60B99CA4B764}"/>
    <cellStyle name="Normal 5 2 2 3 3 6 2 3" xfId="32188" xr:uid="{F5AB043A-A752-49B6-8C3D-F8FCF1A757A1}"/>
    <cellStyle name="Normal 5 2 2 3 3 6 2 4" xfId="15301" xr:uid="{4BAADCE0-5CF2-4BE7-BA3F-7167428BCB7A}"/>
    <cellStyle name="Normal 5 2 2 3 3 6 3" xfId="19524" xr:uid="{1871D942-E8F0-463D-B5CD-3FC5EB940FA9}"/>
    <cellStyle name="Normal 5 2 2 3 3 6 4" xfId="27969" xr:uid="{DE8C0150-5AE6-4DAE-957D-7C2660127F70}"/>
    <cellStyle name="Normal 5 2 2 3 3 6 5" xfId="11083" xr:uid="{67E6420C-DC6D-4C6A-833B-D07C194AB64F}"/>
    <cellStyle name="Normal 5 2 2 3 3 7" xfId="4794" xr:uid="{00000000-0005-0000-0000-0000D2170000}"/>
    <cellStyle name="Normal 5 2 2 3 3 7 2" xfId="21677" xr:uid="{5D70697B-A120-4D92-A24D-9B434E8423EF}"/>
    <cellStyle name="Normal 5 2 2 3 3 7 3" xfId="30123" xr:uid="{D95694B3-BC2C-47A9-AC10-8B1D28DFFD1B}"/>
    <cellStyle name="Normal 5 2 2 3 3 7 4" xfId="13236" xr:uid="{3F091855-8260-4F69-8B22-93AF8309FE2B}"/>
    <cellStyle name="Normal 5 2 2 3 3 8" xfId="17459" xr:uid="{98EA42D2-A7BA-4094-80C9-7E4D55E0BA49}"/>
    <cellStyle name="Normal 5 2 2 3 3 9" xfId="25903" xr:uid="{7F1CD855-7E4B-4AE3-82AC-26F82C9509BA}"/>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24232" xr:uid="{C64091C8-55D5-4EED-B589-C3C1332F94C2}"/>
    <cellStyle name="Normal 5 2 2 3 4 2 2 3" xfId="32678" xr:uid="{504B5FFC-5671-471B-84A9-409CBCBF1702}"/>
    <cellStyle name="Normal 5 2 2 3 4 2 2 4" xfId="15791" xr:uid="{8ABFE194-6256-4694-826D-C073BAE40C9C}"/>
    <cellStyle name="Normal 5 2 2 3 4 2 3" xfId="20014" xr:uid="{13558655-B5FC-49DB-BC14-17981211475D}"/>
    <cellStyle name="Normal 5 2 2 3 4 2 4" xfId="28461" xr:uid="{0CB95717-49A0-4289-BE23-0CC83E1A10F3}"/>
    <cellStyle name="Normal 5 2 2 3 4 2 5" xfId="11573" xr:uid="{C2035B83-D6E8-46FE-B2DD-1E33CA5B5005}"/>
    <cellStyle name="Normal 5 2 2 3 4 3" xfId="5204" xr:uid="{00000000-0005-0000-0000-0000D6170000}"/>
    <cellStyle name="Normal 5 2 2 3 4 3 2" xfId="22087" xr:uid="{9BBC276C-BD84-4074-AF9A-2BEC0FB25286}"/>
    <cellStyle name="Normal 5 2 2 3 4 3 3" xfId="30533" xr:uid="{64B52AAB-8CCE-420C-B72A-E5D1C4E39EBE}"/>
    <cellStyle name="Normal 5 2 2 3 4 3 4" xfId="13646" xr:uid="{6080FA95-B1BB-450D-953D-132A3C6EF82A}"/>
    <cellStyle name="Normal 5 2 2 3 4 4" xfId="17869" xr:uid="{16670C0E-29B4-4E19-89E4-8CE6F0895149}"/>
    <cellStyle name="Normal 5 2 2 3 4 5" xfId="26314" xr:uid="{BEC337D2-AC2D-44B1-B82A-6A1467EC66C1}"/>
    <cellStyle name="Normal 5 2 2 3 4 6" xfId="9428" xr:uid="{511E7FDB-2A8B-404C-9FA2-D8E873949AF5}"/>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24645" xr:uid="{E2AE023D-2DEE-4C87-856B-895E4F111FBD}"/>
    <cellStyle name="Normal 5 2 2 3 5 2 2 3" xfId="33091" xr:uid="{3E356EEF-7D00-4CFD-98D2-2D6D866BF5FA}"/>
    <cellStyle name="Normal 5 2 2 3 5 2 2 4" xfId="16204" xr:uid="{C620CE8A-FCC3-4C45-A365-4002B3D74AE2}"/>
    <cellStyle name="Normal 5 2 2 3 5 2 3" xfId="20427" xr:uid="{A02F914A-D2BD-4FB7-AC0B-76B395EF1430}"/>
    <cellStyle name="Normal 5 2 2 3 5 2 4" xfId="28874" xr:uid="{9ECD0443-F0B1-48AF-8577-F53B26AFF859}"/>
    <cellStyle name="Normal 5 2 2 3 5 2 5" xfId="11986" xr:uid="{4AF4E7D2-7215-422C-8C65-A657BFA6FD88}"/>
    <cellStyle name="Normal 5 2 2 3 5 3" xfId="5617" xr:uid="{00000000-0005-0000-0000-0000DA170000}"/>
    <cellStyle name="Normal 5 2 2 3 5 3 2" xfId="22500" xr:uid="{73D66C97-54D8-4F70-9976-89CEA054548A}"/>
    <cellStyle name="Normal 5 2 2 3 5 3 3" xfId="30946" xr:uid="{1C973993-9222-439D-947A-B8F5101FD66D}"/>
    <cellStyle name="Normal 5 2 2 3 5 3 4" xfId="14059" xr:uid="{7E6E9E85-AF4F-4A9F-BD4B-EA22F0035F80}"/>
    <cellStyle name="Normal 5 2 2 3 5 4" xfId="18282" xr:uid="{FA0E6937-D259-4712-BA74-9320EB5434C6}"/>
    <cellStyle name="Normal 5 2 2 3 5 5" xfId="26727" xr:uid="{0267CE62-A497-4FFF-87AB-06E377A2BABF}"/>
    <cellStyle name="Normal 5 2 2 3 5 6" xfId="9841" xr:uid="{54B29296-C668-4480-B026-FC233C79184D}"/>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25058" xr:uid="{89CA7B16-8038-464F-802C-3235480FFB7A}"/>
    <cellStyle name="Normal 5 2 2 3 6 2 2 3" xfId="33504" xr:uid="{19AF8F60-E899-481F-9EC8-EAB1DC27F5FF}"/>
    <cellStyle name="Normal 5 2 2 3 6 2 2 4" xfId="16617" xr:uid="{91D70E08-9313-426E-B5B1-85DFF7094A10}"/>
    <cellStyle name="Normal 5 2 2 3 6 2 3" xfId="20840" xr:uid="{36484C19-6B12-49FD-9343-BEFBC0C858BF}"/>
    <cellStyle name="Normal 5 2 2 3 6 2 4" xfId="29287" xr:uid="{E8931D87-A4B3-4170-87C9-A25FDC46E19D}"/>
    <cellStyle name="Normal 5 2 2 3 6 2 5" xfId="12399" xr:uid="{D9E1D20D-3F3F-4EE7-B8CF-3924D3E5E7BE}"/>
    <cellStyle name="Normal 5 2 2 3 6 3" xfId="6030" xr:uid="{00000000-0005-0000-0000-0000DE170000}"/>
    <cellStyle name="Normal 5 2 2 3 6 3 2" xfId="22913" xr:uid="{B8684EBC-CC09-4EA6-8696-C1933D0733C7}"/>
    <cellStyle name="Normal 5 2 2 3 6 3 3" xfId="31359" xr:uid="{4466E307-73F7-47C7-A582-57CA8BE45669}"/>
    <cellStyle name="Normal 5 2 2 3 6 3 4" xfId="14472" xr:uid="{71E31455-A4BE-4CEB-AA6C-4BB2BDA556ED}"/>
    <cellStyle name="Normal 5 2 2 3 6 4" xfId="18695" xr:uid="{EEC4A276-B3BC-4EE0-A113-A3A9D9DA87BE}"/>
    <cellStyle name="Normal 5 2 2 3 6 5" xfId="27140" xr:uid="{5D2AF2C8-4D2E-4AC9-9E67-C41662CEC32F}"/>
    <cellStyle name="Normal 5 2 2 3 6 6" xfId="10254" xr:uid="{1E23E4ED-5775-47B0-937A-C555575E5383}"/>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25471" xr:uid="{B30A212F-2C93-4CB7-92D3-CB003B63336C}"/>
    <cellStyle name="Normal 5 2 2 3 7 2 2 3" xfId="33917" xr:uid="{567EC089-3B3B-4E1C-AFC2-B6EAD0D21393}"/>
    <cellStyle name="Normal 5 2 2 3 7 2 2 4" xfId="17030" xr:uid="{33CABA3C-F396-42A2-8FC5-29A09D3CD3AA}"/>
    <cellStyle name="Normal 5 2 2 3 7 2 3" xfId="21253" xr:uid="{6EF88A3E-D140-4319-B4A9-525B6F0644CB}"/>
    <cellStyle name="Normal 5 2 2 3 7 2 4" xfId="29700" xr:uid="{955BEB07-48B2-42BA-913F-F2584F500122}"/>
    <cellStyle name="Normal 5 2 2 3 7 2 5" xfId="12812" xr:uid="{39D610FA-AE86-4C5A-9C4A-A45874235BC1}"/>
    <cellStyle name="Normal 5 2 2 3 7 3" xfId="6443" xr:uid="{00000000-0005-0000-0000-0000E2170000}"/>
    <cellStyle name="Normal 5 2 2 3 7 3 2" xfId="23326" xr:uid="{8B15A96B-EF71-4C14-838A-B7C479C902BF}"/>
    <cellStyle name="Normal 5 2 2 3 7 3 3" xfId="31772" xr:uid="{D4C0E7C9-0E45-402E-9E5B-380762DBA1EE}"/>
    <cellStyle name="Normal 5 2 2 3 7 3 4" xfId="14885" xr:uid="{8FE9B62B-82D3-4190-A3F7-DE60972B5B40}"/>
    <cellStyle name="Normal 5 2 2 3 7 4" xfId="19108" xr:uid="{8E183DCB-9B3A-4014-AC39-5D9ABA9FA7C6}"/>
    <cellStyle name="Normal 5 2 2 3 7 5" xfId="27553" xr:uid="{C56C1DEB-7C5C-40A6-AB7D-FECC100E6D5E}"/>
    <cellStyle name="Normal 5 2 2 3 7 6" xfId="10667" xr:uid="{9F96B802-577D-4B6C-87BB-02B5A9E42C4C}"/>
    <cellStyle name="Normal 5 2 2 3 8" xfId="2572" xr:uid="{00000000-0005-0000-0000-0000E3170000}"/>
    <cellStyle name="Normal 5 2 2 3 8 2" xfId="6856" xr:uid="{00000000-0005-0000-0000-0000E4170000}"/>
    <cellStyle name="Normal 5 2 2 3 8 2 2" xfId="23739" xr:uid="{0F8FAD36-CD6E-42D6-B8D3-D7EB43CDD36E}"/>
    <cellStyle name="Normal 5 2 2 3 8 2 3" xfId="32185" xr:uid="{F934BF7D-3ECC-4CD3-BAA5-8ADF7D9AFBD1}"/>
    <cellStyle name="Normal 5 2 2 3 8 2 4" xfId="15298" xr:uid="{626A8B27-FBA4-4441-865D-101180C03C3E}"/>
    <cellStyle name="Normal 5 2 2 3 8 3" xfId="19521" xr:uid="{2EC82662-B3E6-42B5-8B76-B3464871A8C1}"/>
    <cellStyle name="Normal 5 2 2 3 8 4" xfId="27966" xr:uid="{5FC9AD2B-E6AC-4BB0-8AEE-A8EAA6319F3A}"/>
    <cellStyle name="Normal 5 2 2 3 8 5" xfId="11080" xr:uid="{D97AE1A4-0A27-4B82-B64C-9E54188BC1B0}"/>
    <cellStyle name="Normal 5 2 2 3 9" xfId="4791" xr:uid="{00000000-0005-0000-0000-0000E5170000}"/>
    <cellStyle name="Normal 5 2 2 3 9 2" xfId="21674" xr:uid="{35A26E93-3791-4ECE-9554-1560757D4CCA}"/>
    <cellStyle name="Normal 5 2 2 3 9 3" xfId="30120" xr:uid="{8385C401-A0AA-4A95-94E0-624B5301CA95}"/>
    <cellStyle name="Normal 5 2 2 3 9 4" xfId="13233" xr:uid="{55DA8BAC-4A13-4025-9F57-81C4A215FEF2}"/>
    <cellStyle name="Normal 5 2 2 4" xfId="421" xr:uid="{00000000-0005-0000-0000-0000E6170000}"/>
    <cellStyle name="Normal 5 2 2 4 10" xfId="25904" xr:uid="{CD979438-6835-405A-9D66-58C82F8227DD}"/>
    <cellStyle name="Normal 5 2 2 4 11" xfId="9019" xr:uid="{B084D79B-1311-4C8B-82A0-624BF5FDB80B}"/>
    <cellStyle name="Normal 5 2 2 4 2" xfId="422" xr:uid="{00000000-0005-0000-0000-0000E7170000}"/>
    <cellStyle name="Normal 5 2 2 4 2 10" xfId="9020" xr:uid="{17F6FC77-3014-4E54-B8AA-BF918DE96A5B}"/>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24237" xr:uid="{A54075E8-7778-4369-B8B2-091D452F9B88}"/>
    <cellStyle name="Normal 5 2 2 4 2 2 2 2 3" xfId="32683" xr:uid="{A2B45971-2370-4C5A-87CB-F7F8ED5FB14B}"/>
    <cellStyle name="Normal 5 2 2 4 2 2 2 2 4" xfId="15796" xr:uid="{3BE897CD-F6C8-4BF3-9F8B-2A55864A7CC5}"/>
    <cellStyle name="Normal 5 2 2 4 2 2 2 3" xfId="20019" xr:uid="{D8FC178C-96FF-4097-A498-AEE74DC41135}"/>
    <cellStyle name="Normal 5 2 2 4 2 2 2 4" xfId="28466" xr:uid="{20BEDEB8-A1FC-44B2-B691-BBE7178D3085}"/>
    <cellStyle name="Normal 5 2 2 4 2 2 2 5" xfId="11578" xr:uid="{609BD3B0-2016-482E-9876-4DF14D1D64EF}"/>
    <cellStyle name="Normal 5 2 2 4 2 2 3" xfId="5209" xr:uid="{00000000-0005-0000-0000-0000EB170000}"/>
    <cellStyle name="Normal 5 2 2 4 2 2 3 2" xfId="22092" xr:uid="{12E96019-CF63-44EB-91F8-39A626555E82}"/>
    <cellStyle name="Normal 5 2 2 4 2 2 3 3" xfId="30538" xr:uid="{894D2D13-D3D2-4561-A394-F280E4AC3E02}"/>
    <cellStyle name="Normal 5 2 2 4 2 2 3 4" xfId="13651" xr:uid="{382096D1-5982-4F45-A08B-4263DB1333F8}"/>
    <cellStyle name="Normal 5 2 2 4 2 2 4" xfId="17874" xr:uid="{71192B85-9BA6-418E-AAAC-5DA271D05696}"/>
    <cellStyle name="Normal 5 2 2 4 2 2 5" xfId="26319" xr:uid="{6EF818BA-B482-475E-8402-AF9F068B9096}"/>
    <cellStyle name="Normal 5 2 2 4 2 2 6" xfId="9433" xr:uid="{11A20F5D-D7AE-420C-8BDF-37FC4F2560E5}"/>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24650" xr:uid="{A67391C5-45A5-4272-A9F3-43D35A4E047E}"/>
    <cellStyle name="Normal 5 2 2 4 2 3 2 2 3" xfId="33096" xr:uid="{19E4E4F1-053C-4084-ABBC-4C45901D56BE}"/>
    <cellStyle name="Normal 5 2 2 4 2 3 2 2 4" xfId="16209" xr:uid="{01B26F96-733B-4857-9AEB-C4B125D07A25}"/>
    <cellStyle name="Normal 5 2 2 4 2 3 2 3" xfId="20432" xr:uid="{D7087371-50D4-437B-988C-2401232709EF}"/>
    <cellStyle name="Normal 5 2 2 4 2 3 2 4" xfId="28879" xr:uid="{F995226A-4A38-4220-A873-63DFBD3BF68C}"/>
    <cellStyle name="Normal 5 2 2 4 2 3 2 5" xfId="11991" xr:uid="{8E7693DF-B39D-43EB-A3D4-8132A2B8C27D}"/>
    <cellStyle name="Normal 5 2 2 4 2 3 3" xfId="5622" xr:uid="{00000000-0005-0000-0000-0000EF170000}"/>
    <cellStyle name="Normal 5 2 2 4 2 3 3 2" xfId="22505" xr:uid="{5F8A3CA0-ECCC-4D7B-8D3A-2B757BD09345}"/>
    <cellStyle name="Normal 5 2 2 4 2 3 3 3" xfId="30951" xr:uid="{0B9DEAE2-AF04-4934-A3C6-27F7C01BEAA3}"/>
    <cellStyle name="Normal 5 2 2 4 2 3 3 4" xfId="14064" xr:uid="{C584D896-E428-4615-861E-82C049AABABC}"/>
    <cellStyle name="Normal 5 2 2 4 2 3 4" xfId="18287" xr:uid="{77E1B66A-6895-49C5-BDDE-67DBDC02BAE7}"/>
    <cellStyle name="Normal 5 2 2 4 2 3 5" xfId="26732" xr:uid="{B0BBD4D6-D815-4F29-97C7-B394D9C97D53}"/>
    <cellStyle name="Normal 5 2 2 4 2 3 6" xfId="9846" xr:uid="{C8B91AE2-5AAB-445E-A3CD-AF25520FFB95}"/>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25063" xr:uid="{C036D3C5-6A4A-4B10-9E25-7D587C90F64E}"/>
    <cellStyle name="Normal 5 2 2 4 2 4 2 2 3" xfId="33509" xr:uid="{FE78EA82-1FFD-40F7-B876-E5D8B747E3AF}"/>
    <cellStyle name="Normal 5 2 2 4 2 4 2 2 4" xfId="16622" xr:uid="{D4B1342F-EC4D-4667-90DB-334D9B8CA7CD}"/>
    <cellStyle name="Normal 5 2 2 4 2 4 2 3" xfId="20845" xr:uid="{7A363DA1-065F-4588-BA4F-E7E34406BBAF}"/>
    <cellStyle name="Normal 5 2 2 4 2 4 2 4" xfId="29292" xr:uid="{709629A8-0E2E-450C-BF42-856ADA41BED8}"/>
    <cellStyle name="Normal 5 2 2 4 2 4 2 5" xfId="12404" xr:uid="{6825D048-B840-4503-BF0E-3EBA3E9F740E}"/>
    <cellStyle name="Normal 5 2 2 4 2 4 3" xfId="6035" xr:uid="{00000000-0005-0000-0000-0000F3170000}"/>
    <cellStyle name="Normal 5 2 2 4 2 4 3 2" xfId="22918" xr:uid="{AECBED37-19E8-4F9D-A487-08912C2C98DD}"/>
    <cellStyle name="Normal 5 2 2 4 2 4 3 3" xfId="31364" xr:uid="{112EEF4C-9E5D-46DC-9EAF-2447EBEAAA76}"/>
    <cellStyle name="Normal 5 2 2 4 2 4 3 4" xfId="14477" xr:uid="{0B12FB9A-21D8-47B8-A76F-74C30E577FA7}"/>
    <cellStyle name="Normal 5 2 2 4 2 4 4" xfId="18700" xr:uid="{F4D5C87A-D2B1-446F-80BB-001EFC2CCBA4}"/>
    <cellStyle name="Normal 5 2 2 4 2 4 5" xfId="27145" xr:uid="{C4B20553-5BF1-4B8E-B50C-224E3070F201}"/>
    <cellStyle name="Normal 5 2 2 4 2 4 6" xfId="10259" xr:uid="{B7A329CB-83A1-4448-A597-6467D48C9926}"/>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25476" xr:uid="{A487F126-174D-4438-A63D-F973EBB6ACF9}"/>
    <cellStyle name="Normal 5 2 2 4 2 5 2 2 3" xfId="33922" xr:uid="{3EC63665-71B8-49CB-83D9-C6EB7D40B366}"/>
    <cellStyle name="Normal 5 2 2 4 2 5 2 2 4" xfId="17035" xr:uid="{5DDCBDC3-74C6-42AF-AF90-EB715D0B6778}"/>
    <cellStyle name="Normal 5 2 2 4 2 5 2 3" xfId="21258" xr:uid="{766379FF-8455-45A6-ACBC-2B58A06BB4AD}"/>
    <cellStyle name="Normal 5 2 2 4 2 5 2 4" xfId="29705" xr:uid="{F5C6DEDA-F2E1-49FA-8AD9-4717032C9DCC}"/>
    <cellStyle name="Normal 5 2 2 4 2 5 2 5" xfId="12817" xr:uid="{DB5181DD-E5AF-48A6-A0CF-BCF0F8A2959A}"/>
    <cellStyle name="Normal 5 2 2 4 2 5 3" xfId="6448" xr:uid="{00000000-0005-0000-0000-0000F7170000}"/>
    <cellStyle name="Normal 5 2 2 4 2 5 3 2" xfId="23331" xr:uid="{9F813BA0-012A-41F8-91DE-715E4FF5AA71}"/>
    <cellStyle name="Normal 5 2 2 4 2 5 3 3" xfId="31777" xr:uid="{C940EA84-7D9C-44C4-8CD8-5821FFF46853}"/>
    <cellStyle name="Normal 5 2 2 4 2 5 3 4" xfId="14890" xr:uid="{21D77E42-69A4-4DC6-A144-7C222AC0D05C}"/>
    <cellStyle name="Normal 5 2 2 4 2 5 4" xfId="19113" xr:uid="{C688C43F-CAD3-440E-9CEC-22F0D91D7D5D}"/>
    <cellStyle name="Normal 5 2 2 4 2 5 5" xfId="27558" xr:uid="{D92B70E5-BB5D-4371-A65D-AD65BD68AC1C}"/>
    <cellStyle name="Normal 5 2 2 4 2 5 6" xfId="10672" xr:uid="{41E52A55-7B3E-4BDE-B070-CA49935ADCD4}"/>
    <cellStyle name="Normal 5 2 2 4 2 6" xfId="2577" xr:uid="{00000000-0005-0000-0000-0000F8170000}"/>
    <cellStyle name="Normal 5 2 2 4 2 6 2" xfId="6861" xr:uid="{00000000-0005-0000-0000-0000F9170000}"/>
    <cellStyle name="Normal 5 2 2 4 2 6 2 2" xfId="23744" xr:uid="{919D6CD2-9CAA-437D-A1D0-34EA1FB6B957}"/>
    <cellStyle name="Normal 5 2 2 4 2 6 2 3" xfId="32190" xr:uid="{B5D18F8D-FED7-450B-A370-E82CFB84807C}"/>
    <cellStyle name="Normal 5 2 2 4 2 6 2 4" xfId="15303" xr:uid="{95B3A545-1708-47B5-9169-83D37778B317}"/>
    <cellStyle name="Normal 5 2 2 4 2 6 3" xfId="19526" xr:uid="{3DE1773D-D67A-480F-A28D-D283ED565445}"/>
    <cellStyle name="Normal 5 2 2 4 2 6 4" xfId="27971" xr:uid="{7F96D544-F363-4B88-ACB6-5DC20E392B8B}"/>
    <cellStyle name="Normal 5 2 2 4 2 6 5" xfId="11085" xr:uid="{561122C6-0746-4D45-B3CC-96046EE8FC93}"/>
    <cellStyle name="Normal 5 2 2 4 2 7" xfId="4796" xr:uid="{00000000-0005-0000-0000-0000FA170000}"/>
    <cellStyle name="Normal 5 2 2 4 2 7 2" xfId="21679" xr:uid="{31D0E78E-2032-49BA-921A-91CBB725C794}"/>
    <cellStyle name="Normal 5 2 2 4 2 7 3" xfId="30125" xr:uid="{B1365FE3-05EF-4688-BBD4-04DA2AA9B31D}"/>
    <cellStyle name="Normal 5 2 2 4 2 7 4" xfId="13238" xr:uid="{CC3CEB79-52F1-4F86-B3C9-0FF3542A8C18}"/>
    <cellStyle name="Normal 5 2 2 4 2 8" xfId="17461" xr:uid="{FCDB2261-3273-4782-B46D-3719942147D5}"/>
    <cellStyle name="Normal 5 2 2 4 2 9" xfId="25905" xr:uid="{BD0766F8-05D7-443E-9AC0-8631890DC97A}"/>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24236" xr:uid="{F4397646-AB72-4E29-8F3A-B76EF325C8E1}"/>
    <cellStyle name="Normal 5 2 2 4 3 2 2 3" xfId="32682" xr:uid="{04CAF189-F863-4B9E-8D1C-7A86EBB4F1B4}"/>
    <cellStyle name="Normal 5 2 2 4 3 2 2 4" xfId="15795" xr:uid="{4C6EA5EF-5CE5-459C-A410-2904F80C85C8}"/>
    <cellStyle name="Normal 5 2 2 4 3 2 3" xfId="20018" xr:uid="{84B3B16F-B6F5-4BE6-A14A-B91F27F22794}"/>
    <cellStyle name="Normal 5 2 2 4 3 2 4" xfId="28465" xr:uid="{C9BF7292-F5B6-4287-80B8-606C43ED075E}"/>
    <cellStyle name="Normal 5 2 2 4 3 2 5" xfId="11577" xr:uid="{1BAD379A-CC8C-479C-9AAB-D76F90A490D7}"/>
    <cellStyle name="Normal 5 2 2 4 3 3" xfId="5208" xr:uid="{00000000-0005-0000-0000-0000FE170000}"/>
    <cellStyle name="Normal 5 2 2 4 3 3 2" xfId="22091" xr:uid="{C63E7787-DA1D-4A41-8D43-43498CB5921D}"/>
    <cellStyle name="Normal 5 2 2 4 3 3 3" xfId="30537" xr:uid="{2E2D9F4A-9949-4B15-B149-9A5E9B59FB21}"/>
    <cellStyle name="Normal 5 2 2 4 3 3 4" xfId="13650" xr:uid="{AA5C6A8D-8396-426C-807F-4BB822411DF2}"/>
    <cellStyle name="Normal 5 2 2 4 3 4" xfId="17873" xr:uid="{1A9B7C45-83D0-4F28-991C-6D7A070EAD44}"/>
    <cellStyle name="Normal 5 2 2 4 3 5" xfId="26318" xr:uid="{A47855EA-4F78-4547-BBF2-5801C1706F52}"/>
    <cellStyle name="Normal 5 2 2 4 3 6" xfId="9432" xr:uid="{62DF8F8B-912D-4130-BB27-6CD69C17D13B}"/>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24649" xr:uid="{DA137ED0-F435-43E8-887B-C680BD1B264D}"/>
    <cellStyle name="Normal 5 2 2 4 4 2 2 3" xfId="33095" xr:uid="{6A5EF02B-E822-4ED8-B023-F2E852D42C75}"/>
    <cellStyle name="Normal 5 2 2 4 4 2 2 4" xfId="16208" xr:uid="{01252E57-AA5D-4654-B5E5-00FA4AF0FDD5}"/>
    <cellStyle name="Normal 5 2 2 4 4 2 3" xfId="20431" xr:uid="{9FA01538-6E59-44F7-BDCB-FA0D5ADB1BEF}"/>
    <cellStyle name="Normal 5 2 2 4 4 2 4" xfId="28878" xr:uid="{5D7EAB7F-2115-4D1E-B88C-7F566038955F}"/>
    <cellStyle name="Normal 5 2 2 4 4 2 5" xfId="11990" xr:uid="{D45C9B18-9323-422C-88FA-55B8840C531A}"/>
    <cellStyle name="Normal 5 2 2 4 4 3" xfId="5621" xr:uid="{00000000-0005-0000-0000-000002180000}"/>
    <cellStyle name="Normal 5 2 2 4 4 3 2" xfId="22504" xr:uid="{52AD7043-161E-4D29-A3E2-2D5442F154AC}"/>
    <cellStyle name="Normal 5 2 2 4 4 3 3" xfId="30950" xr:uid="{45331A53-3986-4956-8792-8B28433CE9BC}"/>
    <cellStyle name="Normal 5 2 2 4 4 3 4" xfId="14063" xr:uid="{3A52993C-C4BE-4395-B09E-CC47111B889C}"/>
    <cellStyle name="Normal 5 2 2 4 4 4" xfId="18286" xr:uid="{95C27866-4B93-49E3-98C4-2D52AACEA77F}"/>
    <cellStyle name="Normal 5 2 2 4 4 5" xfId="26731" xr:uid="{470CDDA8-092B-4697-B0BE-C7D5C7BD55DE}"/>
    <cellStyle name="Normal 5 2 2 4 4 6" xfId="9845" xr:uid="{96585A85-FE0E-40FB-B765-38433F29A5AB}"/>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25062" xr:uid="{3EC2AF47-81C9-4EF8-AD22-49506E15C98B}"/>
    <cellStyle name="Normal 5 2 2 4 5 2 2 3" xfId="33508" xr:uid="{0CEFCA7A-D093-408E-87BA-43B495988C81}"/>
    <cellStyle name="Normal 5 2 2 4 5 2 2 4" xfId="16621" xr:uid="{E094EB34-8B74-4E56-BD13-9EAFC815EBC1}"/>
    <cellStyle name="Normal 5 2 2 4 5 2 3" xfId="20844" xr:uid="{DE0EC866-7F34-4D91-AA12-60B04393C29E}"/>
    <cellStyle name="Normal 5 2 2 4 5 2 4" xfId="29291" xr:uid="{A9B5A2A5-0F3B-44DA-A722-78DD9C15A125}"/>
    <cellStyle name="Normal 5 2 2 4 5 2 5" xfId="12403" xr:uid="{09A67392-696A-4ED1-9715-4B49D5E85007}"/>
    <cellStyle name="Normal 5 2 2 4 5 3" xfId="6034" xr:uid="{00000000-0005-0000-0000-000006180000}"/>
    <cellStyle name="Normal 5 2 2 4 5 3 2" xfId="22917" xr:uid="{1DAC1169-8947-4723-9FFB-08540E2402B2}"/>
    <cellStyle name="Normal 5 2 2 4 5 3 3" xfId="31363" xr:uid="{E08123A3-13C5-4A7F-B382-3A8DA919B5CF}"/>
    <cellStyle name="Normal 5 2 2 4 5 3 4" xfId="14476" xr:uid="{2ADD8C5E-3FBA-473E-ABA4-D55DAC97D127}"/>
    <cellStyle name="Normal 5 2 2 4 5 4" xfId="18699" xr:uid="{4AE5A824-8B82-427A-891F-F7744E67CB3B}"/>
    <cellStyle name="Normal 5 2 2 4 5 5" xfId="27144" xr:uid="{785AB3CB-FA84-47EE-8131-3C026068CF38}"/>
    <cellStyle name="Normal 5 2 2 4 5 6" xfId="10258" xr:uid="{BD545FD7-843E-4EDF-B790-4B0D925C1E9A}"/>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25475" xr:uid="{AF302F90-BB73-4D4A-89C1-B390E55E933F}"/>
    <cellStyle name="Normal 5 2 2 4 6 2 2 3" xfId="33921" xr:uid="{D31E4FD3-CF2C-4E30-9318-E7F41117BF47}"/>
    <cellStyle name="Normal 5 2 2 4 6 2 2 4" xfId="17034" xr:uid="{0B67A808-CF2D-4671-942F-3E53553AEA89}"/>
    <cellStyle name="Normal 5 2 2 4 6 2 3" xfId="21257" xr:uid="{D879C303-9B84-4449-B876-7B81E3A863FB}"/>
    <cellStyle name="Normal 5 2 2 4 6 2 4" xfId="29704" xr:uid="{B03046EF-FB98-4BA7-8EAA-B4981DE7E18F}"/>
    <cellStyle name="Normal 5 2 2 4 6 2 5" xfId="12816" xr:uid="{28CDDCCF-2FCA-4E70-9D8A-C4AED8F5E57E}"/>
    <cellStyle name="Normal 5 2 2 4 6 3" xfId="6447" xr:uid="{00000000-0005-0000-0000-00000A180000}"/>
    <cellStyle name="Normal 5 2 2 4 6 3 2" xfId="23330" xr:uid="{A81DA934-DB6E-46B1-85E1-C951EEE18103}"/>
    <cellStyle name="Normal 5 2 2 4 6 3 3" xfId="31776" xr:uid="{28221EE9-FB40-4C8D-B099-2DC5E44EC5F8}"/>
    <cellStyle name="Normal 5 2 2 4 6 3 4" xfId="14889" xr:uid="{A75FE135-D2F3-43DF-AF2A-BA50B1E62A3D}"/>
    <cellStyle name="Normal 5 2 2 4 6 4" xfId="19112" xr:uid="{BC7B4BDC-5470-48A2-AFC2-49042559CB56}"/>
    <cellStyle name="Normal 5 2 2 4 6 5" xfId="27557" xr:uid="{F4E7B08C-E890-47E9-BD84-73C81E700EA6}"/>
    <cellStyle name="Normal 5 2 2 4 6 6" xfId="10671" xr:uid="{DA8C0632-293A-466C-8E88-13065CF73AED}"/>
    <cellStyle name="Normal 5 2 2 4 7" xfId="2576" xr:uid="{00000000-0005-0000-0000-00000B180000}"/>
    <cellStyle name="Normal 5 2 2 4 7 2" xfId="6860" xr:uid="{00000000-0005-0000-0000-00000C180000}"/>
    <cellStyle name="Normal 5 2 2 4 7 2 2" xfId="23743" xr:uid="{2D04D61C-4CC9-4C73-BB59-524C79907137}"/>
    <cellStyle name="Normal 5 2 2 4 7 2 3" xfId="32189" xr:uid="{8768913B-C455-4010-B170-99500DA4BC20}"/>
    <cellStyle name="Normal 5 2 2 4 7 2 4" xfId="15302" xr:uid="{F1877E8C-5287-49DD-9BD7-90ABF71C22DD}"/>
    <cellStyle name="Normal 5 2 2 4 7 3" xfId="19525" xr:uid="{318B3012-493B-4993-8024-BAD48596AB31}"/>
    <cellStyle name="Normal 5 2 2 4 7 4" xfId="27970" xr:uid="{39E411AF-2CE4-4BE2-A7FD-466FA25BE2F2}"/>
    <cellStyle name="Normal 5 2 2 4 7 5" xfId="11084" xr:uid="{05C3A69E-6CAC-43F4-BDDB-F29D684AED43}"/>
    <cellStyle name="Normal 5 2 2 4 8" xfId="4795" xr:uid="{00000000-0005-0000-0000-00000D180000}"/>
    <cellStyle name="Normal 5 2 2 4 8 2" xfId="21678" xr:uid="{9DC6B0BE-232D-4576-9C53-57E5E363DE9E}"/>
    <cellStyle name="Normal 5 2 2 4 8 3" xfId="30124" xr:uid="{EBD2B2C8-2E62-4138-B48A-DE5A9E52534F}"/>
    <cellStyle name="Normal 5 2 2 4 8 4" xfId="13237" xr:uid="{CBA112AB-C746-4F6C-8D36-B58EC68F0841}"/>
    <cellStyle name="Normal 5 2 2 4 9" xfId="17460" xr:uid="{E3BF2634-A4B8-4CAC-8CEA-C8F4654B1115}"/>
    <cellStyle name="Normal 5 2 2 5" xfId="423" xr:uid="{00000000-0005-0000-0000-00000E180000}"/>
    <cellStyle name="Normal 5 2 2 5 10" xfId="9021" xr:uid="{EFD4BFEF-EB4D-4FE1-9DFB-6700BD1BF0E2}"/>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24238" xr:uid="{1C339D8E-DF02-4E2C-83EC-EA84C52DCFDB}"/>
    <cellStyle name="Normal 5 2 2 5 2 2 2 3" xfId="32684" xr:uid="{F1197193-4FA9-4581-A4B6-7BCD63D70D06}"/>
    <cellStyle name="Normal 5 2 2 5 2 2 2 4" xfId="15797" xr:uid="{6444CDE1-92CC-4B2E-B827-39A2DE40FC9D}"/>
    <cellStyle name="Normal 5 2 2 5 2 2 3" xfId="20020" xr:uid="{A11D14C7-A887-48D2-9EFC-C6F4CC249467}"/>
    <cellStyle name="Normal 5 2 2 5 2 2 4" xfId="28467" xr:uid="{4F80C4F8-20C9-4736-84C1-8CAEBA3D6A8F}"/>
    <cellStyle name="Normal 5 2 2 5 2 2 5" xfId="11579" xr:uid="{ACFAE522-3A2A-423E-8C23-59012BEB3A27}"/>
    <cellStyle name="Normal 5 2 2 5 2 3" xfId="5210" xr:uid="{00000000-0005-0000-0000-000012180000}"/>
    <cellStyle name="Normal 5 2 2 5 2 3 2" xfId="22093" xr:uid="{B4D0A258-D873-45C7-BB97-DE65AC18BF00}"/>
    <cellStyle name="Normal 5 2 2 5 2 3 3" xfId="30539" xr:uid="{CD807F87-C237-495B-9B2F-4C3666B716CE}"/>
    <cellStyle name="Normal 5 2 2 5 2 3 4" xfId="13652" xr:uid="{A4E030F7-8558-4CD5-8F24-E8EACC4AC36A}"/>
    <cellStyle name="Normal 5 2 2 5 2 4" xfId="17875" xr:uid="{FF4F63AD-8689-40E1-9681-B1A464D2AC19}"/>
    <cellStyle name="Normal 5 2 2 5 2 5" xfId="26320" xr:uid="{0D6271A4-D775-4B63-AB39-2703ED0E630B}"/>
    <cellStyle name="Normal 5 2 2 5 2 6" xfId="9434" xr:uid="{9819C8A9-4122-491D-8EA3-6756B2BB15F5}"/>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24651" xr:uid="{4E34F611-480B-49EB-A031-D781E268DBDF}"/>
    <cellStyle name="Normal 5 2 2 5 3 2 2 3" xfId="33097" xr:uid="{F73C64D9-9095-4A1B-8FD9-4E13F350A083}"/>
    <cellStyle name="Normal 5 2 2 5 3 2 2 4" xfId="16210" xr:uid="{195EF421-CA7E-42F7-9D73-B4DA83720C42}"/>
    <cellStyle name="Normal 5 2 2 5 3 2 3" xfId="20433" xr:uid="{4FC81BC1-8B12-4517-8202-233E4641C0CC}"/>
    <cellStyle name="Normal 5 2 2 5 3 2 4" xfId="28880" xr:uid="{A276347F-7EA9-49A2-A56C-25DCD5E58855}"/>
    <cellStyle name="Normal 5 2 2 5 3 2 5" xfId="11992" xr:uid="{926AF3AB-E2CB-4CF6-A1DF-4E6CE6839CB9}"/>
    <cellStyle name="Normal 5 2 2 5 3 3" xfId="5623" xr:uid="{00000000-0005-0000-0000-000016180000}"/>
    <cellStyle name="Normal 5 2 2 5 3 3 2" xfId="22506" xr:uid="{576EF2B6-1CCB-4953-9BE4-C36CF01F1497}"/>
    <cellStyle name="Normal 5 2 2 5 3 3 3" xfId="30952" xr:uid="{3AB1F428-9D8E-4820-A8C3-6C0C7EDC9122}"/>
    <cellStyle name="Normal 5 2 2 5 3 3 4" xfId="14065" xr:uid="{81C9B471-5C1E-42DC-A01A-4BCF36D70D9C}"/>
    <cellStyle name="Normal 5 2 2 5 3 4" xfId="18288" xr:uid="{23196B5A-8965-4357-A547-F3B4F3647666}"/>
    <cellStyle name="Normal 5 2 2 5 3 5" xfId="26733" xr:uid="{21D62AAE-5FCC-4ECD-A0B0-2C4A8816BD1F}"/>
    <cellStyle name="Normal 5 2 2 5 3 6" xfId="9847" xr:uid="{B5327D5A-C9F8-4459-9491-32E12DC94A80}"/>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25064" xr:uid="{16EC23F9-669C-4AFC-B283-EB3012A39D47}"/>
    <cellStyle name="Normal 5 2 2 5 4 2 2 3" xfId="33510" xr:uid="{3DB19FB7-E218-4A60-8DF6-D66D3367E104}"/>
    <cellStyle name="Normal 5 2 2 5 4 2 2 4" xfId="16623" xr:uid="{67A5AC49-F680-446E-8EAB-B7F6DBB24EDA}"/>
    <cellStyle name="Normal 5 2 2 5 4 2 3" xfId="20846" xr:uid="{04A6CC36-469A-47F3-B141-1E168E97B2EE}"/>
    <cellStyle name="Normal 5 2 2 5 4 2 4" xfId="29293" xr:uid="{C7D9C0F7-5292-4467-8ED3-C4B1BD59EC99}"/>
    <cellStyle name="Normal 5 2 2 5 4 2 5" xfId="12405" xr:uid="{1DCEE4EA-7EC8-41BF-910B-52FEDEE272FD}"/>
    <cellStyle name="Normal 5 2 2 5 4 3" xfId="6036" xr:uid="{00000000-0005-0000-0000-00001A180000}"/>
    <cellStyle name="Normal 5 2 2 5 4 3 2" xfId="22919" xr:uid="{ED38668A-C3B2-46A7-9F71-D5BE56605058}"/>
    <cellStyle name="Normal 5 2 2 5 4 3 3" xfId="31365" xr:uid="{F35986DE-7C6A-467F-A7EF-80560C6D8535}"/>
    <cellStyle name="Normal 5 2 2 5 4 3 4" xfId="14478" xr:uid="{FBC2B71D-E3AA-49E1-8920-BF480597D371}"/>
    <cellStyle name="Normal 5 2 2 5 4 4" xfId="18701" xr:uid="{6E409DFF-D972-4612-B938-E6D664911ABB}"/>
    <cellStyle name="Normal 5 2 2 5 4 5" xfId="27146" xr:uid="{4535C0FB-EA58-4A20-A178-4C38BD8F19A1}"/>
    <cellStyle name="Normal 5 2 2 5 4 6" xfId="10260" xr:uid="{E79DCE57-1EF4-498A-8F96-8DA9A4A09B7B}"/>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25477" xr:uid="{34391F65-A577-4802-99A8-08236EB8966A}"/>
    <cellStyle name="Normal 5 2 2 5 5 2 2 3" xfId="33923" xr:uid="{544FE0BE-6C6F-40BB-B411-22D3A52C8AE3}"/>
    <cellStyle name="Normal 5 2 2 5 5 2 2 4" xfId="17036" xr:uid="{D4292DF6-A5A5-4553-9F11-F6E79DF1FA21}"/>
    <cellStyle name="Normal 5 2 2 5 5 2 3" xfId="21259" xr:uid="{C2FCA31A-56DC-45A5-9CBD-83DFD63B69DC}"/>
    <cellStyle name="Normal 5 2 2 5 5 2 4" xfId="29706" xr:uid="{42E15C3B-4626-49E2-BA92-E749009C3943}"/>
    <cellStyle name="Normal 5 2 2 5 5 2 5" xfId="12818" xr:uid="{FF138E8C-E4A5-467D-9BF9-F7672FFBBE86}"/>
    <cellStyle name="Normal 5 2 2 5 5 3" xfId="6449" xr:uid="{00000000-0005-0000-0000-00001E180000}"/>
    <cellStyle name="Normal 5 2 2 5 5 3 2" xfId="23332" xr:uid="{B126EA0B-5FA5-4C3F-8FAA-50FE1E6BCAD2}"/>
    <cellStyle name="Normal 5 2 2 5 5 3 3" xfId="31778" xr:uid="{1F036C27-9EC4-4973-949F-43F0FFAD61F8}"/>
    <cellStyle name="Normal 5 2 2 5 5 3 4" xfId="14891" xr:uid="{43827D64-9317-4E65-8DC7-786B087A4757}"/>
    <cellStyle name="Normal 5 2 2 5 5 4" xfId="19114" xr:uid="{049690CD-7F3E-4C05-B2E9-ECC473A0E50B}"/>
    <cellStyle name="Normal 5 2 2 5 5 5" xfId="27559" xr:uid="{22B93F49-75CD-4E8F-A314-F04B5FA8B3DB}"/>
    <cellStyle name="Normal 5 2 2 5 5 6" xfId="10673" xr:uid="{D5CE9DA7-6914-464D-BCBB-DD3A7B5E695E}"/>
    <cellStyle name="Normal 5 2 2 5 6" xfId="2578" xr:uid="{00000000-0005-0000-0000-00001F180000}"/>
    <cellStyle name="Normal 5 2 2 5 6 2" xfId="6862" xr:uid="{00000000-0005-0000-0000-000020180000}"/>
    <cellStyle name="Normal 5 2 2 5 6 2 2" xfId="23745" xr:uid="{E2482A5C-0E09-47A5-AB6C-281CE91CB5E0}"/>
    <cellStyle name="Normal 5 2 2 5 6 2 3" xfId="32191" xr:uid="{40EF10C3-D7C3-491F-BAA2-175A3C0C5513}"/>
    <cellStyle name="Normal 5 2 2 5 6 2 4" xfId="15304" xr:uid="{4DA91427-0D9D-4CC8-A6F3-45086AC4BF92}"/>
    <cellStyle name="Normal 5 2 2 5 6 3" xfId="19527" xr:uid="{D97DBB26-9DA9-47EB-B939-3989F59C3029}"/>
    <cellStyle name="Normal 5 2 2 5 6 4" xfId="27972" xr:uid="{E2D23F80-53A1-4F6D-9704-4141FE0D1C55}"/>
    <cellStyle name="Normal 5 2 2 5 6 5" xfId="11086" xr:uid="{645F9AA5-8B8B-4BE5-8AC3-5CDF6B7CD97D}"/>
    <cellStyle name="Normal 5 2 2 5 7" xfId="4797" xr:uid="{00000000-0005-0000-0000-000021180000}"/>
    <cellStyle name="Normal 5 2 2 5 7 2" xfId="21680" xr:uid="{000496D1-6305-4164-B526-B87E33C929E5}"/>
    <cellStyle name="Normal 5 2 2 5 7 3" xfId="30126" xr:uid="{99D1E012-447E-4EBF-B05C-1CCDED7209D2}"/>
    <cellStyle name="Normal 5 2 2 5 7 4" xfId="13239" xr:uid="{F18FC3FD-7899-4A7C-BCF2-326CCFE7B620}"/>
    <cellStyle name="Normal 5 2 2 5 8" xfId="17462" xr:uid="{FE53462F-98DC-442E-9C87-556FD5FB1FA0}"/>
    <cellStyle name="Normal 5 2 2 5 9" xfId="25906" xr:uid="{775ABE5E-7DB7-473D-B78E-A69D66456698}"/>
    <cellStyle name="Normal 5 2 2 6" xfId="882" xr:uid="{00000000-0005-0000-0000-000022180000}"/>
    <cellStyle name="Normal 5 2 2 6 2" xfId="3117" xr:uid="{00000000-0005-0000-0000-000023180000}"/>
    <cellStyle name="Normal 5 2 2 6 2 2" xfId="7340" xr:uid="{00000000-0005-0000-0000-000024180000}"/>
    <cellStyle name="Normal 5 2 2 6 2 2 2" xfId="24223" xr:uid="{2E3F4047-5BEE-45A1-B226-B864B61BC355}"/>
    <cellStyle name="Normal 5 2 2 6 2 2 3" xfId="32669" xr:uid="{08A63636-A3BD-4E06-A497-966D2C72F0BF}"/>
    <cellStyle name="Normal 5 2 2 6 2 2 4" xfId="15782" xr:uid="{87E1F99C-7B2C-41F2-B419-191D4CA134CB}"/>
    <cellStyle name="Normal 5 2 2 6 2 3" xfId="20005" xr:uid="{FEA8904A-A1D1-4C5D-B488-75940F98CB2B}"/>
    <cellStyle name="Normal 5 2 2 6 2 4" xfId="28452" xr:uid="{B983ECAD-B707-4E6E-86D1-E488AD333A07}"/>
    <cellStyle name="Normal 5 2 2 6 2 5" xfId="11564" xr:uid="{A686F157-FC80-478B-8EAD-D2564A4A46D6}"/>
    <cellStyle name="Normal 5 2 2 6 3" xfId="5195" xr:uid="{00000000-0005-0000-0000-000025180000}"/>
    <cellStyle name="Normal 5 2 2 6 3 2" xfId="22078" xr:uid="{C7C54E8F-0A2C-4F5F-9C13-3CD56BC836A1}"/>
    <cellStyle name="Normal 5 2 2 6 3 3" xfId="30524" xr:uid="{AFB9E30B-0D98-490E-9860-62301EB4C17F}"/>
    <cellStyle name="Normal 5 2 2 6 3 4" xfId="13637" xr:uid="{A1F86560-6EFF-4CEC-A635-40537FCC8595}"/>
    <cellStyle name="Normal 5 2 2 6 4" xfId="17860" xr:uid="{B3C8ED12-8091-43C1-9FF7-E5FD954314BB}"/>
    <cellStyle name="Normal 5 2 2 6 5" xfId="26305" xr:uid="{FFAC8B7D-CDC2-4C54-BB92-F5FD40521A58}"/>
    <cellStyle name="Normal 5 2 2 6 6" xfId="9419" xr:uid="{62F9C5FF-E231-4554-9A4B-AB7B72F8A7A6}"/>
    <cellStyle name="Normal 5 2 2 7" xfId="1300" xr:uid="{00000000-0005-0000-0000-000026180000}"/>
    <cellStyle name="Normal 5 2 2 7 2" xfId="3530" xr:uid="{00000000-0005-0000-0000-000027180000}"/>
    <cellStyle name="Normal 5 2 2 7 2 2" xfId="7753" xr:uid="{00000000-0005-0000-0000-000028180000}"/>
    <cellStyle name="Normal 5 2 2 7 2 2 2" xfId="24636" xr:uid="{BA43F708-906D-4175-B8DE-AC78A54DFA36}"/>
    <cellStyle name="Normal 5 2 2 7 2 2 3" xfId="33082" xr:uid="{A5E8F120-9C04-46A3-A44A-FCC77B3FD9D9}"/>
    <cellStyle name="Normal 5 2 2 7 2 2 4" xfId="16195" xr:uid="{B9D8B22D-11F2-470D-A01C-5922D715D929}"/>
    <cellStyle name="Normal 5 2 2 7 2 3" xfId="20418" xr:uid="{250A30DE-D446-43BD-AA27-C353285F3DE7}"/>
    <cellStyle name="Normal 5 2 2 7 2 4" xfId="28865" xr:uid="{30C3A9A8-7AEF-481D-9160-AA961D183387}"/>
    <cellStyle name="Normal 5 2 2 7 2 5" xfId="11977" xr:uid="{6A02EB07-186C-429E-B0F5-86673E3D2431}"/>
    <cellStyle name="Normal 5 2 2 7 3" xfId="5608" xr:uid="{00000000-0005-0000-0000-000029180000}"/>
    <cellStyle name="Normal 5 2 2 7 3 2" xfId="22491" xr:uid="{F7813634-58D8-44DA-997D-A5E49DCC1628}"/>
    <cellStyle name="Normal 5 2 2 7 3 3" xfId="30937" xr:uid="{8BCAF74D-D64C-4D91-B31B-691054FD3AB6}"/>
    <cellStyle name="Normal 5 2 2 7 3 4" xfId="14050" xr:uid="{2A06F673-8C02-47E1-B0A4-0E6F00A639B1}"/>
    <cellStyle name="Normal 5 2 2 7 4" xfId="18273" xr:uid="{A4311A44-7FFD-4A6B-A235-D1D2E263AFCB}"/>
    <cellStyle name="Normal 5 2 2 7 5" xfId="26718" xr:uid="{01316824-613B-400E-9BE3-40E8B99B03BC}"/>
    <cellStyle name="Normal 5 2 2 7 6" xfId="9832" xr:uid="{FFAB5126-8874-452C-B3B9-F871235CAF04}"/>
    <cellStyle name="Normal 5 2 2 8" xfId="1713" xr:uid="{00000000-0005-0000-0000-00002A180000}"/>
    <cellStyle name="Normal 5 2 2 8 2" xfId="3943" xr:uid="{00000000-0005-0000-0000-00002B180000}"/>
    <cellStyle name="Normal 5 2 2 8 2 2" xfId="8166" xr:uid="{00000000-0005-0000-0000-00002C180000}"/>
    <cellStyle name="Normal 5 2 2 8 2 2 2" xfId="25049" xr:uid="{75E4800D-E8A9-404E-98C0-103701149CE4}"/>
    <cellStyle name="Normal 5 2 2 8 2 2 3" xfId="33495" xr:uid="{1AFDC5DB-BF3F-4213-95A4-4CB4D1AC3995}"/>
    <cellStyle name="Normal 5 2 2 8 2 2 4" xfId="16608" xr:uid="{BA89D6AC-9933-43E9-9983-673FE3E95E36}"/>
    <cellStyle name="Normal 5 2 2 8 2 3" xfId="20831" xr:uid="{8A298657-D5D1-48B2-8D19-C4458ACFB869}"/>
    <cellStyle name="Normal 5 2 2 8 2 4" xfId="29278" xr:uid="{F3874318-8E74-4F24-BACE-EFE4D1AFFBAB}"/>
    <cellStyle name="Normal 5 2 2 8 2 5" xfId="12390" xr:uid="{45A31395-EFEA-4422-B0F2-5B5361C0F3B5}"/>
    <cellStyle name="Normal 5 2 2 8 3" xfId="6021" xr:uid="{00000000-0005-0000-0000-00002D180000}"/>
    <cellStyle name="Normal 5 2 2 8 3 2" xfId="22904" xr:uid="{241953F9-FDF0-4DB8-BBD7-1BF6FCDCD79B}"/>
    <cellStyle name="Normal 5 2 2 8 3 3" xfId="31350" xr:uid="{F88D7453-8AD4-40DC-BB36-1C6757D38D29}"/>
    <cellStyle name="Normal 5 2 2 8 3 4" xfId="14463" xr:uid="{A6314BF3-5740-4659-9DD8-C163739F8928}"/>
    <cellStyle name="Normal 5 2 2 8 4" xfId="18686" xr:uid="{AA023694-061E-43B5-BCFC-C4D5DCE2C38F}"/>
    <cellStyle name="Normal 5 2 2 8 5" xfId="27131" xr:uid="{3472F8E8-A320-4B19-BFDA-884F45D6BD73}"/>
    <cellStyle name="Normal 5 2 2 8 6" xfId="10245" xr:uid="{A065427B-7787-4BB2-9A98-E4824A5548D0}"/>
    <cellStyle name="Normal 5 2 2 9" xfId="2127" xr:uid="{00000000-0005-0000-0000-00002E180000}"/>
    <cellStyle name="Normal 5 2 2 9 2" xfId="4356" xr:uid="{00000000-0005-0000-0000-00002F180000}"/>
    <cellStyle name="Normal 5 2 2 9 2 2" xfId="8579" xr:uid="{00000000-0005-0000-0000-000030180000}"/>
    <cellStyle name="Normal 5 2 2 9 2 2 2" xfId="25462" xr:uid="{73C0B751-ECB4-4D6D-AB4E-A315463A6BE1}"/>
    <cellStyle name="Normal 5 2 2 9 2 2 3" xfId="33908" xr:uid="{328CC1B2-2370-4E4B-8A61-505411034527}"/>
    <cellStyle name="Normal 5 2 2 9 2 2 4" xfId="17021" xr:uid="{599BD80D-B3F1-4559-B12C-F7489172AB2A}"/>
    <cellStyle name="Normal 5 2 2 9 2 3" xfId="21244" xr:uid="{08FB9193-6423-4576-9E86-50645A4F66C7}"/>
    <cellStyle name="Normal 5 2 2 9 2 4" xfId="29691" xr:uid="{31B5309C-7455-4B25-AF57-0346021FDD1D}"/>
    <cellStyle name="Normal 5 2 2 9 2 5" xfId="12803" xr:uid="{D0FF7470-D2D4-4C0F-8129-6F054E632C5F}"/>
    <cellStyle name="Normal 5 2 2 9 3" xfId="6434" xr:uid="{00000000-0005-0000-0000-000031180000}"/>
    <cellStyle name="Normal 5 2 2 9 3 2" xfId="23317" xr:uid="{E52316FC-4D4F-4867-A0EE-CF1CFB93AF47}"/>
    <cellStyle name="Normal 5 2 2 9 3 3" xfId="31763" xr:uid="{0635E1B1-3697-42F9-B58D-CDE38BB6824F}"/>
    <cellStyle name="Normal 5 2 2 9 3 4" xfId="14876" xr:uid="{045726CA-4EF5-4577-AAFA-105955580C8E}"/>
    <cellStyle name="Normal 5 2 2 9 4" xfId="19099" xr:uid="{31BE6E2C-D35E-4F54-96AD-214942CC2DAC}"/>
    <cellStyle name="Normal 5 2 2 9 5" xfId="27544" xr:uid="{BB9956DB-3DF8-4562-BCEF-B9EEB16E6392}"/>
    <cellStyle name="Normal 5 2 2 9 6" xfId="10658" xr:uid="{93BE8BA2-C2D5-4740-B164-F24A686EFF96}"/>
    <cellStyle name="Normal 5 2 3" xfId="424" xr:uid="{00000000-0005-0000-0000-000032180000}"/>
    <cellStyle name="Normal 5 2 3 10" xfId="4798" xr:uid="{00000000-0005-0000-0000-000033180000}"/>
    <cellStyle name="Normal 5 2 3 10 2" xfId="21681" xr:uid="{817B7331-B9ED-4761-9E40-A9ABE306891F}"/>
    <cellStyle name="Normal 5 2 3 10 3" xfId="30127" xr:uid="{EB38E103-429C-4D13-89FF-AB5A3896114C}"/>
    <cellStyle name="Normal 5 2 3 10 4" xfId="13240" xr:uid="{627E35F1-0F48-4210-8705-4F26B2DD3F88}"/>
    <cellStyle name="Normal 5 2 3 11" xfId="17463" xr:uid="{DE86719F-FC3B-4200-8553-FF42357BA70B}"/>
    <cellStyle name="Normal 5 2 3 12" xfId="25907" xr:uid="{87B83161-A692-4542-AACD-870209619C2C}"/>
    <cellStyle name="Normal 5 2 3 13" xfId="9022" xr:uid="{B53CE7D4-4562-42A7-8264-960E902D1D47}"/>
    <cellStyle name="Normal 5 2 3 2" xfId="425" xr:uid="{00000000-0005-0000-0000-000034180000}"/>
    <cellStyle name="Normal 5 2 3 2 10" xfId="17464" xr:uid="{187264DE-BB06-42BD-814E-FDA8DAF60A0A}"/>
    <cellStyle name="Normal 5 2 3 2 11" xfId="25908" xr:uid="{A48C820A-1AF3-4EA6-8835-18B41DF47966}"/>
    <cellStyle name="Normal 5 2 3 2 12" xfId="9023" xr:uid="{447CAAE9-1EF8-4144-89DC-107FEA458608}"/>
    <cellStyle name="Normal 5 2 3 2 2" xfId="426" xr:uid="{00000000-0005-0000-0000-000035180000}"/>
    <cellStyle name="Normal 5 2 3 2 2 10" xfId="25909" xr:uid="{89E4BCAA-6736-4C63-8FAF-6AB6CB6265E8}"/>
    <cellStyle name="Normal 5 2 3 2 2 11" xfId="9024" xr:uid="{756BA5ED-72E8-4130-A616-4FFD263D0489}"/>
    <cellStyle name="Normal 5 2 3 2 2 2" xfId="427" xr:uid="{00000000-0005-0000-0000-000036180000}"/>
    <cellStyle name="Normal 5 2 3 2 2 2 10" xfId="9025" xr:uid="{CBE7C92E-1DD8-4707-8332-F5DAD3F291E5}"/>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24242" xr:uid="{232A6655-0475-49C7-9DD8-835B1DB6B77E}"/>
    <cellStyle name="Normal 5 2 3 2 2 2 2 2 2 3" xfId="32688" xr:uid="{7B9A8A93-EA28-4A87-91E8-BE74E96DD0D2}"/>
    <cellStyle name="Normal 5 2 3 2 2 2 2 2 2 4" xfId="15801" xr:uid="{A08D298A-B9AC-486D-9D7F-9872867A899A}"/>
    <cellStyle name="Normal 5 2 3 2 2 2 2 2 3" xfId="20024" xr:uid="{CE863B89-4A00-401E-95CE-AEF4235C0AED}"/>
    <cellStyle name="Normal 5 2 3 2 2 2 2 2 4" xfId="28471" xr:uid="{0A25E808-CCB3-489D-9260-292E632212EA}"/>
    <cellStyle name="Normal 5 2 3 2 2 2 2 2 5" xfId="11583" xr:uid="{A124A25B-D33C-44B7-AA97-9A0DE06F6637}"/>
    <cellStyle name="Normal 5 2 3 2 2 2 2 3" xfId="5214" xr:uid="{00000000-0005-0000-0000-00003A180000}"/>
    <cellStyle name="Normal 5 2 3 2 2 2 2 3 2" xfId="22097" xr:uid="{993D4DB3-A65B-47E1-A9D8-FAF9D22883C1}"/>
    <cellStyle name="Normal 5 2 3 2 2 2 2 3 3" xfId="30543" xr:uid="{73C11688-C9B0-4B76-B9AF-BB27A8C11EBC}"/>
    <cellStyle name="Normal 5 2 3 2 2 2 2 3 4" xfId="13656" xr:uid="{672ADB40-4130-4E0E-A64A-C14A92D9000D}"/>
    <cellStyle name="Normal 5 2 3 2 2 2 2 4" xfId="17879" xr:uid="{B7816F03-DC1A-4302-AE48-565CB5E9E706}"/>
    <cellStyle name="Normal 5 2 3 2 2 2 2 5" xfId="26324" xr:uid="{12E6DCA0-6F86-4F1B-8755-C877A15230E8}"/>
    <cellStyle name="Normal 5 2 3 2 2 2 2 6" xfId="9438" xr:uid="{0CA3CA22-A3F3-4F65-9472-52C42D7CB5C3}"/>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24655" xr:uid="{48CBAD7B-6F5E-4CE5-BB06-C305C687FB8D}"/>
    <cellStyle name="Normal 5 2 3 2 2 2 3 2 2 3" xfId="33101" xr:uid="{D9A18E00-BE5B-45C9-B768-AC7E14D13F2A}"/>
    <cellStyle name="Normal 5 2 3 2 2 2 3 2 2 4" xfId="16214" xr:uid="{C9811388-C05B-42AB-8F2F-75125A766F54}"/>
    <cellStyle name="Normal 5 2 3 2 2 2 3 2 3" xfId="20437" xr:uid="{C229B46F-1594-462F-9153-719B26EB7FDA}"/>
    <cellStyle name="Normal 5 2 3 2 2 2 3 2 4" xfId="28884" xr:uid="{E7A4D8C1-F75E-4943-9957-C2FD032FA9AB}"/>
    <cellStyle name="Normal 5 2 3 2 2 2 3 2 5" xfId="11996" xr:uid="{8515FA7B-8C01-4B89-812B-E407C3C5BF2C}"/>
    <cellStyle name="Normal 5 2 3 2 2 2 3 3" xfId="5627" xr:uid="{00000000-0005-0000-0000-00003E180000}"/>
    <cellStyle name="Normal 5 2 3 2 2 2 3 3 2" xfId="22510" xr:uid="{C383292F-8735-45E1-996E-61C4062FA49F}"/>
    <cellStyle name="Normal 5 2 3 2 2 2 3 3 3" xfId="30956" xr:uid="{8D1FC469-77CC-4B66-8FA3-22919E172C49}"/>
    <cellStyle name="Normal 5 2 3 2 2 2 3 3 4" xfId="14069" xr:uid="{2621A541-C26C-4353-989C-DF144178EBB0}"/>
    <cellStyle name="Normal 5 2 3 2 2 2 3 4" xfId="18292" xr:uid="{384EF1B5-F07C-401E-91E9-4DA13C465FED}"/>
    <cellStyle name="Normal 5 2 3 2 2 2 3 5" xfId="26737" xr:uid="{D9BA788B-101E-42A3-BA63-7F039B8A5436}"/>
    <cellStyle name="Normal 5 2 3 2 2 2 3 6" xfId="9851" xr:uid="{AA80CBE7-3D08-4E4A-A939-D607E0A08824}"/>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25068" xr:uid="{9F1ED49E-2322-4A89-AD96-A73E34EFA3C8}"/>
    <cellStyle name="Normal 5 2 3 2 2 2 4 2 2 3" xfId="33514" xr:uid="{31678BED-50D5-4E72-AEAC-01CCD68EE6E0}"/>
    <cellStyle name="Normal 5 2 3 2 2 2 4 2 2 4" xfId="16627" xr:uid="{012CFD3B-2317-42BA-B03C-7445BFEEF701}"/>
    <cellStyle name="Normal 5 2 3 2 2 2 4 2 3" xfId="20850" xr:uid="{EA1C9842-E7A8-4F53-BAA5-A846499A1E6A}"/>
    <cellStyle name="Normal 5 2 3 2 2 2 4 2 4" xfId="29297" xr:uid="{F7F8A8AC-C7F0-4B98-A633-C274A65C864B}"/>
    <cellStyle name="Normal 5 2 3 2 2 2 4 2 5" xfId="12409" xr:uid="{CBD1E739-079A-4928-933F-723F35A8D6EA}"/>
    <cellStyle name="Normal 5 2 3 2 2 2 4 3" xfId="6040" xr:uid="{00000000-0005-0000-0000-000042180000}"/>
    <cellStyle name="Normal 5 2 3 2 2 2 4 3 2" xfId="22923" xr:uid="{2F2E780E-0EF5-43FC-806C-493A8B78C7FF}"/>
    <cellStyle name="Normal 5 2 3 2 2 2 4 3 3" xfId="31369" xr:uid="{0A7E060D-A2EA-450F-AE9F-4F0B78FCC760}"/>
    <cellStyle name="Normal 5 2 3 2 2 2 4 3 4" xfId="14482" xr:uid="{EBC68EC2-1C18-406A-AA12-BC3533F58682}"/>
    <cellStyle name="Normal 5 2 3 2 2 2 4 4" xfId="18705" xr:uid="{4CE0D419-A67A-44AB-8DB5-331155241F3F}"/>
    <cellStyle name="Normal 5 2 3 2 2 2 4 5" xfId="27150" xr:uid="{2A52B78C-4C97-47BC-9C20-13E6CBE1A05D}"/>
    <cellStyle name="Normal 5 2 3 2 2 2 4 6" xfId="10264" xr:uid="{B0C2AACA-CE04-4C53-BC07-B81A755E2B2C}"/>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25481" xr:uid="{A0E2E557-DFA0-45CD-9E04-3A4A77DA47C6}"/>
    <cellStyle name="Normal 5 2 3 2 2 2 5 2 2 3" xfId="33927" xr:uid="{FE517BA3-971B-4D80-9330-FB90BA10FA2D}"/>
    <cellStyle name="Normal 5 2 3 2 2 2 5 2 2 4" xfId="17040" xr:uid="{CD9EB2DD-662C-4B24-B9A4-033DF4F2C1ED}"/>
    <cellStyle name="Normal 5 2 3 2 2 2 5 2 3" xfId="21263" xr:uid="{824430FF-5C5A-452F-A4BB-AC02F4FAF74D}"/>
    <cellStyle name="Normal 5 2 3 2 2 2 5 2 4" xfId="29710" xr:uid="{C0B52E94-70A1-474C-95F4-E4635AC7C075}"/>
    <cellStyle name="Normal 5 2 3 2 2 2 5 2 5" xfId="12822" xr:uid="{A281EB2D-70FD-48A9-B4D9-765B5DA220A7}"/>
    <cellStyle name="Normal 5 2 3 2 2 2 5 3" xfId="6453" xr:uid="{00000000-0005-0000-0000-000046180000}"/>
    <cellStyle name="Normal 5 2 3 2 2 2 5 3 2" xfId="23336" xr:uid="{A6A0A4E6-421D-41FE-9E70-9BE725D9C06F}"/>
    <cellStyle name="Normal 5 2 3 2 2 2 5 3 3" xfId="31782" xr:uid="{F5D61FCF-11C0-4535-929E-14E27C253E34}"/>
    <cellStyle name="Normal 5 2 3 2 2 2 5 3 4" xfId="14895" xr:uid="{5E425C14-6822-48E5-B2D1-12B07B543142}"/>
    <cellStyle name="Normal 5 2 3 2 2 2 5 4" xfId="19118" xr:uid="{DFA016B8-FCF9-4729-8DC9-BA5A3D1EEE95}"/>
    <cellStyle name="Normal 5 2 3 2 2 2 5 5" xfId="27563" xr:uid="{045F39AA-CB35-4FA5-836B-A400E33C40AE}"/>
    <cellStyle name="Normal 5 2 3 2 2 2 5 6" xfId="10677" xr:uid="{190EA3EC-4F2B-4EEA-9F5F-5B4F3EAECBF5}"/>
    <cellStyle name="Normal 5 2 3 2 2 2 6" xfId="2582" xr:uid="{00000000-0005-0000-0000-000047180000}"/>
    <cellStyle name="Normal 5 2 3 2 2 2 6 2" xfId="6866" xr:uid="{00000000-0005-0000-0000-000048180000}"/>
    <cellStyle name="Normal 5 2 3 2 2 2 6 2 2" xfId="23749" xr:uid="{74D197E5-6773-40E2-8ED4-25BBE4E19E9E}"/>
    <cellStyle name="Normal 5 2 3 2 2 2 6 2 3" xfId="32195" xr:uid="{14235080-9C18-4430-BFB0-9F97F7811E82}"/>
    <cellStyle name="Normal 5 2 3 2 2 2 6 2 4" xfId="15308" xr:uid="{346FF8AC-8C08-43A9-BD9B-F79B9AD6F727}"/>
    <cellStyle name="Normal 5 2 3 2 2 2 6 3" xfId="19531" xr:uid="{4069C7DC-274E-4607-A354-9ADCF457957F}"/>
    <cellStyle name="Normal 5 2 3 2 2 2 6 4" xfId="27976" xr:uid="{2A34C554-006E-45B9-9B63-7E264D0E04D1}"/>
    <cellStyle name="Normal 5 2 3 2 2 2 6 5" xfId="11090" xr:uid="{DA12FABA-74C3-4842-9C0C-2289ADC3BCFD}"/>
    <cellStyle name="Normal 5 2 3 2 2 2 7" xfId="4801" xr:uid="{00000000-0005-0000-0000-000049180000}"/>
    <cellStyle name="Normal 5 2 3 2 2 2 7 2" xfId="21684" xr:uid="{3B87F14D-E9FA-4225-8245-A00AF9F786EE}"/>
    <cellStyle name="Normal 5 2 3 2 2 2 7 3" xfId="30130" xr:uid="{19EF2325-7019-4CB8-A9D7-2D3B01A1C308}"/>
    <cellStyle name="Normal 5 2 3 2 2 2 7 4" xfId="13243" xr:uid="{8B1EA401-A52C-40DA-A682-137C98834A8B}"/>
    <cellStyle name="Normal 5 2 3 2 2 2 8" xfId="17466" xr:uid="{240440A4-3469-49F3-8264-466AD0D69CAD}"/>
    <cellStyle name="Normal 5 2 3 2 2 2 9" xfId="25910" xr:uid="{2B97CE34-CEE0-4F8C-8E32-94DB2D4B094A}"/>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24241" xr:uid="{57BE9036-5253-4563-B887-34348E069F47}"/>
    <cellStyle name="Normal 5 2 3 2 2 3 2 2 3" xfId="32687" xr:uid="{34572EC3-DF09-48C9-BD5C-EAB1302909FC}"/>
    <cellStyle name="Normal 5 2 3 2 2 3 2 2 4" xfId="15800" xr:uid="{61947667-6CA0-4459-B187-29361CE9FDC7}"/>
    <cellStyle name="Normal 5 2 3 2 2 3 2 3" xfId="20023" xr:uid="{48B3B3A9-D831-4282-BD0E-3D831E4B6DA0}"/>
    <cellStyle name="Normal 5 2 3 2 2 3 2 4" xfId="28470" xr:uid="{AC57491C-E154-49FD-9429-9B90BCD84770}"/>
    <cellStyle name="Normal 5 2 3 2 2 3 2 5" xfId="11582" xr:uid="{9C6DB1D7-CE52-4858-B951-1B766A7BFD39}"/>
    <cellStyle name="Normal 5 2 3 2 2 3 3" xfId="5213" xr:uid="{00000000-0005-0000-0000-00004D180000}"/>
    <cellStyle name="Normal 5 2 3 2 2 3 3 2" xfId="22096" xr:uid="{A6D8E05C-BFE7-4E0C-A218-AEF72DA2E08A}"/>
    <cellStyle name="Normal 5 2 3 2 2 3 3 3" xfId="30542" xr:uid="{1EAA3D5F-C6C2-426D-A379-CA038020F873}"/>
    <cellStyle name="Normal 5 2 3 2 2 3 3 4" xfId="13655" xr:uid="{FF3501D3-CCB6-4B40-9444-CD7D9150FE17}"/>
    <cellStyle name="Normal 5 2 3 2 2 3 4" xfId="17878" xr:uid="{0E7D0A05-40F9-497D-8D55-182A5D77C01C}"/>
    <cellStyle name="Normal 5 2 3 2 2 3 5" xfId="26323" xr:uid="{3E4CD20A-E5A2-4E6F-A49A-B3A057C53139}"/>
    <cellStyle name="Normal 5 2 3 2 2 3 6" xfId="9437" xr:uid="{D5D25015-33A8-451C-86AA-D55FB2DA5C0E}"/>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24654" xr:uid="{8C9EC324-C51D-4B57-926C-1A1A10DC3F54}"/>
    <cellStyle name="Normal 5 2 3 2 2 4 2 2 3" xfId="33100" xr:uid="{2D57AE77-6130-4801-8D84-938C23DC43F1}"/>
    <cellStyle name="Normal 5 2 3 2 2 4 2 2 4" xfId="16213" xr:uid="{48022750-5BDC-4F32-86AD-DD8585B05A6D}"/>
    <cellStyle name="Normal 5 2 3 2 2 4 2 3" xfId="20436" xr:uid="{20BC4955-65AB-4A34-96D0-F4C036E5A9C7}"/>
    <cellStyle name="Normal 5 2 3 2 2 4 2 4" xfId="28883" xr:uid="{534405EA-4869-4F06-80F9-4A854128C406}"/>
    <cellStyle name="Normal 5 2 3 2 2 4 2 5" xfId="11995" xr:uid="{24AF2EA1-090D-4054-8E61-46F3A0BD3E66}"/>
    <cellStyle name="Normal 5 2 3 2 2 4 3" xfId="5626" xr:uid="{00000000-0005-0000-0000-000051180000}"/>
    <cellStyle name="Normal 5 2 3 2 2 4 3 2" xfId="22509" xr:uid="{FA8A41B4-B798-481F-9C82-55FB72A89391}"/>
    <cellStyle name="Normal 5 2 3 2 2 4 3 3" xfId="30955" xr:uid="{75C31A8D-D33C-41FB-8566-B9D5BE441F4A}"/>
    <cellStyle name="Normal 5 2 3 2 2 4 3 4" xfId="14068" xr:uid="{0F788614-4A0A-4AB1-820E-88453F28BA87}"/>
    <cellStyle name="Normal 5 2 3 2 2 4 4" xfId="18291" xr:uid="{409DB045-0405-4011-993C-F7E9369B9358}"/>
    <cellStyle name="Normal 5 2 3 2 2 4 5" xfId="26736" xr:uid="{5727B89C-DDB2-4A97-9B9C-D92A6CBCEEEB}"/>
    <cellStyle name="Normal 5 2 3 2 2 4 6" xfId="9850" xr:uid="{EB4A1376-8E5B-400F-B924-FF6B678C1491}"/>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25067" xr:uid="{2D6A654A-ECB3-4C07-BDA2-D66D5A3CE730}"/>
    <cellStyle name="Normal 5 2 3 2 2 5 2 2 3" xfId="33513" xr:uid="{A4CC3D70-32CC-4379-9FC3-C3E9F654F639}"/>
    <cellStyle name="Normal 5 2 3 2 2 5 2 2 4" xfId="16626" xr:uid="{28997225-C9D1-4704-845E-B7FDF186EF26}"/>
    <cellStyle name="Normal 5 2 3 2 2 5 2 3" xfId="20849" xr:uid="{B1400A31-2CBE-4F4D-8235-10EAA2162F53}"/>
    <cellStyle name="Normal 5 2 3 2 2 5 2 4" xfId="29296" xr:uid="{070E5F6D-BADF-406E-AE38-73FBF7D2B3FA}"/>
    <cellStyle name="Normal 5 2 3 2 2 5 2 5" xfId="12408" xr:uid="{76A96D67-8434-4F52-90B1-B3F8956A0E2F}"/>
    <cellStyle name="Normal 5 2 3 2 2 5 3" xfId="6039" xr:uid="{00000000-0005-0000-0000-000055180000}"/>
    <cellStyle name="Normal 5 2 3 2 2 5 3 2" xfId="22922" xr:uid="{8EEB60D8-F8F0-416F-81C6-5762794A3CC0}"/>
    <cellStyle name="Normal 5 2 3 2 2 5 3 3" xfId="31368" xr:uid="{87D1D9BD-6B2F-402A-875F-B773A0A735E5}"/>
    <cellStyle name="Normal 5 2 3 2 2 5 3 4" xfId="14481" xr:uid="{BB65D349-6D15-4BDA-879F-A91844893191}"/>
    <cellStyle name="Normal 5 2 3 2 2 5 4" xfId="18704" xr:uid="{8223303C-83C5-4AFB-9546-6071EE3485B0}"/>
    <cellStyle name="Normal 5 2 3 2 2 5 5" xfId="27149" xr:uid="{7DC6B681-B415-46DE-9AFC-D3A05FE83C0D}"/>
    <cellStyle name="Normal 5 2 3 2 2 5 6" xfId="10263" xr:uid="{A0B16F7D-F23A-43CC-B6D7-031CBFCA8ED4}"/>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25480" xr:uid="{43498189-99ED-46C6-B915-867CC5865150}"/>
    <cellStyle name="Normal 5 2 3 2 2 6 2 2 3" xfId="33926" xr:uid="{9535CC90-2A27-4B0E-BBA1-5BA0A02E7D38}"/>
    <cellStyle name="Normal 5 2 3 2 2 6 2 2 4" xfId="17039" xr:uid="{494A8518-004F-44D3-93DD-ADBD04B7807F}"/>
    <cellStyle name="Normal 5 2 3 2 2 6 2 3" xfId="21262" xr:uid="{6A3F1E8B-FCAF-47DC-8778-31D576138D1A}"/>
    <cellStyle name="Normal 5 2 3 2 2 6 2 4" xfId="29709" xr:uid="{50A11598-3A10-44A6-AE9D-4AEFA0365C44}"/>
    <cellStyle name="Normal 5 2 3 2 2 6 2 5" xfId="12821" xr:uid="{D8E51477-42EE-446D-9EA1-6944DE8D536C}"/>
    <cellStyle name="Normal 5 2 3 2 2 6 3" xfId="6452" xr:uid="{00000000-0005-0000-0000-000059180000}"/>
    <cellStyle name="Normal 5 2 3 2 2 6 3 2" xfId="23335" xr:uid="{872FF218-1136-4FD0-9367-E3AEFCC97BB7}"/>
    <cellStyle name="Normal 5 2 3 2 2 6 3 3" xfId="31781" xr:uid="{D6ED117A-5A63-4E8F-866F-D88731F6A3CE}"/>
    <cellStyle name="Normal 5 2 3 2 2 6 3 4" xfId="14894" xr:uid="{AB950537-A3C6-4961-BA94-F3A461620376}"/>
    <cellStyle name="Normal 5 2 3 2 2 6 4" xfId="19117" xr:uid="{FCA46D3A-FC8C-4064-B48D-3B71C78132BE}"/>
    <cellStyle name="Normal 5 2 3 2 2 6 5" xfId="27562" xr:uid="{0B7DEC4A-B2E6-446F-BEA6-104EE93F3738}"/>
    <cellStyle name="Normal 5 2 3 2 2 6 6" xfId="10676" xr:uid="{3B63BD13-1720-4EC0-A80F-76E5CB4FA3FD}"/>
    <cellStyle name="Normal 5 2 3 2 2 7" xfId="2581" xr:uid="{00000000-0005-0000-0000-00005A180000}"/>
    <cellStyle name="Normal 5 2 3 2 2 7 2" xfId="6865" xr:uid="{00000000-0005-0000-0000-00005B180000}"/>
    <cellStyle name="Normal 5 2 3 2 2 7 2 2" xfId="23748" xr:uid="{9BFD412A-250A-4997-85CE-920AB1B7EE92}"/>
    <cellStyle name="Normal 5 2 3 2 2 7 2 3" xfId="32194" xr:uid="{40DC8AB6-050C-4AD2-B77C-E985F57AC476}"/>
    <cellStyle name="Normal 5 2 3 2 2 7 2 4" xfId="15307" xr:uid="{61DABAD6-E443-406F-984B-34EB781133B7}"/>
    <cellStyle name="Normal 5 2 3 2 2 7 3" xfId="19530" xr:uid="{AEAA4084-A831-4E88-8B59-BD1C645BCA74}"/>
    <cellStyle name="Normal 5 2 3 2 2 7 4" xfId="27975" xr:uid="{0ED36805-968A-4059-A877-B0C99E48879D}"/>
    <cellStyle name="Normal 5 2 3 2 2 7 5" xfId="11089" xr:uid="{41C1D19B-5000-40FD-8AFD-9D5A54E30622}"/>
    <cellStyle name="Normal 5 2 3 2 2 8" xfId="4800" xr:uid="{00000000-0005-0000-0000-00005C180000}"/>
    <cellStyle name="Normal 5 2 3 2 2 8 2" xfId="21683" xr:uid="{B19E24BC-79B3-4ABB-B5AB-A075ED941455}"/>
    <cellStyle name="Normal 5 2 3 2 2 8 3" xfId="30129" xr:uid="{AB433728-F79A-49B3-B267-B40A2BBA5304}"/>
    <cellStyle name="Normal 5 2 3 2 2 8 4" xfId="13242" xr:uid="{0908A4E3-943F-4D5E-911A-BF2510271EA6}"/>
    <cellStyle name="Normal 5 2 3 2 2 9" xfId="17465" xr:uid="{03CF524B-CDC6-41BE-8572-5936FA0A8C30}"/>
    <cellStyle name="Normal 5 2 3 2 3" xfId="428" xr:uid="{00000000-0005-0000-0000-00005D180000}"/>
    <cellStyle name="Normal 5 2 3 2 3 10" xfId="9026" xr:uid="{A60AB849-EB65-466B-B35A-BEC2AD93367B}"/>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24243" xr:uid="{5CD58236-6899-4051-8845-4DF9A07D354F}"/>
    <cellStyle name="Normal 5 2 3 2 3 2 2 2 3" xfId="32689" xr:uid="{4DFFBE23-238F-4924-B470-BC7AAE16F3FE}"/>
    <cellStyle name="Normal 5 2 3 2 3 2 2 2 4" xfId="15802" xr:uid="{47502190-5E8F-4D37-AFCC-F2FEDF4A7C37}"/>
    <cellStyle name="Normal 5 2 3 2 3 2 2 3" xfId="20025" xr:uid="{AC4ED0B4-C571-47EF-881D-19A04DCC2FCC}"/>
    <cellStyle name="Normal 5 2 3 2 3 2 2 4" xfId="28472" xr:uid="{F1075034-23ED-48B6-9D01-BAC6A68CF015}"/>
    <cellStyle name="Normal 5 2 3 2 3 2 2 5" xfId="11584" xr:uid="{54B3ABC1-A08F-4762-B9A9-79BE5C806779}"/>
    <cellStyle name="Normal 5 2 3 2 3 2 3" xfId="5215" xr:uid="{00000000-0005-0000-0000-000061180000}"/>
    <cellStyle name="Normal 5 2 3 2 3 2 3 2" xfId="22098" xr:uid="{C6BCD234-56D1-4C0B-996B-0DBDD684F23F}"/>
    <cellStyle name="Normal 5 2 3 2 3 2 3 3" xfId="30544" xr:uid="{C535576E-A4EA-45DA-9082-DEAF9BB6EF53}"/>
    <cellStyle name="Normal 5 2 3 2 3 2 3 4" xfId="13657" xr:uid="{7CB3D900-F1DB-4D29-A478-23589A8BDC66}"/>
    <cellStyle name="Normal 5 2 3 2 3 2 4" xfId="17880" xr:uid="{B4BC0A3E-56AF-4595-9529-473A38CB054E}"/>
    <cellStyle name="Normal 5 2 3 2 3 2 5" xfId="26325" xr:uid="{FB2412B6-D5B7-46B4-B8B0-33D4A6235357}"/>
    <cellStyle name="Normal 5 2 3 2 3 2 6" xfId="9439" xr:uid="{5EF19633-A8B9-4DB4-AAB8-CD412BBDBEB8}"/>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24656" xr:uid="{841E62B6-4DDE-4CA4-A15B-3D02F0229290}"/>
    <cellStyle name="Normal 5 2 3 2 3 3 2 2 3" xfId="33102" xr:uid="{CC3D1126-14AC-4AF5-AF11-BA5ED7000350}"/>
    <cellStyle name="Normal 5 2 3 2 3 3 2 2 4" xfId="16215" xr:uid="{1984BE56-6B54-4545-A5A4-3E111E198F5B}"/>
    <cellStyle name="Normal 5 2 3 2 3 3 2 3" xfId="20438" xr:uid="{BD8224F6-38D5-44CC-ABAF-580ACC3B79AE}"/>
    <cellStyle name="Normal 5 2 3 2 3 3 2 4" xfId="28885" xr:uid="{BF7FEF06-374B-4B6F-83C4-140308A1C35A}"/>
    <cellStyle name="Normal 5 2 3 2 3 3 2 5" xfId="11997" xr:uid="{B73BA3C6-C854-4A24-AB42-09C20B8C2FBB}"/>
    <cellStyle name="Normal 5 2 3 2 3 3 3" xfId="5628" xr:uid="{00000000-0005-0000-0000-000065180000}"/>
    <cellStyle name="Normal 5 2 3 2 3 3 3 2" xfId="22511" xr:uid="{9F6C0B4F-DD52-4A0E-81E4-0A70E62AD0AB}"/>
    <cellStyle name="Normal 5 2 3 2 3 3 3 3" xfId="30957" xr:uid="{4853888E-518A-4996-88C6-0CC393FAF05A}"/>
    <cellStyle name="Normal 5 2 3 2 3 3 3 4" xfId="14070" xr:uid="{F0B8E3E6-0A92-43BD-BF44-17CC71ACD77B}"/>
    <cellStyle name="Normal 5 2 3 2 3 3 4" xfId="18293" xr:uid="{BEDE6FD8-C754-4CE0-BDD5-50E51FD32B86}"/>
    <cellStyle name="Normal 5 2 3 2 3 3 5" xfId="26738" xr:uid="{1F7468F1-3212-41F0-8855-AD9E0EA2D095}"/>
    <cellStyle name="Normal 5 2 3 2 3 3 6" xfId="9852" xr:uid="{3E037EE7-7D3E-4725-ADD6-323772B391B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25069" xr:uid="{3684A1FF-1367-4D2A-A1C1-BB0A0D7C3E4F}"/>
    <cellStyle name="Normal 5 2 3 2 3 4 2 2 3" xfId="33515" xr:uid="{E7DF336E-F16B-471E-A804-018B21A3D5A6}"/>
    <cellStyle name="Normal 5 2 3 2 3 4 2 2 4" xfId="16628" xr:uid="{4028EF11-442A-4AB6-AD92-EA8B5BCA70B2}"/>
    <cellStyle name="Normal 5 2 3 2 3 4 2 3" xfId="20851" xr:uid="{E1FC0B10-E929-441B-9F20-145045C8F49D}"/>
    <cellStyle name="Normal 5 2 3 2 3 4 2 4" xfId="29298" xr:uid="{584EFB9D-8695-48BA-9ECE-98C4E0FE273E}"/>
    <cellStyle name="Normal 5 2 3 2 3 4 2 5" xfId="12410" xr:uid="{9F7AD940-3B85-4F26-90C9-81193C07A81A}"/>
    <cellStyle name="Normal 5 2 3 2 3 4 3" xfId="6041" xr:uid="{00000000-0005-0000-0000-000069180000}"/>
    <cellStyle name="Normal 5 2 3 2 3 4 3 2" xfId="22924" xr:uid="{7E1FC2C7-8889-4D6A-AF91-885001DCA395}"/>
    <cellStyle name="Normal 5 2 3 2 3 4 3 3" xfId="31370" xr:uid="{28B0CC3C-AA10-4FBB-8948-69680D720124}"/>
    <cellStyle name="Normal 5 2 3 2 3 4 3 4" xfId="14483" xr:uid="{DCA6DBF0-BD66-49B9-8160-A5CD1791AB21}"/>
    <cellStyle name="Normal 5 2 3 2 3 4 4" xfId="18706" xr:uid="{A4B9E86C-9C96-4D5D-8633-F2702F27D1A2}"/>
    <cellStyle name="Normal 5 2 3 2 3 4 5" xfId="27151" xr:uid="{879E381B-3312-404A-9F75-5F7F3F804E5A}"/>
    <cellStyle name="Normal 5 2 3 2 3 4 6" xfId="10265" xr:uid="{5F17D400-D91D-4ADA-B500-4DA1A61E616A}"/>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25482" xr:uid="{CF206D19-7021-4AB3-820F-3B2F05663BDB}"/>
    <cellStyle name="Normal 5 2 3 2 3 5 2 2 3" xfId="33928" xr:uid="{FDDD4FB4-894B-4E43-875A-3616FB8912B6}"/>
    <cellStyle name="Normal 5 2 3 2 3 5 2 2 4" xfId="17041" xr:uid="{D8A46F7F-8CC6-4B91-B52E-A43A4B8E7465}"/>
    <cellStyle name="Normal 5 2 3 2 3 5 2 3" xfId="21264" xr:uid="{87098F53-9707-4979-98A7-910E167D74F5}"/>
    <cellStyle name="Normal 5 2 3 2 3 5 2 4" xfId="29711" xr:uid="{2368C1F2-CD3A-4808-99C6-BE36C2FE6617}"/>
    <cellStyle name="Normal 5 2 3 2 3 5 2 5" xfId="12823" xr:uid="{33130C71-CC42-4377-BDD7-B2808B47ACD7}"/>
    <cellStyle name="Normal 5 2 3 2 3 5 3" xfId="6454" xr:uid="{00000000-0005-0000-0000-00006D180000}"/>
    <cellStyle name="Normal 5 2 3 2 3 5 3 2" xfId="23337" xr:uid="{856BD31C-AB8A-4058-AA02-FB0A0DD6E395}"/>
    <cellStyle name="Normal 5 2 3 2 3 5 3 3" xfId="31783" xr:uid="{21C16FE8-873A-4F2F-B22D-76BC0D6ACA8E}"/>
    <cellStyle name="Normal 5 2 3 2 3 5 3 4" xfId="14896" xr:uid="{744690E1-657B-4F6A-B280-D820F8748E9B}"/>
    <cellStyle name="Normal 5 2 3 2 3 5 4" xfId="19119" xr:uid="{A0E50BA5-C195-4780-9BC2-61CFEE9D40CA}"/>
    <cellStyle name="Normal 5 2 3 2 3 5 5" xfId="27564" xr:uid="{2DA42034-0BC4-434C-8517-E6F76AC38412}"/>
    <cellStyle name="Normal 5 2 3 2 3 5 6" xfId="10678" xr:uid="{00F0F206-7FB6-4749-BB6E-0F41043ED96A}"/>
    <cellStyle name="Normal 5 2 3 2 3 6" xfId="2583" xr:uid="{00000000-0005-0000-0000-00006E180000}"/>
    <cellStyle name="Normal 5 2 3 2 3 6 2" xfId="6867" xr:uid="{00000000-0005-0000-0000-00006F180000}"/>
    <cellStyle name="Normal 5 2 3 2 3 6 2 2" xfId="23750" xr:uid="{C72872DE-D8BB-4B24-81CF-6E0DE848F573}"/>
    <cellStyle name="Normal 5 2 3 2 3 6 2 3" xfId="32196" xr:uid="{27024848-51A8-4824-9E1D-4F86C3F55939}"/>
    <cellStyle name="Normal 5 2 3 2 3 6 2 4" xfId="15309" xr:uid="{BE092F26-BEC0-4AB1-9B33-563990B1A84B}"/>
    <cellStyle name="Normal 5 2 3 2 3 6 3" xfId="19532" xr:uid="{0455A3D3-FF52-4292-B186-588B603D70A4}"/>
    <cellStyle name="Normal 5 2 3 2 3 6 4" xfId="27977" xr:uid="{2D7E1762-747E-4EEA-A590-FA40360A1E55}"/>
    <cellStyle name="Normal 5 2 3 2 3 6 5" xfId="11091" xr:uid="{6737DD48-66D3-4975-B37E-84BE0090D33F}"/>
    <cellStyle name="Normal 5 2 3 2 3 7" xfId="4802" xr:uid="{00000000-0005-0000-0000-000070180000}"/>
    <cellStyle name="Normal 5 2 3 2 3 7 2" xfId="21685" xr:uid="{540F1742-90F4-48AA-A60A-22723288B80F}"/>
    <cellStyle name="Normal 5 2 3 2 3 7 3" xfId="30131" xr:uid="{FFF88184-0CD5-44F4-A494-59345DD90253}"/>
    <cellStyle name="Normal 5 2 3 2 3 7 4" xfId="13244" xr:uid="{9FB99650-A61F-4436-98A4-57378F5C2FA5}"/>
    <cellStyle name="Normal 5 2 3 2 3 8" xfId="17467" xr:uid="{F9C6267A-2AFF-4B8B-967A-31A654AFEEAF}"/>
    <cellStyle name="Normal 5 2 3 2 3 9" xfId="25911" xr:uid="{275988B8-B1F2-4840-B0C9-1BE39062BFF0}"/>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24240" xr:uid="{C15B50AF-9DE6-4E91-8C42-21E8587902E4}"/>
    <cellStyle name="Normal 5 2 3 2 4 2 2 3" xfId="32686" xr:uid="{03ADDA66-AE7B-4CB3-BAC4-3D09C2971DEF}"/>
    <cellStyle name="Normal 5 2 3 2 4 2 2 4" xfId="15799" xr:uid="{3E9A339E-74A7-4BC3-B758-FDB84686659C}"/>
    <cellStyle name="Normal 5 2 3 2 4 2 3" xfId="20022" xr:uid="{89B323E7-6ABD-4C49-931A-DFEB7AA28ADB}"/>
    <cellStyle name="Normal 5 2 3 2 4 2 4" xfId="28469" xr:uid="{2B730782-E020-414D-B41A-F5EAB3ABBFBA}"/>
    <cellStyle name="Normal 5 2 3 2 4 2 5" xfId="11581" xr:uid="{F0A204DC-19F2-46DB-936A-AED981751EC3}"/>
    <cellStyle name="Normal 5 2 3 2 4 3" xfId="5212" xr:uid="{00000000-0005-0000-0000-000074180000}"/>
    <cellStyle name="Normal 5 2 3 2 4 3 2" xfId="22095" xr:uid="{84CCDB32-D171-45BB-9E3A-83D9D6EDF0EA}"/>
    <cellStyle name="Normal 5 2 3 2 4 3 3" xfId="30541" xr:uid="{F4D577FC-CFED-4681-A33A-628B7B057D4F}"/>
    <cellStyle name="Normal 5 2 3 2 4 3 4" xfId="13654" xr:uid="{89D37961-0329-4BEA-8381-3F8CA91AA497}"/>
    <cellStyle name="Normal 5 2 3 2 4 4" xfId="17877" xr:uid="{BACEBB69-D55F-4874-95C4-67753CEF5052}"/>
    <cellStyle name="Normal 5 2 3 2 4 5" xfId="26322" xr:uid="{BD7ABEAB-8A35-45F8-935E-C5401EB0759E}"/>
    <cellStyle name="Normal 5 2 3 2 4 6" xfId="9436" xr:uid="{B0C0775A-2072-4C0B-B4D0-ECC6460FF110}"/>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24653" xr:uid="{232E694A-1854-49F8-997B-9CA07CC39A8A}"/>
    <cellStyle name="Normal 5 2 3 2 5 2 2 3" xfId="33099" xr:uid="{A3213AEB-F0CA-4E9E-B683-BA882D258A16}"/>
    <cellStyle name="Normal 5 2 3 2 5 2 2 4" xfId="16212" xr:uid="{BC2989D4-0180-4C8A-B6A8-240A998F5761}"/>
    <cellStyle name="Normal 5 2 3 2 5 2 3" xfId="20435" xr:uid="{79EAFD2F-39B3-4C7F-AB0D-DA6E2DA98806}"/>
    <cellStyle name="Normal 5 2 3 2 5 2 4" xfId="28882" xr:uid="{E6034046-4D04-4CED-A931-72CD09DE7573}"/>
    <cellStyle name="Normal 5 2 3 2 5 2 5" xfId="11994" xr:uid="{0B88C5F7-D7EC-4C4C-8A2B-E1823C3D036B}"/>
    <cellStyle name="Normal 5 2 3 2 5 3" xfId="5625" xr:uid="{00000000-0005-0000-0000-000078180000}"/>
    <cellStyle name="Normal 5 2 3 2 5 3 2" xfId="22508" xr:uid="{FAB91917-AFD2-49C1-BC8B-1FD564476C21}"/>
    <cellStyle name="Normal 5 2 3 2 5 3 3" xfId="30954" xr:uid="{94CAFE4E-6156-48EC-88DF-2981AEEB2F64}"/>
    <cellStyle name="Normal 5 2 3 2 5 3 4" xfId="14067" xr:uid="{FBCC4EA7-00FD-4BBA-907D-9FEA785243FB}"/>
    <cellStyle name="Normal 5 2 3 2 5 4" xfId="18290" xr:uid="{14613E42-B5B9-450C-B18C-6BB4F908A59B}"/>
    <cellStyle name="Normal 5 2 3 2 5 5" xfId="26735" xr:uid="{6991EE1F-F557-464D-9FFC-094C13B4F0EC}"/>
    <cellStyle name="Normal 5 2 3 2 5 6" xfId="9849" xr:uid="{5B2CA58A-B508-413A-A9FB-07328A716151}"/>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25066" xr:uid="{09859D5C-6E78-429E-B8AC-9EE2DBF62585}"/>
    <cellStyle name="Normal 5 2 3 2 6 2 2 3" xfId="33512" xr:uid="{25B98994-211A-49BF-BC14-77DE6AFA0374}"/>
    <cellStyle name="Normal 5 2 3 2 6 2 2 4" xfId="16625" xr:uid="{9ADA52F9-68BE-4D9C-8C88-31D34F30E14F}"/>
    <cellStyle name="Normal 5 2 3 2 6 2 3" xfId="20848" xr:uid="{EF2A897B-A233-4914-BBC6-5012ACE72E6B}"/>
    <cellStyle name="Normal 5 2 3 2 6 2 4" xfId="29295" xr:uid="{A59248F2-03E8-4B6E-8E21-FE15C670FC12}"/>
    <cellStyle name="Normal 5 2 3 2 6 2 5" xfId="12407" xr:uid="{D03AFCBB-98FB-4A8D-B82C-FDD40E5C9E8C}"/>
    <cellStyle name="Normal 5 2 3 2 6 3" xfId="6038" xr:uid="{00000000-0005-0000-0000-00007C180000}"/>
    <cellStyle name="Normal 5 2 3 2 6 3 2" xfId="22921" xr:uid="{828E25CC-25C1-4465-A91E-066FC67724A7}"/>
    <cellStyle name="Normal 5 2 3 2 6 3 3" xfId="31367" xr:uid="{507FD420-A7B9-4B72-B45B-7DCDC17A0E8A}"/>
    <cellStyle name="Normal 5 2 3 2 6 3 4" xfId="14480" xr:uid="{C89B7C62-8BD6-4573-9BE7-39330C682520}"/>
    <cellStyle name="Normal 5 2 3 2 6 4" xfId="18703" xr:uid="{06BCD425-6590-4167-9145-49933885F462}"/>
    <cellStyle name="Normal 5 2 3 2 6 5" xfId="27148" xr:uid="{EF421E7D-F1B0-46AA-8E61-9B2139A28FE6}"/>
    <cellStyle name="Normal 5 2 3 2 6 6" xfId="10262" xr:uid="{68B91C32-12DB-4CDA-ABA3-10AC4B48E53B}"/>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25479" xr:uid="{A9FCBA82-198E-4593-B489-8A6C8F799467}"/>
    <cellStyle name="Normal 5 2 3 2 7 2 2 3" xfId="33925" xr:uid="{7F1840DF-042E-44DF-A7FE-45588094C758}"/>
    <cellStyle name="Normal 5 2 3 2 7 2 2 4" xfId="17038" xr:uid="{40126848-708B-41C6-AEFE-9A42BF750034}"/>
    <cellStyle name="Normal 5 2 3 2 7 2 3" xfId="21261" xr:uid="{F5AA669E-8586-4A5A-824A-4EADBD428EC3}"/>
    <cellStyle name="Normal 5 2 3 2 7 2 4" xfId="29708" xr:uid="{2EB43311-5671-4788-819E-209FE529EA28}"/>
    <cellStyle name="Normal 5 2 3 2 7 2 5" xfId="12820" xr:uid="{AFED0D63-562F-412B-ABFA-D2DCDCEDD746}"/>
    <cellStyle name="Normal 5 2 3 2 7 3" xfId="6451" xr:uid="{00000000-0005-0000-0000-000080180000}"/>
    <cellStyle name="Normal 5 2 3 2 7 3 2" xfId="23334" xr:uid="{AEAC969E-E063-4364-B529-A5F1E6CEAA04}"/>
    <cellStyle name="Normal 5 2 3 2 7 3 3" xfId="31780" xr:uid="{1A196F0E-829A-42BC-9D9F-5BC628B4F907}"/>
    <cellStyle name="Normal 5 2 3 2 7 3 4" xfId="14893" xr:uid="{88EDE665-8EE4-4338-B52A-E3D192D2CF9C}"/>
    <cellStyle name="Normal 5 2 3 2 7 4" xfId="19116" xr:uid="{D321F7E9-0E1B-40D4-91A1-FAD0AFE5099F}"/>
    <cellStyle name="Normal 5 2 3 2 7 5" xfId="27561" xr:uid="{F1BBE5A6-D9BE-4034-A4D5-4EC374A082AE}"/>
    <cellStyle name="Normal 5 2 3 2 7 6" xfId="10675" xr:uid="{02AB82DE-0B78-4256-8E48-44FB7FE83660}"/>
    <cellStyle name="Normal 5 2 3 2 8" xfId="2580" xr:uid="{00000000-0005-0000-0000-000081180000}"/>
    <cellStyle name="Normal 5 2 3 2 8 2" xfId="6864" xr:uid="{00000000-0005-0000-0000-000082180000}"/>
    <cellStyle name="Normal 5 2 3 2 8 2 2" xfId="23747" xr:uid="{23769D68-9DD8-42B3-9E6B-F39841AC7169}"/>
    <cellStyle name="Normal 5 2 3 2 8 2 3" xfId="32193" xr:uid="{C179AFF0-B7CE-40E1-B8A0-459A075BB8A8}"/>
    <cellStyle name="Normal 5 2 3 2 8 2 4" xfId="15306" xr:uid="{C911E1B7-1C06-42D8-A111-117794B67242}"/>
    <cellStyle name="Normal 5 2 3 2 8 3" xfId="19529" xr:uid="{79B112F9-D19F-4504-8743-14D222F9ED03}"/>
    <cellStyle name="Normal 5 2 3 2 8 4" xfId="27974" xr:uid="{9C1AB4E0-E4D6-4866-B223-F6E3C95D79DA}"/>
    <cellStyle name="Normal 5 2 3 2 8 5" xfId="11088" xr:uid="{98490D6C-9576-41BB-A1A0-BF7C4F5AB1D8}"/>
    <cellStyle name="Normal 5 2 3 2 9" xfId="4799" xr:uid="{00000000-0005-0000-0000-000083180000}"/>
    <cellStyle name="Normal 5 2 3 2 9 2" xfId="21682" xr:uid="{8C31575C-356A-4F1C-A1CF-3EF082C2F9A6}"/>
    <cellStyle name="Normal 5 2 3 2 9 3" xfId="30128" xr:uid="{BBE49D44-1E55-4FE1-A2C0-A67558766142}"/>
    <cellStyle name="Normal 5 2 3 2 9 4" xfId="13241" xr:uid="{D72CC56E-3965-4426-887D-4B41FDD2EB14}"/>
    <cellStyle name="Normal 5 2 3 3" xfId="429" xr:uid="{00000000-0005-0000-0000-000084180000}"/>
    <cellStyle name="Normal 5 2 3 3 10" xfId="25912" xr:uid="{C404B43A-03DC-4474-B262-F0D15AD95C3E}"/>
    <cellStyle name="Normal 5 2 3 3 11" xfId="9027" xr:uid="{D6D5D1C9-6776-40D6-A606-03569D0E04F5}"/>
    <cellStyle name="Normal 5 2 3 3 2" xfId="430" xr:uid="{00000000-0005-0000-0000-000085180000}"/>
    <cellStyle name="Normal 5 2 3 3 2 10" xfId="9028" xr:uid="{4BE556A7-6ED0-492E-B81D-BDF550946EF2}"/>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24245" xr:uid="{5EBD9ADC-3D8D-4DD9-B1EF-A33293887791}"/>
    <cellStyle name="Normal 5 2 3 3 2 2 2 2 3" xfId="32691" xr:uid="{F26A7058-6DEF-46F7-A2F6-B6FECFCB6975}"/>
    <cellStyle name="Normal 5 2 3 3 2 2 2 2 4" xfId="15804" xr:uid="{39999A82-ADEA-4FE6-A5F1-269C42AA65C6}"/>
    <cellStyle name="Normal 5 2 3 3 2 2 2 3" xfId="20027" xr:uid="{401E826D-266E-49FC-BFD1-67178283C0AE}"/>
    <cellStyle name="Normal 5 2 3 3 2 2 2 4" xfId="28474" xr:uid="{A2D36BCD-FBFD-4154-9310-9241F61972E5}"/>
    <cellStyle name="Normal 5 2 3 3 2 2 2 5" xfId="11586" xr:uid="{5C52B65F-1C4F-4C79-998E-7939D3389260}"/>
    <cellStyle name="Normal 5 2 3 3 2 2 3" xfId="5217" xr:uid="{00000000-0005-0000-0000-000089180000}"/>
    <cellStyle name="Normal 5 2 3 3 2 2 3 2" xfId="22100" xr:uid="{10199797-1CD6-463F-ABC7-88505C6BD002}"/>
    <cellStyle name="Normal 5 2 3 3 2 2 3 3" xfId="30546" xr:uid="{F4E4465D-5809-48F6-BA95-934851A2B64C}"/>
    <cellStyle name="Normal 5 2 3 3 2 2 3 4" xfId="13659" xr:uid="{2BC06847-C0E1-4899-A316-07CA0A8E8551}"/>
    <cellStyle name="Normal 5 2 3 3 2 2 4" xfId="17882" xr:uid="{02E1AB36-7420-4E51-B5D5-4A0AEC3776CC}"/>
    <cellStyle name="Normal 5 2 3 3 2 2 5" xfId="26327" xr:uid="{F28029CD-47B4-4619-9F44-54945A362CA0}"/>
    <cellStyle name="Normal 5 2 3 3 2 2 6" xfId="9441" xr:uid="{3BF291A3-43A1-4943-8C80-C34139781A22}"/>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24658" xr:uid="{C28B907B-A6F8-4966-9D8F-C773DE0CE899}"/>
    <cellStyle name="Normal 5 2 3 3 2 3 2 2 3" xfId="33104" xr:uid="{8614AA6E-EF07-4B8F-9698-E4E6DEF99390}"/>
    <cellStyle name="Normal 5 2 3 3 2 3 2 2 4" xfId="16217" xr:uid="{4CCEC13A-0385-416D-BD51-0114E913D17C}"/>
    <cellStyle name="Normal 5 2 3 3 2 3 2 3" xfId="20440" xr:uid="{589D73B9-4357-49ED-B7F3-18838CB81C1E}"/>
    <cellStyle name="Normal 5 2 3 3 2 3 2 4" xfId="28887" xr:uid="{4988F879-D21D-4542-A678-94059D8A7677}"/>
    <cellStyle name="Normal 5 2 3 3 2 3 2 5" xfId="11999" xr:uid="{32CAFBD6-7AF1-40E6-8B66-0893713EEF45}"/>
    <cellStyle name="Normal 5 2 3 3 2 3 3" xfId="5630" xr:uid="{00000000-0005-0000-0000-00008D180000}"/>
    <cellStyle name="Normal 5 2 3 3 2 3 3 2" xfId="22513" xr:uid="{641DE1FE-9C93-4110-8C4D-767FAF59B35B}"/>
    <cellStyle name="Normal 5 2 3 3 2 3 3 3" xfId="30959" xr:uid="{7A5B4AD6-720C-4B5E-9654-2F78E0692FC1}"/>
    <cellStyle name="Normal 5 2 3 3 2 3 3 4" xfId="14072" xr:uid="{59205AFB-F0AA-4F93-9FCC-EF654C35D268}"/>
    <cellStyle name="Normal 5 2 3 3 2 3 4" xfId="18295" xr:uid="{E0B19071-5E40-4D0B-88E6-784249E039D1}"/>
    <cellStyle name="Normal 5 2 3 3 2 3 5" xfId="26740" xr:uid="{8B33253A-6FA1-4C4A-889A-FFB38909FDB5}"/>
    <cellStyle name="Normal 5 2 3 3 2 3 6" xfId="9854" xr:uid="{AEE99D60-C7BB-4DFE-ACF1-963EC21DAB9B}"/>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25071" xr:uid="{3D3624F5-A526-433B-9B31-F5CD2C4D1ED7}"/>
    <cellStyle name="Normal 5 2 3 3 2 4 2 2 3" xfId="33517" xr:uid="{CCBF2ADD-8A45-4FCA-AB48-72618D7EF955}"/>
    <cellStyle name="Normal 5 2 3 3 2 4 2 2 4" xfId="16630" xr:uid="{9E77A5E6-90C9-4CB3-8632-FECF816DC898}"/>
    <cellStyle name="Normal 5 2 3 3 2 4 2 3" xfId="20853" xr:uid="{133FABA9-E0E9-4D3D-957C-7732E20EAD29}"/>
    <cellStyle name="Normal 5 2 3 3 2 4 2 4" xfId="29300" xr:uid="{B4C6AD27-0767-4B28-BAA2-CF939B0E91B0}"/>
    <cellStyle name="Normal 5 2 3 3 2 4 2 5" xfId="12412" xr:uid="{C7BA3EF0-46D5-4F60-B78F-F308112BE46D}"/>
    <cellStyle name="Normal 5 2 3 3 2 4 3" xfId="6043" xr:uid="{00000000-0005-0000-0000-000091180000}"/>
    <cellStyle name="Normal 5 2 3 3 2 4 3 2" xfId="22926" xr:uid="{726C6563-C192-4527-AFE7-B5094293E2A7}"/>
    <cellStyle name="Normal 5 2 3 3 2 4 3 3" xfId="31372" xr:uid="{0158FDF5-140A-4E30-B625-66502F8F2228}"/>
    <cellStyle name="Normal 5 2 3 3 2 4 3 4" xfId="14485" xr:uid="{03D38F8D-9AE6-4795-A7B5-C2FD2B6ABC34}"/>
    <cellStyle name="Normal 5 2 3 3 2 4 4" xfId="18708" xr:uid="{882974B9-FAD0-46E6-98CC-BA7622987DB4}"/>
    <cellStyle name="Normal 5 2 3 3 2 4 5" xfId="27153" xr:uid="{794FA819-3EF8-4DB1-B9A5-9842E5798449}"/>
    <cellStyle name="Normal 5 2 3 3 2 4 6" xfId="10267" xr:uid="{96B8AD11-06C8-4151-9C55-38EDA19312E9}"/>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25484" xr:uid="{256E7C24-DD1D-4742-A391-629AA30B432B}"/>
    <cellStyle name="Normal 5 2 3 3 2 5 2 2 3" xfId="33930" xr:uid="{232D2018-D1AA-4740-92E4-2ABC895EE2FF}"/>
    <cellStyle name="Normal 5 2 3 3 2 5 2 2 4" xfId="17043" xr:uid="{1CF6781E-DBD1-40A1-BC30-854CFD9DE761}"/>
    <cellStyle name="Normal 5 2 3 3 2 5 2 3" xfId="21266" xr:uid="{64B4CDF8-5DA3-4E1F-AFAF-C2FB6057F3C1}"/>
    <cellStyle name="Normal 5 2 3 3 2 5 2 4" xfId="29713" xr:uid="{BA259609-66AF-41CD-A6C7-C7B3A56C8A63}"/>
    <cellStyle name="Normal 5 2 3 3 2 5 2 5" xfId="12825" xr:uid="{7224CCF2-AE6F-42A0-AED0-022FA1C430FD}"/>
    <cellStyle name="Normal 5 2 3 3 2 5 3" xfId="6456" xr:uid="{00000000-0005-0000-0000-000095180000}"/>
    <cellStyle name="Normal 5 2 3 3 2 5 3 2" xfId="23339" xr:uid="{EFDE5EC9-5B12-42E9-810C-63B6AC17BA4C}"/>
    <cellStyle name="Normal 5 2 3 3 2 5 3 3" xfId="31785" xr:uid="{758EE66C-88DA-489A-95C8-98817F5B2419}"/>
    <cellStyle name="Normal 5 2 3 3 2 5 3 4" xfId="14898" xr:uid="{D147C6B1-0183-473C-A6BB-5E1D578B0DAE}"/>
    <cellStyle name="Normal 5 2 3 3 2 5 4" xfId="19121" xr:uid="{089163C6-5337-4C28-BBC4-7CA7A4501B15}"/>
    <cellStyle name="Normal 5 2 3 3 2 5 5" xfId="27566" xr:uid="{02569D03-8CAE-4785-971C-465D82028822}"/>
    <cellStyle name="Normal 5 2 3 3 2 5 6" xfId="10680" xr:uid="{C80587AA-1FD2-4235-A162-9A4D71F4428C}"/>
    <cellStyle name="Normal 5 2 3 3 2 6" xfId="2585" xr:uid="{00000000-0005-0000-0000-000096180000}"/>
    <cellStyle name="Normal 5 2 3 3 2 6 2" xfId="6869" xr:uid="{00000000-0005-0000-0000-000097180000}"/>
    <cellStyle name="Normal 5 2 3 3 2 6 2 2" xfId="23752" xr:uid="{43B0E8AC-BAA0-4622-B125-8E893261595B}"/>
    <cellStyle name="Normal 5 2 3 3 2 6 2 3" xfId="32198" xr:uid="{4E9A75CA-FDBE-4396-AEFF-52644885ED18}"/>
    <cellStyle name="Normal 5 2 3 3 2 6 2 4" xfId="15311" xr:uid="{62C29B4F-CD58-48D1-8C8B-4CEA45EF897C}"/>
    <cellStyle name="Normal 5 2 3 3 2 6 3" xfId="19534" xr:uid="{088394F3-AD24-4CCE-BE19-EBEC7DCC886A}"/>
    <cellStyle name="Normal 5 2 3 3 2 6 4" xfId="27979" xr:uid="{06CDCDFB-4F70-497F-9511-5A30B236837F}"/>
    <cellStyle name="Normal 5 2 3 3 2 6 5" xfId="11093" xr:uid="{2EC9FF4B-1BAA-4091-876F-21EEDA417B78}"/>
    <cellStyle name="Normal 5 2 3 3 2 7" xfId="4804" xr:uid="{00000000-0005-0000-0000-000098180000}"/>
    <cellStyle name="Normal 5 2 3 3 2 7 2" xfId="21687" xr:uid="{370A29D3-6C40-42AC-9D43-2AAA79E7545A}"/>
    <cellStyle name="Normal 5 2 3 3 2 7 3" xfId="30133" xr:uid="{4A802E22-AA38-430E-B7A7-D121F42460E1}"/>
    <cellStyle name="Normal 5 2 3 3 2 7 4" xfId="13246" xr:uid="{8DBAAECC-41DA-4902-9354-BEF1D8C7B222}"/>
    <cellStyle name="Normal 5 2 3 3 2 8" xfId="17469" xr:uid="{1735D44B-E47F-4773-8443-DF9A4F5A2FD0}"/>
    <cellStyle name="Normal 5 2 3 3 2 9" xfId="25913" xr:uid="{3C3E82DB-DBDB-45D4-8ED6-1EACFF5CCCDA}"/>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24244" xr:uid="{7796BBAC-34B2-4617-B258-C9F146475050}"/>
    <cellStyle name="Normal 5 2 3 3 3 2 2 3" xfId="32690" xr:uid="{572B6077-14D9-4C7F-84BA-259F33A88DC8}"/>
    <cellStyle name="Normal 5 2 3 3 3 2 2 4" xfId="15803" xr:uid="{902F0A9E-EE13-41B0-A290-99DB4400894F}"/>
    <cellStyle name="Normal 5 2 3 3 3 2 3" xfId="20026" xr:uid="{7FA7A7D3-ECE3-4285-ADFC-C4B8B3ADF389}"/>
    <cellStyle name="Normal 5 2 3 3 3 2 4" xfId="28473" xr:uid="{ED71AD2A-F7CD-48CE-BC04-551C1003A757}"/>
    <cellStyle name="Normal 5 2 3 3 3 2 5" xfId="11585" xr:uid="{2690B3F8-3780-40A7-A780-1636358030A7}"/>
    <cellStyle name="Normal 5 2 3 3 3 3" xfId="5216" xr:uid="{00000000-0005-0000-0000-00009C180000}"/>
    <cellStyle name="Normal 5 2 3 3 3 3 2" xfId="22099" xr:uid="{A7AAF557-6A58-4866-BAB8-EC33872421F1}"/>
    <cellStyle name="Normal 5 2 3 3 3 3 3" xfId="30545" xr:uid="{A48C20A3-D51B-4584-A67B-F4BF402E0A7F}"/>
    <cellStyle name="Normal 5 2 3 3 3 3 4" xfId="13658" xr:uid="{4F1AC78F-CB5E-412C-BDCA-0CFED33DD3D8}"/>
    <cellStyle name="Normal 5 2 3 3 3 4" xfId="17881" xr:uid="{EBBB7B4F-0FEE-4DDA-B80A-66ECB46DA52E}"/>
    <cellStyle name="Normal 5 2 3 3 3 5" xfId="26326" xr:uid="{0CB1DB19-AD8B-4C2F-9C86-FE5E9A8DBF56}"/>
    <cellStyle name="Normal 5 2 3 3 3 6" xfId="9440" xr:uid="{5B72A232-0BEA-4CD2-9DFC-4315D39E0E92}"/>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24657" xr:uid="{526A77FA-71BC-4B80-AD11-4CD2CE3AEDA9}"/>
    <cellStyle name="Normal 5 2 3 3 4 2 2 3" xfId="33103" xr:uid="{74B77959-3A1F-4CD0-8BCC-70F0E75612B3}"/>
    <cellStyle name="Normal 5 2 3 3 4 2 2 4" xfId="16216" xr:uid="{9E166E77-C627-4C19-80E6-B27E1533C62A}"/>
    <cellStyle name="Normal 5 2 3 3 4 2 3" xfId="20439" xr:uid="{AD9D9128-B9F8-4974-9223-286776B5888A}"/>
    <cellStyle name="Normal 5 2 3 3 4 2 4" xfId="28886" xr:uid="{0B62F95E-46D1-4A70-9096-7B4ECF9EBFE3}"/>
    <cellStyle name="Normal 5 2 3 3 4 2 5" xfId="11998" xr:uid="{6C760031-FCFF-4D3D-AF00-5A7FE76CFFEC}"/>
    <cellStyle name="Normal 5 2 3 3 4 3" xfId="5629" xr:uid="{00000000-0005-0000-0000-0000A0180000}"/>
    <cellStyle name="Normal 5 2 3 3 4 3 2" xfId="22512" xr:uid="{9E312468-E380-425E-99E0-49FF2FB1F2D9}"/>
    <cellStyle name="Normal 5 2 3 3 4 3 3" xfId="30958" xr:uid="{B7B65FD3-A4C9-4B47-B666-7BF78FE1E225}"/>
    <cellStyle name="Normal 5 2 3 3 4 3 4" xfId="14071" xr:uid="{C93332D8-C123-494F-B859-B76FFBF992F2}"/>
    <cellStyle name="Normal 5 2 3 3 4 4" xfId="18294" xr:uid="{AABCA1E7-3B46-4E6B-9EAF-9DA7390D4B89}"/>
    <cellStyle name="Normal 5 2 3 3 4 5" xfId="26739" xr:uid="{DE17CD2D-CFB1-4D12-9775-791E79EBE196}"/>
    <cellStyle name="Normal 5 2 3 3 4 6" xfId="9853" xr:uid="{0E404719-9CC0-4F97-92F1-4CEC04C8AB1B}"/>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25070" xr:uid="{5078CA12-F05D-445D-B829-D52C43DBE324}"/>
    <cellStyle name="Normal 5 2 3 3 5 2 2 3" xfId="33516" xr:uid="{0A1CDBB7-9885-4CB7-8005-FD410AAA81A2}"/>
    <cellStyle name="Normal 5 2 3 3 5 2 2 4" xfId="16629" xr:uid="{211E3BA8-6DB3-455F-AC5E-D37D92D64176}"/>
    <cellStyle name="Normal 5 2 3 3 5 2 3" xfId="20852" xr:uid="{A4D93387-11F3-47A2-A34B-60895F83DE24}"/>
    <cellStyle name="Normal 5 2 3 3 5 2 4" xfId="29299" xr:uid="{E32DBB5D-8F91-4644-9DD9-D3DC3541A982}"/>
    <cellStyle name="Normal 5 2 3 3 5 2 5" xfId="12411" xr:uid="{2F6F2E2F-6C58-4E7F-9FF4-5D0894B41F08}"/>
    <cellStyle name="Normal 5 2 3 3 5 3" xfId="6042" xr:uid="{00000000-0005-0000-0000-0000A4180000}"/>
    <cellStyle name="Normal 5 2 3 3 5 3 2" xfId="22925" xr:uid="{2EB79A11-CEE3-442C-BF86-C86372DA62B2}"/>
    <cellStyle name="Normal 5 2 3 3 5 3 3" xfId="31371" xr:uid="{93D0D5B2-E567-4E4B-B0B2-8554F96F3F1E}"/>
    <cellStyle name="Normal 5 2 3 3 5 3 4" xfId="14484" xr:uid="{62031E57-3996-470A-817F-28365840E173}"/>
    <cellStyle name="Normal 5 2 3 3 5 4" xfId="18707" xr:uid="{E67D7BD9-E5A6-4B27-8262-B3373CE77050}"/>
    <cellStyle name="Normal 5 2 3 3 5 5" xfId="27152" xr:uid="{F4F65354-75E7-4F2F-A1AB-05EBDCE855AB}"/>
    <cellStyle name="Normal 5 2 3 3 5 6" xfId="10266" xr:uid="{7FFCA6FB-85BB-403F-A0B5-6754B8A488F6}"/>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25483" xr:uid="{EAC0BDC4-8A66-472A-99CE-1EDEA06D5D07}"/>
    <cellStyle name="Normal 5 2 3 3 6 2 2 3" xfId="33929" xr:uid="{E2BB11AE-A0CB-41D4-AB4B-245D9CD452FF}"/>
    <cellStyle name="Normal 5 2 3 3 6 2 2 4" xfId="17042" xr:uid="{BFDC8377-A345-41FE-BC16-9976F74689EF}"/>
    <cellStyle name="Normal 5 2 3 3 6 2 3" xfId="21265" xr:uid="{21B41504-0C05-4D99-8227-5CDA6B95E75D}"/>
    <cellStyle name="Normal 5 2 3 3 6 2 4" xfId="29712" xr:uid="{70743C44-EF6F-4EF4-8717-07F8D3218C4B}"/>
    <cellStyle name="Normal 5 2 3 3 6 2 5" xfId="12824" xr:uid="{AB991428-213B-4D70-89EC-EABF6BC8A1A2}"/>
    <cellStyle name="Normal 5 2 3 3 6 3" xfId="6455" xr:uid="{00000000-0005-0000-0000-0000A8180000}"/>
    <cellStyle name="Normal 5 2 3 3 6 3 2" xfId="23338" xr:uid="{1C14DAE9-ABBF-4F14-837C-38FAE72EA5B6}"/>
    <cellStyle name="Normal 5 2 3 3 6 3 3" xfId="31784" xr:uid="{7322B0D0-8892-4016-9D83-9EB71FAE4158}"/>
    <cellStyle name="Normal 5 2 3 3 6 3 4" xfId="14897" xr:uid="{FE4B0ADC-7A4E-43BB-B080-041FECCF4D4A}"/>
    <cellStyle name="Normal 5 2 3 3 6 4" xfId="19120" xr:uid="{2BFD6400-E74B-49AE-91B5-EA4500A8E495}"/>
    <cellStyle name="Normal 5 2 3 3 6 5" xfId="27565" xr:uid="{C102662F-51D1-46D1-B2BA-8842923792B1}"/>
    <cellStyle name="Normal 5 2 3 3 6 6" xfId="10679" xr:uid="{604ECE68-AFCE-4B91-A9FE-6016324F06AE}"/>
    <cellStyle name="Normal 5 2 3 3 7" xfId="2584" xr:uid="{00000000-0005-0000-0000-0000A9180000}"/>
    <cellStyle name="Normal 5 2 3 3 7 2" xfId="6868" xr:uid="{00000000-0005-0000-0000-0000AA180000}"/>
    <cellStyle name="Normal 5 2 3 3 7 2 2" xfId="23751" xr:uid="{55804598-2FFE-4C11-B610-0702AAB63636}"/>
    <cellStyle name="Normal 5 2 3 3 7 2 3" xfId="32197" xr:uid="{0B0B12DD-7CA8-45FE-9C52-6E4EFA012AE5}"/>
    <cellStyle name="Normal 5 2 3 3 7 2 4" xfId="15310" xr:uid="{D6414458-D73D-4FE4-814D-4B982C79C368}"/>
    <cellStyle name="Normal 5 2 3 3 7 3" xfId="19533" xr:uid="{CEA31C75-F29D-49A5-8E7A-49A19C1D80C2}"/>
    <cellStyle name="Normal 5 2 3 3 7 4" xfId="27978" xr:uid="{1E521923-1D55-4DC6-BDB5-D1A8928D124E}"/>
    <cellStyle name="Normal 5 2 3 3 7 5" xfId="11092" xr:uid="{02D590A8-BD0B-4F6D-A3FA-9D19991F0AFF}"/>
    <cellStyle name="Normal 5 2 3 3 8" xfId="4803" xr:uid="{00000000-0005-0000-0000-0000AB180000}"/>
    <cellStyle name="Normal 5 2 3 3 8 2" xfId="21686" xr:uid="{5B947938-F375-436D-AF9E-BA92549469FB}"/>
    <cellStyle name="Normal 5 2 3 3 8 3" xfId="30132" xr:uid="{67AB15F1-6369-438B-96FE-2D833ED0C0A3}"/>
    <cellStyle name="Normal 5 2 3 3 8 4" xfId="13245" xr:uid="{16D568AF-5F9F-4CD5-B1C2-E795B35E1890}"/>
    <cellStyle name="Normal 5 2 3 3 9" xfId="17468" xr:uid="{D74F4FFA-2202-4D2A-B29B-87BFC17CA91E}"/>
    <cellStyle name="Normal 5 2 3 4" xfId="431" xr:uid="{00000000-0005-0000-0000-0000AC180000}"/>
    <cellStyle name="Normal 5 2 3 4 10" xfId="9029" xr:uid="{31D8C676-0DAA-44C7-A576-88C21C7AA131}"/>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24246" xr:uid="{8E4AC453-C426-45C3-948D-5B19B823E6E4}"/>
    <cellStyle name="Normal 5 2 3 4 2 2 2 3" xfId="32692" xr:uid="{48248348-0917-4892-8F86-E35E217F44CD}"/>
    <cellStyle name="Normal 5 2 3 4 2 2 2 4" xfId="15805" xr:uid="{F5A9541C-406C-414E-AA90-A06FBE88A654}"/>
    <cellStyle name="Normal 5 2 3 4 2 2 3" xfId="20028" xr:uid="{C0C90620-C890-4363-ACAD-676CA18462AD}"/>
    <cellStyle name="Normal 5 2 3 4 2 2 4" xfId="28475" xr:uid="{793A5DC7-9780-4525-A9C7-4445E24A78B4}"/>
    <cellStyle name="Normal 5 2 3 4 2 2 5" xfId="11587" xr:uid="{29B27BDC-3D02-4F34-8312-EAF4D6FA00AF}"/>
    <cellStyle name="Normal 5 2 3 4 2 3" xfId="5218" xr:uid="{00000000-0005-0000-0000-0000B0180000}"/>
    <cellStyle name="Normal 5 2 3 4 2 3 2" xfId="22101" xr:uid="{8D00427E-ED30-4B0B-8CE9-042EE2D5B2BA}"/>
    <cellStyle name="Normal 5 2 3 4 2 3 3" xfId="30547" xr:uid="{6F3F91AA-9DD0-458D-ABF0-73A08050627E}"/>
    <cellStyle name="Normal 5 2 3 4 2 3 4" xfId="13660" xr:uid="{39BEB280-1C0C-488C-B817-C5E3ED4DDE1D}"/>
    <cellStyle name="Normal 5 2 3 4 2 4" xfId="17883" xr:uid="{F8184D8B-EB2A-4429-9750-3D2CFB22BF3F}"/>
    <cellStyle name="Normal 5 2 3 4 2 5" xfId="26328" xr:uid="{26281B96-746C-4F73-AA3C-71A66302BF1C}"/>
    <cellStyle name="Normal 5 2 3 4 2 6" xfId="9442" xr:uid="{E163D467-B1EE-4BBC-BDA3-5C5386E80C07}"/>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24659" xr:uid="{7BF4DC5D-D41C-45AE-B1B8-8A43074ACA60}"/>
    <cellStyle name="Normal 5 2 3 4 3 2 2 3" xfId="33105" xr:uid="{30EB80BF-5870-4770-ACCC-86BA9293006A}"/>
    <cellStyle name="Normal 5 2 3 4 3 2 2 4" xfId="16218" xr:uid="{767CFFF2-692B-45AC-B918-182ECBF186EA}"/>
    <cellStyle name="Normal 5 2 3 4 3 2 3" xfId="20441" xr:uid="{45D20ED0-BF52-4D9E-BC32-551027589711}"/>
    <cellStyle name="Normal 5 2 3 4 3 2 4" xfId="28888" xr:uid="{57188BFE-65E9-4498-897F-1D593CBD1F35}"/>
    <cellStyle name="Normal 5 2 3 4 3 2 5" xfId="12000" xr:uid="{DB1179EA-3B6C-463D-8A6D-031A2052F03F}"/>
    <cellStyle name="Normal 5 2 3 4 3 3" xfId="5631" xr:uid="{00000000-0005-0000-0000-0000B4180000}"/>
    <cellStyle name="Normal 5 2 3 4 3 3 2" xfId="22514" xr:uid="{A7852644-C90D-4D70-81E5-7E3BC25D63EB}"/>
    <cellStyle name="Normal 5 2 3 4 3 3 3" xfId="30960" xr:uid="{E464CC96-F061-4D73-9532-EB0588FA4899}"/>
    <cellStyle name="Normal 5 2 3 4 3 3 4" xfId="14073" xr:uid="{4C243E43-315E-43F6-9172-F46A89A4D68F}"/>
    <cellStyle name="Normal 5 2 3 4 3 4" xfId="18296" xr:uid="{EBDA122C-DF41-455F-B5E4-1529DAEC726C}"/>
    <cellStyle name="Normal 5 2 3 4 3 5" xfId="26741" xr:uid="{9648D9D2-6580-492A-A8CF-05965D7007B4}"/>
    <cellStyle name="Normal 5 2 3 4 3 6" xfId="9855" xr:uid="{7E8971F5-42EE-470D-B9C2-961F680A1B94}"/>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25072" xr:uid="{17EDDF29-4EEE-4374-80CC-4678B27F677F}"/>
    <cellStyle name="Normal 5 2 3 4 4 2 2 3" xfId="33518" xr:uid="{EC53EA67-833A-40E3-B122-4C05D363D5A4}"/>
    <cellStyle name="Normal 5 2 3 4 4 2 2 4" xfId="16631" xr:uid="{39FD89A5-F51E-469B-8E6F-8F65B519FCD6}"/>
    <cellStyle name="Normal 5 2 3 4 4 2 3" xfId="20854" xr:uid="{E3D5DA1C-5657-44E7-AB64-900C2491E4E9}"/>
    <cellStyle name="Normal 5 2 3 4 4 2 4" xfId="29301" xr:uid="{45C57156-A644-4785-83BA-FF2BA20A645C}"/>
    <cellStyle name="Normal 5 2 3 4 4 2 5" xfId="12413" xr:uid="{AAFCE10E-3B73-4F07-8E11-B0BE3DFD4E90}"/>
    <cellStyle name="Normal 5 2 3 4 4 3" xfId="6044" xr:uid="{00000000-0005-0000-0000-0000B8180000}"/>
    <cellStyle name="Normal 5 2 3 4 4 3 2" xfId="22927" xr:uid="{5D45C148-BAF9-4213-94CE-FBFE5A55058E}"/>
    <cellStyle name="Normal 5 2 3 4 4 3 3" xfId="31373" xr:uid="{F895990C-460A-43FA-822D-0E1271E72152}"/>
    <cellStyle name="Normal 5 2 3 4 4 3 4" xfId="14486" xr:uid="{469718B3-4808-4320-8E3F-04C73E38B2D5}"/>
    <cellStyle name="Normal 5 2 3 4 4 4" xfId="18709" xr:uid="{07CA4C91-12B3-430C-8EB2-9C5A8104CBED}"/>
    <cellStyle name="Normal 5 2 3 4 4 5" xfId="27154" xr:uid="{B1A363F6-93C5-4F64-A5CF-F43132814D5E}"/>
    <cellStyle name="Normal 5 2 3 4 4 6" xfId="10268" xr:uid="{C02CC309-7C82-4165-9DD4-192E67941EA5}"/>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25485" xr:uid="{B9EA0417-F25C-489A-B76E-D56B8AD19D17}"/>
    <cellStyle name="Normal 5 2 3 4 5 2 2 3" xfId="33931" xr:uid="{68FDC428-6458-40E5-B994-5C5462704A56}"/>
    <cellStyle name="Normal 5 2 3 4 5 2 2 4" xfId="17044" xr:uid="{62E08FD3-2DF9-4C4F-B077-518955001308}"/>
    <cellStyle name="Normal 5 2 3 4 5 2 3" xfId="21267" xr:uid="{C0E97743-524A-4C2D-ADFC-0BCFAF835C68}"/>
    <cellStyle name="Normal 5 2 3 4 5 2 4" xfId="29714" xr:uid="{EA1A3AE0-50D8-4E9F-9F64-B2D6FB372154}"/>
    <cellStyle name="Normal 5 2 3 4 5 2 5" xfId="12826" xr:uid="{CD401E2B-2A19-46F7-935D-A2FB95BEDA02}"/>
    <cellStyle name="Normal 5 2 3 4 5 3" xfId="6457" xr:uid="{00000000-0005-0000-0000-0000BC180000}"/>
    <cellStyle name="Normal 5 2 3 4 5 3 2" xfId="23340" xr:uid="{5477105A-1D31-4234-9C72-8018C868ABAD}"/>
    <cellStyle name="Normal 5 2 3 4 5 3 3" xfId="31786" xr:uid="{F9DBE5DD-50F3-46F8-AB2F-F74F9F9D77C7}"/>
    <cellStyle name="Normal 5 2 3 4 5 3 4" xfId="14899" xr:uid="{76615104-B2C6-4355-AF5B-E4E27E19A425}"/>
    <cellStyle name="Normal 5 2 3 4 5 4" xfId="19122" xr:uid="{DE6EE5D7-FFA2-46D2-887E-892B06B0B9A3}"/>
    <cellStyle name="Normal 5 2 3 4 5 5" xfId="27567" xr:uid="{E99A76DB-D92E-498D-BCEB-E2BC0EEAFB61}"/>
    <cellStyle name="Normal 5 2 3 4 5 6" xfId="10681" xr:uid="{2C0E1B9E-8DA5-4DDF-AA23-A489E42C97D3}"/>
    <cellStyle name="Normal 5 2 3 4 6" xfId="2586" xr:uid="{00000000-0005-0000-0000-0000BD180000}"/>
    <cellStyle name="Normal 5 2 3 4 6 2" xfId="6870" xr:uid="{00000000-0005-0000-0000-0000BE180000}"/>
    <cellStyle name="Normal 5 2 3 4 6 2 2" xfId="23753" xr:uid="{111F20BC-14D8-4121-9220-A2CFEA0A3811}"/>
    <cellStyle name="Normal 5 2 3 4 6 2 3" xfId="32199" xr:uid="{C05BBFB7-ABE0-477A-BBF5-E70490203F5B}"/>
    <cellStyle name="Normal 5 2 3 4 6 2 4" xfId="15312" xr:uid="{47EFBCDC-DBA8-4775-B786-C9DA0CAA522A}"/>
    <cellStyle name="Normal 5 2 3 4 6 3" xfId="19535" xr:uid="{03EE25AA-E9A5-4C76-8368-236BB3BB9DBD}"/>
    <cellStyle name="Normal 5 2 3 4 6 4" xfId="27980" xr:uid="{70D0F25A-CE8A-4138-BCF6-F7E8B2ABB5CC}"/>
    <cellStyle name="Normal 5 2 3 4 6 5" xfId="11094" xr:uid="{43F448CC-44D1-4CE0-8F1E-43521183D9BF}"/>
    <cellStyle name="Normal 5 2 3 4 7" xfId="4805" xr:uid="{00000000-0005-0000-0000-0000BF180000}"/>
    <cellStyle name="Normal 5 2 3 4 7 2" xfId="21688" xr:uid="{AFB424DC-FF40-40E0-ACA9-9D74ECD56806}"/>
    <cellStyle name="Normal 5 2 3 4 7 3" xfId="30134" xr:uid="{EF0C182A-C428-4084-8943-4A373C9FDA32}"/>
    <cellStyle name="Normal 5 2 3 4 7 4" xfId="13247" xr:uid="{8B43D6EB-1568-425C-B1C6-45E271619932}"/>
    <cellStyle name="Normal 5 2 3 4 8" xfId="17470" xr:uid="{CF99DBB3-F2C8-4923-817B-5D809A884A7F}"/>
    <cellStyle name="Normal 5 2 3 4 9" xfId="25914" xr:uid="{F2403E4C-63C2-49B4-8A26-6D135ED7B3CE}"/>
    <cellStyle name="Normal 5 2 3 5" xfId="898" xr:uid="{00000000-0005-0000-0000-0000C0180000}"/>
    <cellStyle name="Normal 5 2 3 5 2" xfId="3133" xr:uid="{00000000-0005-0000-0000-0000C1180000}"/>
    <cellStyle name="Normal 5 2 3 5 2 2" xfId="7356" xr:uid="{00000000-0005-0000-0000-0000C2180000}"/>
    <cellStyle name="Normal 5 2 3 5 2 2 2" xfId="24239" xr:uid="{D9BA7005-6443-4700-96AE-4656CCC036B1}"/>
    <cellStyle name="Normal 5 2 3 5 2 2 3" xfId="32685" xr:uid="{86D40B23-A103-4F5F-9D02-68A7482D4561}"/>
    <cellStyle name="Normal 5 2 3 5 2 2 4" xfId="15798" xr:uid="{55CC1372-276F-4E83-8CD8-878536E65F3B}"/>
    <cellStyle name="Normal 5 2 3 5 2 3" xfId="20021" xr:uid="{03DBEFCB-A4A3-4526-828E-F840FF2EDC8F}"/>
    <cellStyle name="Normal 5 2 3 5 2 4" xfId="28468" xr:uid="{98B9CDDC-2854-4426-96CA-7A0643402349}"/>
    <cellStyle name="Normal 5 2 3 5 2 5" xfId="11580" xr:uid="{C63B5ABF-4147-486C-BDF6-58DE4F0501E2}"/>
    <cellStyle name="Normal 5 2 3 5 3" xfId="5211" xr:uid="{00000000-0005-0000-0000-0000C3180000}"/>
    <cellStyle name="Normal 5 2 3 5 3 2" xfId="22094" xr:uid="{B2E6CBD9-4F43-4F7F-A0F3-081E07BDE4B1}"/>
    <cellStyle name="Normal 5 2 3 5 3 3" xfId="30540" xr:uid="{060A5886-C642-403A-BD76-255E707032B0}"/>
    <cellStyle name="Normal 5 2 3 5 3 4" xfId="13653" xr:uid="{326B4D93-3892-4070-A647-F04D4DDC85EB}"/>
    <cellStyle name="Normal 5 2 3 5 4" xfId="17876" xr:uid="{E06C6DB1-C54C-42F2-8545-746ED1CC5058}"/>
    <cellStyle name="Normal 5 2 3 5 5" xfId="26321" xr:uid="{AF2ED3B8-3275-40EB-A849-2EA8059D7E3A}"/>
    <cellStyle name="Normal 5 2 3 5 6" xfId="9435" xr:uid="{364B40E1-8F46-42DC-A808-072DAC0D1566}"/>
    <cellStyle name="Normal 5 2 3 6" xfId="1316" xr:uid="{00000000-0005-0000-0000-0000C4180000}"/>
    <cellStyle name="Normal 5 2 3 6 2" xfId="3546" xr:uid="{00000000-0005-0000-0000-0000C5180000}"/>
    <cellStyle name="Normal 5 2 3 6 2 2" xfId="7769" xr:uid="{00000000-0005-0000-0000-0000C6180000}"/>
    <cellStyle name="Normal 5 2 3 6 2 2 2" xfId="24652" xr:uid="{A821F875-8B18-4A9E-A147-CFAC86D2CEAD}"/>
    <cellStyle name="Normal 5 2 3 6 2 2 3" xfId="33098" xr:uid="{38592C2E-9BF9-4947-A327-59572BDEB902}"/>
    <cellStyle name="Normal 5 2 3 6 2 2 4" xfId="16211" xr:uid="{0C9DDD59-8C2C-4384-8C2D-A9ED99D2CD70}"/>
    <cellStyle name="Normal 5 2 3 6 2 3" xfId="20434" xr:uid="{FDC57992-EBAF-4852-BD91-44DABDCF705D}"/>
    <cellStyle name="Normal 5 2 3 6 2 4" xfId="28881" xr:uid="{811AE91E-8159-4007-A3B7-A5AC93710D35}"/>
    <cellStyle name="Normal 5 2 3 6 2 5" xfId="11993" xr:uid="{5EE02D4B-B6AC-4058-A78F-382C8951BB6E}"/>
    <cellStyle name="Normal 5 2 3 6 3" xfId="5624" xr:uid="{00000000-0005-0000-0000-0000C7180000}"/>
    <cellStyle name="Normal 5 2 3 6 3 2" xfId="22507" xr:uid="{334E972E-FCAF-428F-A4AA-A1964E3BABC9}"/>
    <cellStyle name="Normal 5 2 3 6 3 3" xfId="30953" xr:uid="{93E4A9FB-2CEE-4041-A428-F654E016371E}"/>
    <cellStyle name="Normal 5 2 3 6 3 4" xfId="14066" xr:uid="{298C4F5E-2EEF-4E60-856C-FAE41201C67A}"/>
    <cellStyle name="Normal 5 2 3 6 4" xfId="18289" xr:uid="{5FED3D6B-CBF2-4616-B441-3892C7473F04}"/>
    <cellStyle name="Normal 5 2 3 6 5" xfId="26734" xr:uid="{2EE64574-7369-446B-AD86-BC575F186064}"/>
    <cellStyle name="Normal 5 2 3 6 6" xfId="9848" xr:uid="{BAD6711C-42BC-49FA-82D6-625B33D64B5A}"/>
    <cellStyle name="Normal 5 2 3 7" xfId="1729" xr:uid="{00000000-0005-0000-0000-0000C8180000}"/>
    <cellStyle name="Normal 5 2 3 7 2" xfId="3959" xr:uid="{00000000-0005-0000-0000-0000C9180000}"/>
    <cellStyle name="Normal 5 2 3 7 2 2" xfId="8182" xr:uid="{00000000-0005-0000-0000-0000CA180000}"/>
    <cellStyle name="Normal 5 2 3 7 2 2 2" xfId="25065" xr:uid="{4570811B-7014-4933-ACA5-D4BBA75B6AC8}"/>
    <cellStyle name="Normal 5 2 3 7 2 2 3" xfId="33511" xr:uid="{C7301116-67C3-4AD1-AD24-C3CE7F4280AC}"/>
    <cellStyle name="Normal 5 2 3 7 2 2 4" xfId="16624" xr:uid="{FDE6CB87-87FC-424D-9885-CD8DF3D7A4CA}"/>
    <cellStyle name="Normal 5 2 3 7 2 3" xfId="20847" xr:uid="{05BA70A2-822B-43E8-8F3D-78EC32AFD24D}"/>
    <cellStyle name="Normal 5 2 3 7 2 4" xfId="29294" xr:uid="{7AF621D7-417B-4345-B2A1-93610165C671}"/>
    <cellStyle name="Normal 5 2 3 7 2 5" xfId="12406" xr:uid="{3DE827A0-771E-46D1-81BB-741EEA713424}"/>
    <cellStyle name="Normal 5 2 3 7 3" xfId="6037" xr:uid="{00000000-0005-0000-0000-0000CB180000}"/>
    <cellStyle name="Normal 5 2 3 7 3 2" xfId="22920" xr:uid="{06A1072D-D3E9-458B-87F0-597DB6346CFA}"/>
    <cellStyle name="Normal 5 2 3 7 3 3" xfId="31366" xr:uid="{859A8324-BFC6-4366-8E18-13EB3B66D244}"/>
    <cellStyle name="Normal 5 2 3 7 3 4" xfId="14479" xr:uid="{83E58321-7581-479E-B195-FE542E9C1329}"/>
    <cellStyle name="Normal 5 2 3 7 4" xfId="18702" xr:uid="{8928E764-02EB-445C-B333-9CA3DB4E6B16}"/>
    <cellStyle name="Normal 5 2 3 7 5" xfId="27147" xr:uid="{00BD3FDD-D79C-439B-988D-F535C0704E26}"/>
    <cellStyle name="Normal 5 2 3 7 6" xfId="10261" xr:uid="{85A38BCC-1223-40CE-ACAB-D32EAA861D92}"/>
    <cellStyle name="Normal 5 2 3 8" xfId="2143" xr:uid="{00000000-0005-0000-0000-0000CC180000}"/>
    <cellStyle name="Normal 5 2 3 8 2" xfId="4372" xr:uid="{00000000-0005-0000-0000-0000CD180000}"/>
    <cellStyle name="Normal 5 2 3 8 2 2" xfId="8595" xr:uid="{00000000-0005-0000-0000-0000CE180000}"/>
    <cellStyle name="Normal 5 2 3 8 2 2 2" xfId="25478" xr:uid="{6B9EF663-82FC-4587-8283-1BF0B4641EC6}"/>
    <cellStyle name="Normal 5 2 3 8 2 2 3" xfId="33924" xr:uid="{3CF6B79B-D0E5-4333-9380-FDA560C4EC43}"/>
    <cellStyle name="Normal 5 2 3 8 2 2 4" xfId="17037" xr:uid="{CFB9B30A-4CDB-4FF9-B387-E4525D024842}"/>
    <cellStyle name="Normal 5 2 3 8 2 3" xfId="21260" xr:uid="{BC251BA1-5D97-4D38-8820-9BE8261E1EF6}"/>
    <cellStyle name="Normal 5 2 3 8 2 4" xfId="29707" xr:uid="{D9788694-13D9-4EC6-A5BD-6FB236E92D4C}"/>
    <cellStyle name="Normal 5 2 3 8 2 5" xfId="12819" xr:uid="{6C1F0C63-606D-46A6-87A9-6609129C54BF}"/>
    <cellStyle name="Normal 5 2 3 8 3" xfId="6450" xr:uid="{00000000-0005-0000-0000-0000CF180000}"/>
    <cellStyle name="Normal 5 2 3 8 3 2" xfId="23333" xr:uid="{FE437A11-8DD3-4408-8654-0C0A645A28E1}"/>
    <cellStyle name="Normal 5 2 3 8 3 3" xfId="31779" xr:uid="{3C081629-D1E2-4100-A0FE-5914B9FBBA61}"/>
    <cellStyle name="Normal 5 2 3 8 3 4" xfId="14892" xr:uid="{A81D8697-3C73-4F51-98BC-77B8DEE8F2B2}"/>
    <cellStyle name="Normal 5 2 3 8 4" xfId="19115" xr:uid="{1D3EB253-1DF9-49DC-8650-72AB4234431E}"/>
    <cellStyle name="Normal 5 2 3 8 5" xfId="27560" xr:uid="{ECD52FEE-5BEF-491A-882B-AD1BCB436280}"/>
    <cellStyle name="Normal 5 2 3 8 6" xfId="10674" xr:uid="{714E1402-577B-4A75-B950-37B348C8BC3B}"/>
    <cellStyle name="Normal 5 2 3 9" xfId="2579" xr:uid="{00000000-0005-0000-0000-0000D0180000}"/>
    <cellStyle name="Normal 5 2 3 9 2" xfId="6863" xr:uid="{00000000-0005-0000-0000-0000D1180000}"/>
    <cellStyle name="Normal 5 2 3 9 2 2" xfId="23746" xr:uid="{B149CBA3-F287-4350-A88E-7A7C75C43B2B}"/>
    <cellStyle name="Normal 5 2 3 9 2 3" xfId="32192" xr:uid="{68C840CD-CC3D-4C06-8834-5520B1625A31}"/>
    <cellStyle name="Normal 5 2 3 9 2 4" xfId="15305" xr:uid="{F9504283-D325-4E0E-B085-371FF3F02A66}"/>
    <cellStyle name="Normal 5 2 3 9 3" xfId="19528" xr:uid="{9800711F-CEA3-4D10-92D9-88A2821C4453}"/>
    <cellStyle name="Normal 5 2 3 9 4" xfId="27973" xr:uid="{F9EA1A19-3819-4BCF-AF73-261F288CBF6A}"/>
    <cellStyle name="Normal 5 2 3 9 5" xfId="11087" xr:uid="{DA47D666-182E-4F64-8E16-FE8A73BB493F}"/>
    <cellStyle name="Normal 5 2 4" xfId="432" xr:uid="{00000000-0005-0000-0000-0000D2180000}"/>
    <cellStyle name="Normal 5 2 4 10" xfId="17471" xr:uid="{1FE6C7B3-99BB-4B19-AB18-4418AF420BFE}"/>
    <cellStyle name="Normal 5 2 4 11" xfId="25915" xr:uid="{366C4EE0-F9D8-4E27-B5F5-5F549FABDC37}"/>
    <cellStyle name="Normal 5 2 4 12" xfId="9030" xr:uid="{D0CB1C4A-104F-4770-B3D0-DF8A5B4DF17C}"/>
    <cellStyle name="Normal 5 2 4 2" xfId="433" xr:uid="{00000000-0005-0000-0000-0000D3180000}"/>
    <cellStyle name="Normal 5 2 4 2 10" xfId="25916" xr:uid="{2C2BFA2F-F5BA-4776-94B7-DB9EBEF44517}"/>
    <cellStyle name="Normal 5 2 4 2 11" xfId="9031" xr:uid="{ADD1A8B1-39A6-4026-870A-0281A0616451}"/>
    <cellStyle name="Normal 5 2 4 2 2" xfId="434" xr:uid="{00000000-0005-0000-0000-0000D4180000}"/>
    <cellStyle name="Normal 5 2 4 2 2 10" xfId="9032" xr:uid="{E16D95F3-A717-4C04-91BB-6923BFF6645A}"/>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24249" xr:uid="{CED1AEB1-DCFB-494A-BA2A-D40687CB0B3B}"/>
    <cellStyle name="Normal 5 2 4 2 2 2 2 2 3" xfId="32695" xr:uid="{2CF8CDE3-BA62-41DA-9FE9-55E44AF99EF7}"/>
    <cellStyle name="Normal 5 2 4 2 2 2 2 2 4" xfId="15808" xr:uid="{93FB1858-E84C-489C-AE7B-E987DB3A2344}"/>
    <cellStyle name="Normal 5 2 4 2 2 2 2 3" xfId="20031" xr:uid="{60754307-2746-4FFB-8A90-9FAEA3D250EF}"/>
    <cellStyle name="Normal 5 2 4 2 2 2 2 4" xfId="28478" xr:uid="{4859EFE6-9E88-453B-8ACF-E32FD2907C3D}"/>
    <cellStyle name="Normal 5 2 4 2 2 2 2 5" xfId="11590" xr:uid="{5870A035-7419-4675-9CC3-C7D5BAFEE026}"/>
    <cellStyle name="Normal 5 2 4 2 2 2 3" xfId="5221" xr:uid="{00000000-0005-0000-0000-0000D8180000}"/>
    <cellStyle name="Normal 5 2 4 2 2 2 3 2" xfId="22104" xr:uid="{D2B42539-BD18-4538-AB30-45AC35D2B31E}"/>
    <cellStyle name="Normal 5 2 4 2 2 2 3 3" xfId="30550" xr:uid="{8AE8842C-4495-4628-B6EF-4F29C031D6A1}"/>
    <cellStyle name="Normal 5 2 4 2 2 2 3 4" xfId="13663" xr:uid="{73584334-2A82-4E3D-BBE9-E235C7C5F233}"/>
    <cellStyle name="Normal 5 2 4 2 2 2 4" xfId="17886" xr:uid="{BB0ED6C3-C556-4E2B-8DB1-67590235386D}"/>
    <cellStyle name="Normal 5 2 4 2 2 2 5" xfId="26331" xr:uid="{7D8F49E6-E9DE-4130-9420-7EA03460C603}"/>
    <cellStyle name="Normal 5 2 4 2 2 2 6" xfId="9445" xr:uid="{849EAD05-2C15-4E70-96A7-CD694D7CBEB6}"/>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24662" xr:uid="{1C80803B-0DD3-4B9F-B051-C35A56BD45B8}"/>
    <cellStyle name="Normal 5 2 4 2 2 3 2 2 3" xfId="33108" xr:uid="{B64F3DF6-1679-4AD7-8249-13BA82FEDE35}"/>
    <cellStyle name="Normal 5 2 4 2 2 3 2 2 4" xfId="16221" xr:uid="{CBB68DD9-5B82-4E1D-A275-C945F717D689}"/>
    <cellStyle name="Normal 5 2 4 2 2 3 2 3" xfId="20444" xr:uid="{853842A3-8E87-4ADD-B7AE-A4B9745C7601}"/>
    <cellStyle name="Normal 5 2 4 2 2 3 2 4" xfId="28891" xr:uid="{5F869E1D-495E-4411-9D89-7420EACB4062}"/>
    <cellStyle name="Normal 5 2 4 2 2 3 2 5" xfId="12003" xr:uid="{8032ED12-01B8-47A1-8B90-3186143F110E}"/>
    <cellStyle name="Normal 5 2 4 2 2 3 3" xfId="5634" xr:uid="{00000000-0005-0000-0000-0000DC180000}"/>
    <cellStyle name="Normal 5 2 4 2 2 3 3 2" xfId="22517" xr:uid="{3D8736A2-5BE2-4D24-B143-7EB12644CE2E}"/>
    <cellStyle name="Normal 5 2 4 2 2 3 3 3" xfId="30963" xr:uid="{EE477087-E364-4399-8306-25704147E18D}"/>
    <cellStyle name="Normal 5 2 4 2 2 3 3 4" xfId="14076" xr:uid="{47587C37-19FD-4272-B305-72C80217A483}"/>
    <cellStyle name="Normal 5 2 4 2 2 3 4" xfId="18299" xr:uid="{D0324C46-E470-4B46-AEA8-DDF9D4F38689}"/>
    <cellStyle name="Normal 5 2 4 2 2 3 5" xfId="26744" xr:uid="{004A3603-2405-4661-A780-9B0492D9A9FF}"/>
    <cellStyle name="Normal 5 2 4 2 2 3 6" xfId="9858" xr:uid="{527E31FB-C862-4627-A0A9-126E18841985}"/>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25075" xr:uid="{B6C73D9B-2E85-47AA-AFF1-F050EFDA89C9}"/>
    <cellStyle name="Normal 5 2 4 2 2 4 2 2 3" xfId="33521" xr:uid="{92E967E5-F174-401F-BCD4-7F508B34069C}"/>
    <cellStyle name="Normal 5 2 4 2 2 4 2 2 4" xfId="16634" xr:uid="{082BDE0C-1B25-43DF-8454-BD9484993508}"/>
    <cellStyle name="Normal 5 2 4 2 2 4 2 3" xfId="20857" xr:uid="{999136FE-D880-4B5B-B1B3-23B0AF567A8E}"/>
    <cellStyle name="Normal 5 2 4 2 2 4 2 4" xfId="29304" xr:uid="{936152C0-1C40-4114-BC32-DC437DA57207}"/>
    <cellStyle name="Normal 5 2 4 2 2 4 2 5" xfId="12416" xr:uid="{34F90E1B-86FB-49BA-A46E-4AACD9C84808}"/>
    <cellStyle name="Normal 5 2 4 2 2 4 3" xfId="6047" xr:uid="{00000000-0005-0000-0000-0000E0180000}"/>
    <cellStyle name="Normal 5 2 4 2 2 4 3 2" xfId="22930" xr:uid="{01EFA18B-540A-4825-86A2-437AF53F0E91}"/>
    <cellStyle name="Normal 5 2 4 2 2 4 3 3" xfId="31376" xr:uid="{C1BA157B-9340-4B14-BA31-D86925894D2D}"/>
    <cellStyle name="Normal 5 2 4 2 2 4 3 4" xfId="14489" xr:uid="{9124916C-6375-415A-9EED-2883795598FD}"/>
    <cellStyle name="Normal 5 2 4 2 2 4 4" xfId="18712" xr:uid="{AAA1307A-5B94-4C48-903A-9AE5A9C0132B}"/>
    <cellStyle name="Normal 5 2 4 2 2 4 5" xfId="27157" xr:uid="{F67A7901-CB48-4554-8EE4-86C4493EAA4F}"/>
    <cellStyle name="Normal 5 2 4 2 2 4 6" xfId="10271" xr:uid="{AA6F8A75-224C-4A05-9D62-7BAB01B669E9}"/>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25488" xr:uid="{23C87491-0D85-406D-A083-A6BCE78FA5A5}"/>
    <cellStyle name="Normal 5 2 4 2 2 5 2 2 3" xfId="33934" xr:uid="{F160D18A-5897-4AB9-AD3C-7E435962B21E}"/>
    <cellStyle name="Normal 5 2 4 2 2 5 2 2 4" xfId="17047" xr:uid="{404414DF-F8E4-4CF9-9361-13D9ED1BB62F}"/>
    <cellStyle name="Normal 5 2 4 2 2 5 2 3" xfId="21270" xr:uid="{68FE7EC2-C15C-4246-9F48-3A51495389B4}"/>
    <cellStyle name="Normal 5 2 4 2 2 5 2 4" xfId="29717" xr:uid="{8E7ACD50-120E-49CE-BC7C-3DCE2913716E}"/>
    <cellStyle name="Normal 5 2 4 2 2 5 2 5" xfId="12829" xr:uid="{FD113B45-457F-41D0-993D-5500B25DC83D}"/>
    <cellStyle name="Normal 5 2 4 2 2 5 3" xfId="6460" xr:uid="{00000000-0005-0000-0000-0000E4180000}"/>
    <cellStyle name="Normal 5 2 4 2 2 5 3 2" xfId="23343" xr:uid="{916744A2-9B76-44D4-A3B3-8EDBFE438C31}"/>
    <cellStyle name="Normal 5 2 4 2 2 5 3 3" xfId="31789" xr:uid="{DAF71EA8-DCF1-4C00-9333-F7EC11F5D24A}"/>
    <cellStyle name="Normal 5 2 4 2 2 5 3 4" xfId="14902" xr:uid="{A696BA61-A89D-4305-BAEC-F918764FD443}"/>
    <cellStyle name="Normal 5 2 4 2 2 5 4" xfId="19125" xr:uid="{2B2991FE-4114-4662-8B37-60A5C3A4E72F}"/>
    <cellStyle name="Normal 5 2 4 2 2 5 5" xfId="27570" xr:uid="{9E2E917E-5C00-4965-95C4-D91878C129EC}"/>
    <cellStyle name="Normal 5 2 4 2 2 5 6" xfId="10684" xr:uid="{A8BA65C4-FBEF-40A7-8255-9BF4E3DB7568}"/>
    <cellStyle name="Normal 5 2 4 2 2 6" xfId="2589" xr:uid="{00000000-0005-0000-0000-0000E5180000}"/>
    <cellStyle name="Normal 5 2 4 2 2 6 2" xfId="6873" xr:uid="{00000000-0005-0000-0000-0000E6180000}"/>
    <cellStyle name="Normal 5 2 4 2 2 6 2 2" xfId="23756" xr:uid="{C9E65831-6CE2-48B0-8671-B87A8D61AA18}"/>
    <cellStyle name="Normal 5 2 4 2 2 6 2 3" xfId="32202" xr:uid="{A14A5B25-9F7F-4F46-A573-B20553E88500}"/>
    <cellStyle name="Normal 5 2 4 2 2 6 2 4" xfId="15315" xr:uid="{975E3FB5-8A77-46F6-9AED-862C6CF4058D}"/>
    <cellStyle name="Normal 5 2 4 2 2 6 3" xfId="19538" xr:uid="{311BE6CC-FBB2-4176-94CC-9A3D584A69BA}"/>
    <cellStyle name="Normal 5 2 4 2 2 6 4" xfId="27983" xr:uid="{2E7474E0-46E6-4906-A183-911A390A7A32}"/>
    <cellStyle name="Normal 5 2 4 2 2 6 5" xfId="11097" xr:uid="{BDE4D293-EE5A-4D04-BA23-C639DE234771}"/>
    <cellStyle name="Normal 5 2 4 2 2 7" xfId="4808" xr:uid="{00000000-0005-0000-0000-0000E7180000}"/>
    <cellStyle name="Normal 5 2 4 2 2 7 2" xfId="21691" xr:uid="{62E54B0D-2A17-4BFC-BBFD-F0DDA2F45111}"/>
    <cellStyle name="Normal 5 2 4 2 2 7 3" xfId="30137" xr:uid="{9E1F46BE-7BF0-4B84-A2F6-4BBE8E25F017}"/>
    <cellStyle name="Normal 5 2 4 2 2 7 4" xfId="13250" xr:uid="{21FA250A-F880-4A37-948C-EE8EACE879BC}"/>
    <cellStyle name="Normal 5 2 4 2 2 8" xfId="17473" xr:uid="{17B9B4B9-C708-4676-8F3A-AAD757748CD8}"/>
    <cellStyle name="Normal 5 2 4 2 2 9" xfId="25917" xr:uid="{1D41E5FC-018E-416A-A46F-24D709968680}"/>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24248" xr:uid="{9FAC6805-F5A1-4100-ABED-7ECECB314C93}"/>
    <cellStyle name="Normal 5 2 4 2 3 2 2 3" xfId="32694" xr:uid="{E4DE8BBB-BA9C-4C66-AC0D-C274BCEE394F}"/>
    <cellStyle name="Normal 5 2 4 2 3 2 2 4" xfId="15807" xr:uid="{35126AD6-E623-419B-B23D-A54AB8FE4071}"/>
    <cellStyle name="Normal 5 2 4 2 3 2 3" xfId="20030" xr:uid="{63C2FD24-80A8-4268-8E85-BA0B8EF52220}"/>
    <cellStyle name="Normal 5 2 4 2 3 2 4" xfId="28477" xr:uid="{1C5C0EA1-8D1B-438C-932E-5521175CD57E}"/>
    <cellStyle name="Normal 5 2 4 2 3 2 5" xfId="11589" xr:uid="{5156EE5D-5CF9-457A-9CC2-F464324B109D}"/>
    <cellStyle name="Normal 5 2 4 2 3 3" xfId="5220" xr:uid="{00000000-0005-0000-0000-0000EB180000}"/>
    <cellStyle name="Normal 5 2 4 2 3 3 2" xfId="22103" xr:uid="{780ED787-7EF6-4D4D-8B6C-B9767BD1E819}"/>
    <cellStyle name="Normal 5 2 4 2 3 3 3" xfId="30549" xr:uid="{98A612E3-7E08-48FC-A99C-C0DEDF04A3D7}"/>
    <cellStyle name="Normal 5 2 4 2 3 3 4" xfId="13662" xr:uid="{374BC622-EE24-4933-B3FF-EB42E20156A0}"/>
    <cellStyle name="Normal 5 2 4 2 3 4" xfId="17885" xr:uid="{5750B21E-68A1-487E-81F2-A77E2D6FA708}"/>
    <cellStyle name="Normal 5 2 4 2 3 5" xfId="26330" xr:uid="{F6E480B1-BE85-45AD-9328-BF38FA3930B1}"/>
    <cellStyle name="Normal 5 2 4 2 3 6" xfId="9444" xr:uid="{E7E1EFC6-5E0C-4931-91A5-5EC8A4F8C564}"/>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24661" xr:uid="{FC4B1597-5427-4344-BF89-135D3783D0F3}"/>
    <cellStyle name="Normal 5 2 4 2 4 2 2 3" xfId="33107" xr:uid="{30280ACA-B829-49C8-8D7B-0749C7D1DCC2}"/>
    <cellStyle name="Normal 5 2 4 2 4 2 2 4" xfId="16220" xr:uid="{6AC02CE7-EDB8-4527-985B-31AD7DC56973}"/>
    <cellStyle name="Normal 5 2 4 2 4 2 3" xfId="20443" xr:uid="{7F6FF23D-F797-477B-B1F7-5878990A198B}"/>
    <cellStyle name="Normal 5 2 4 2 4 2 4" xfId="28890" xr:uid="{58205C96-A0B9-413D-B60F-FB1A3CBE46C1}"/>
    <cellStyle name="Normal 5 2 4 2 4 2 5" xfId="12002" xr:uid="{BF278883-1FC2-464A-A4E8-D1EB3A16780C}"/>
    <cellStyle name="Normal 5 2 4 2 4 3" xfId="5633" xr:uid="{00000000-0005-0000-0000-0000EF180000}"/>
    <cellStyle name="Normal 5 2 4 2 4 3 2" xfId="22516" xr:uid="{3DB964F0-ADB2-46AD-BC3E-FDF924378798}"/>
    <cellStyle name="Normal 5 2 4 2 4 3 3" xfId="30962" xr:uid="{0B085D60-9C7F-42C0-A11B-062BFCFDF51F}"/>
    <cellStyle name="Normal 5 2 4 2 4 3 4" xfId="14075" xr:uid="{5CB58989-60BC-492A-934F-FDBE769E9D3B}"/>
    <cellStyle name="Normal 5 2 4 2 4 4" xfId="18298" xr:uid="{39F52C8A-C58D-4C7C-BD71-C605FE19D6A8}"/>
    <cellStyle name="Normal 5 2 4 2 4 5" xfId="26743" xr:uid="{8CDB5A99-5A62-470B-B4BD-AEC021433A7F}"/>
    <cellStyle name="Normal 5 2 4 2 4 6" xfId="9857" xr:uid="{EA6CE520-23E6-4C34-954B-B22D71A269D9}"/>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25074" xr:uid="{4C1C69B0-BE8F-4BB4-BC2B-D22859B68ABE}"/>
    <cellStyle name="Normal 5 2 4 2 5 2 2 3" xfId="33520" xr:uid="{8840B6C1-108D-421D-BDD3-240AA1CD31E0}"/>
    <cellStyle name="Normal 5 2 4 2 5 2 2 4" xfId="16633" xr:uid="{2262F405-3EB4-459A-B809-D92EE834E176}"/>
    <cellStyle name="Normal 5 2 4 2 5 2 3" xfId="20856" xr:uid="{0D5E1065-FE2D-4487-A4BE-8A1BB551998F}"/>
    <cellStyle name="Normal 5 2 4 2 5 2 4" xfId="29303" xr:uid="{A55E1587-A67E-44DB-BEE0-1BF3763A6CE1}"/>
    <cellStyle name="Normal 5 2 4 2 5 2 5" xfId="12415" xr:uid="{0705F474-7F1F-4F8A-ABAA-EFAB12CCAEA5}"/>
    <cellStyle name="Normal 5 2 4 2 5 3" xfId="6046" xr:uid="{00000000-0005-0000-0000-0000F3180000}"/>
    <cellStyle name="Normal 5 2 4 2 5 3 2" xfId="22929" xr:uid="{A06A0B99-704B-4279-A719-FB8B12788687}"/>
    <cellStyle name="Normal 5 2 4 2 5 3 3" xfId="31375" xr:uid="{75CA3327-8100-4266-BCE5-8C7B1701FBCE}"/>
    <cellStyle name="Normal 5 2 4 2 5 3 4" xfId="14488" xr:uid="{3E208A07-3D88-449F-81AB-5031FE10A4C3}"/>
    <cellStyle name="Normal 5 2 4 2 5 4" xfId="18711" xr:uid="{175E43BB-2900-41D5-BD1E-C57A121740E7}"/>
    <cellStyle name="Normal 5 2 4 2 5 5" xfId="27156" xr:uid="{72935872-CA27-4883-8DFB-10C15DD17F29}"/>
    <cellStyle name="Normal 5 2 4 2 5 6" xfId="10270" xr:uid="{913BED1F-0018-424D-8E44-B092B43BDD6A}"/>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25487" xr:uid="{D752825A-D304-4E1C-871A-3B0FD7620F9A}"/>
    <cellStyle name="Normal 5 2 4 2 6 2 2 3" xfId="33933" xr:uid="{6037CC4C-39EB-4AA4-AFA1-FEB6AB11B62E}"/>
    <cellStyle name="Normal 5 2 4 2 6 2 2 4" xfId="17046" xr:uid="{E56EE9BF-7ABC-47A4-9F75-8D1722BF6C2C}"/>
    <cellStyle name="Normal 5 2 4 2 6 2 3" xfId="21269" xr:uid="{A6398E96-28AC-43D4-A170-8B0C42B8519E}"/>
    <cellStyle name="Normal 5 2 4 2 6 2 4" xfId="29716" xr:uid="{7691998A-C60B-4D52-9281-F70B9E6B87D8}"/>
    <cellStyle name="Normal 5 2 4 2 6 2 5" xfId="12828" xr:uid="{5353C3CC-FD09-421E-905D-BC2C467D5FC9}"/>
    <cellStyle name="Normal 5 2 4 2 6 3" xfId="6459" xr:uid="{00000000-0005-0000-0000-0000F7180000}"/>
    <cellStyle name="Normal 5 2 4 2 6 3 2" xfId="23342" xr:uid="{001D5D75-6E95-4942-B0BF-A442629B8ABA}"/>
    <cellStyle name="Normal 5 2 4 2 6 3 3" xfId="31788" xr:uid="{CF7503D7-374C-4441-BA0D-600FDD70BEC9}"/>
    <cellStyle name="Normal 5 2 4 2 6 3 4" xfId="14901" xr:uid="{1A9DD50A-FD3C-41B9-8EF0-DE4835F05980}"/>
    <cellStyle name="Normal 5 2 4 2 6 4" xfId="19124" xr:uid="{13535A48-1DE8-4EEF-A815-B62269DBF47F}"/>
    <cellStyle name="Normal 5 2 4 2 6 5" xfId="27569" xr:uid="{B2CEA167-E0AE-4788-ABB9-4963150D44F3}"/>
    <cellStyle name="Normal 5 2 4 2 6 6" xfId="10683" xr:uid="{45AA487F-0B7B-4E44-B3F1-FF4C19739DCB}"/>
    <cellStyle name="Normal 5 2 4 2 7" xfId="2588" xr:uid="{00000000-0005-0000-0000-0000F8180000}"/>
    <cellStyle name="Normal 5 2 4 2 7 2" xfId="6872" xr:uid="{00000000-0005-0000-0000-0000F9180000}"/>
    <cellStyle name="Normal 5 2 4 2 7 2 2" xfId="23755" xr:uid="{70684AC2-2E3A-44DD-832A-5C79AB55DBB8}"/>
    <cellStyle name="Normal 5 2 4 2 7 2 3" xfId="32201" xr:uid="{562CCFFF-3027-41BE-AA1F-BB9C2D1A47C5}"/>
    <cellStyle name="Normal 5 2 4 2 7 2 4" xfId="15314" xr:uid="{3C0FCA8D-7079-4FF8-AA09-F8C98251B213}"/>
    <cellStyle name="Normal 5 2 4 2 7 3" xfId="19537" xr:uid="{71724726-62F9-4460-9776-B044E061ED02}"/>
    <cellStyle name="Normal 5 2 4 2 7 4" xfId="27982" xr:uid="{C52BD914-4C67-4B5F-8ADF-8293836543D0}"/>
    <cellStyle name="Normal 5 2 4 2 7 5" xfId="11096" xr:uid="{2844BB5C-EA43-46D0-B7B9-3BE4A9BF7EFE}"/>
    <cellStyle name="Normal 5 2 4 2 8" xfId="4807" xr:uid="{00000000-0005-0000-0000-0000FA180000}"/>
    <cellStyle name="Normal 5 2 4 2 8 2" xfId="21690" xr:uid="{EB516321-824C-458A-810E-793DFDF796B7}"/>
    <cellStyle name="Normal 5 2 4 2 8 3" xfId="30136" xr:uid="{5197A057-D873-4F4D-9CFF-6BEDDB8653B4}"/>
    <cellStyle name="Normal 5 2 4 2 8 4" xfId="13249" xr:uid="{AB5BDD74-13C2-4F62-A4F2-13F7368863CA}"/>
    <cellStyle name="Normal 5 2 4 2 9" xfId="17472" xr:uid="{CC7440C4-0038-43ED-AE98-EDBE2DFAF1B8}"/>
    <cellStyle name="Normal 5 2 4 3" xfId="435" xr:uid="{00000000-0005-0000-0000-0000FB180000}"/>
    <cellStyle name="Normal 5 2 4 3 10" xfId="9033" xr:uid="{02BF4D80-DB6D-4069-9D12-5A221DF13EA6}"/>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24250" xr:uid="{AD5EAA7B-9A7B-4199-A477-62FC54A599D2}"/>
    <cellStyle name="Normal 5 2 4 3 2 2 2 3" xfId="32696" xr:uid="{2A88538D-43AE-487E-94D3-48533B5F1971}"/>
    <cellStyle name="Normal 5 2 4 3 2 2 2 4" xfId="15809" xr:uid="{31C78128-9107-4C55-9B65-C0E3804DA36B}"/>
    <cellStyle name="Normal 5 2 4 3 2 2 3" xfId="20032" xr:uid="{BC1E1F28-966E-4730-851A-2DEC7DA506BC}"/>
    <cellStyle name="Normal 5 2 4 3 2 2 4" xfId="28479" xr:uid="{446D7C75-72CD-43EE-ACF4-1B5660931355}"/>
    <cellStyle name="Normal 5 2 4 3 2 2 5" xfId="11591" xr:uid="{09BC7CA4-D223-4765-AA1F-A917C1DCF9DF}"/>
    <cellStyle name="Normal 5 2 4 3 2 3" xfId="5222" xr:uid="{00000000-0005-0000-0000-0000FF180000}"/>
    <cellStyle name="Normal 5 2 4 3 2 3 2" xfId="22105" xr:uid="{1521F30C-8D32-4AC2-829B-C4CE08C33D61}"/>
    <cellStyle name="Normal 5 2 4 3 2 3 3" xfId="30551" xr:uid="{60C0B545-4F70-4949-AE67-ACFC85CE3126}"/>
    <cellStyle name="Normal 5 2 4 3 2 3 4" xfId="13664" xr:uid="{C0CCD6B4-2949-45BB-A309-B28C655C5C0A}"/>
    <cellStyle name="Normal 5 2 4 3 2 4" xfId="17887" xr:uid="{27049C95-8A2F-4BF9-8B17-CF00476CFECD}"/>
    <cellStyle name="Normal 5 2 4 3 2 5" xfId="26332" xr:uid="{D0FFD1E9-DB6C-4062-B60C-985DD7CD5B1E}"/>
    <cellStyle name="Normal 5 2 4 3 2 6" xfId="9446" xr:uid="{E8DC2741-446C-407C-82B3-BDA27079863A}"/>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24663" xr:uid="{89176F33-38C2-4099-8C6A-9BA9D033288B}"/>
    <cellStyle name="Normal 5 2 4 3 3 2 2 3" xfId="33109" xr:uid="{E9557899-5B02-4DA8-A758-B21C70A3E697}"/>
    <cellStyle name="Normal 5 2 4 3 3 2 2 4" xfId="16222" xr:uid="{B301A409-5D74-4333-BC8D-1580D1DFECBB}"/>
    <cellStyle name="Normal 5 2 4 3 3 2 3" xfId="20445" xr:uid="{AD96F9AB-360A-443C-8DBB-C4455A7AC4AA}"/>
    <cellStyle name="Normal 5 2 4 3 3 2 4" xfId="28892" xr:uid="{D25B7A51-7C16-4D9A-B964-3E0B2447C465}"/>
    <cellStyle name="Normal 5 2 4 3 3 2 5" xfId="12004" xr:uid="{9B27F94A-7AAA-4364-8FE2-A8EB01F69744}"/>
    <cellStyle name="Normal 5 2 4 3 3 3" xfId="5635" xr:uid="{00000000-0005-0000-0000-000003190000}"/>
    <cellStyle name="Normal 5 2 4 3 3 3 2" xfId="22518" xr:uid="{3800F4A2-BA9A-40B2-A283-2057C3BBE319}"/>
    <cellStyle name="Normal 5 2 4 3 3 3 3" xfId="30964" xr:uid="{0ED2101F-A5E2-4044-ADE9-42E9B74301B5}"/>
    <cellStyle name="Normal 5 2 4 3 3 3 4" xfId="14077" xr:uid="{C02C06B2-DA28-446F-AFFB-E3DD86C9EBD5}"/>
    <cellStyle name="Normal 5 2 4 3 3 4" xfId="18300" xr:uid="{33B08C81-48F3-411A-AB15-835BCE3F09F8}"/>
    <cellStyle name="Normal 5 2 4 3 3 5" xfId="26745" xr:uid="{FC85F39B-D32E-4E26-86A4-2F371D146CA3}"/>
    <cellStyle name="Normal 5 2 4 3 3 6" xfId="9859" xr:uid="{E821BCCA-1E2F-47F6-B281-EF4B17810D26}"/>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25076" xr:uid="{2315C7BB-E131-453A-AE3C-88364F0897C0}"/>
    <cellStyle name="Normal 5 2 4 3 4 2 2 3" xfId="33522" xr:uid="{34B4DBCE-23B8-42CD-8161-E63788F0F64E}"/>
    <cellStyle name="Normal 5 2 4 3 4 2 2 4" xfId="16635" xr:uid="{D0812F87-C7E0-4EB8-93F0-CA8C0E22B72A}"/>
    <cellStyle name="Normal 5 2 4 3 4 2 3" xfId="20858" xr:uid="{66616071-60D7-43E9-8724-10BEB7845BBC}"/>
    <cellStyle name="Normal 5 2 4 3 4 2 4" xfId="29305" xr:uid="{88BE1A5A-6BB4-44A6-8AD5-03E966B32CD9}"/>
    <cellStyle name="Normal 5 2 4 3 4 2 5" xfId="12417" xr:uid="{8094C4D0-D932-4B95-9D1A-2BBE7F53ECA3}"/>
    <cellStyle name="Normal 5 2 4 3 4 3" xfId="6048" xr:uid="{00000000-0005-0000-0000-000007190000}"/>
    <cellStyle name="Normal 5 2 4 3 4 3 2" xfId="22931" xr:uid="{A869DD2B-DDED-485E-8705-5733C510B89D}"/>
    <cellStyle name="Normal 5 2 4 3 4 3 3" xfId="31377" xr:uid="{27DF84ED-FC9F-4DC2-91F4-7B8F7437941D}"/>
    <cellStyle name="Normal 5 2 4 3 4 3 4" xfId="14490" xr:uid="{4CCA7F64-620E-4B9E-8334-79B237BCF084}"/>
    <cellStyle name="Normal 5 2 4 3 4 4" xfId="18713" xr:uid="{52B4DF93-1888-47AA-8BCB-346F5F1E1F05}"/>
    <cellStyle name="Normal 5 2 4 3 4 5" xfId="27158" xr:uid="{5BD3F078-171D-4A2F-8E89-EE2316539C4C}"/>
    <cellStyle name="Normal 5 2 4 3 4 6" xfId="10272" xr:uid="{E2409988-E920-4099-855B-18E9CF250FBC}"/>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25489" xr:uid="{6ECE8926-4934-4546-90D7-C019F70D50B5}"/>
    <cellStyle name="Normal 5 2 4 3 5 2 2 3" xfId="33935" xr:uid="{887DD7E3-9B12-4A3C-B448-1E1A0231D92F}"/>
    <cellStyle name="Normal 5 2 4 3 5 2 2 4" xfId="17048" xr:uid="{60D3A9A5-B846-4417-B17A-BB3AAF4FDC0B}"/>
    <cellStyle name="Normal 5 2 4 3 5 2 3" xfId="21271" xr:uid="{1B3F3726-FF22-49A4-89FA-4D5AAD218F29}"/>
    <cellStyle name="Normal 5 2 4 3 5 2 4" xfId="29718" xr:uid="{99F2C6F0-81DB-40BF-A233-A86C2D15C42A}"/>
    <cellStyle name="Normal 5 2 4 3 5 2 5" xfId="12830" xr:uid="{DF23B85F-99F5-4E29-A3CB-5414FE7B16B2}"/>
    <cellStyle name="Normal 5 2 4 3 5 3" xfId="6461" xr:uid="{00000000-0005-0000-0000-00000B190000}"/>
    <cellStyle name="Normal 5 2 4 3 5 3 2" xfId="23344" xr:uid="{7717E98F-2730-41F4-904B-A62E42F0BDE2}"/>
    <cellStyle name="Normal 5 2 4 3 5 3 3" xfId="31790" xr:uid="{F2661D49-1939-4481-8936-64CF295B4AF3}"/>
    <cellStyle name="Normal 5 2 4 3 5 3 4" xfId="14903" xr:uid="{50588F4B-09FF-4E8C-B1D2-6ED1ACE8DD87}"/>
    <cellStyle name="Normal 5 2 4 3 5 4" xfId="19126" xr:uid="{F8948D87-7349-49E5-B5ED-593C221A3249}"/>
    <cellStyle name="Normal 5 2 4 3 5 5" xfId="27571" xr:uid="{63A8514A-7C80-4222-9DFA-9F9FEA4A1B68}"/>
    <cellStyle name="Normal 5 2 4 3 5 6" xfId="10685" xr:uid="{56C4918C-9E1B-4264-9D34-69B69357975A}"/>
    <cellStyle name="Normal 5 2 4 3 6" xfId="2590" xr:uid="{00000000-0005-0000-0000-00000C190000}"/>
    <cellStyle name="Normal 5 2 4 3 6 2" xfId="6874" xr:uid="{00000000-0005-0000-0000-00000D190000}"/>
    <cellStyle name="Normal 5 2 4 3 6 2 2" xfId="23757" xr:uid="{376E94BB-E2DA-41A5-BA39-FC4A628790DB}"/>
    <cellStyle name="Normal 5 2 4 3 6 2 3" xfId="32203" xr:uid="{70052915-064A-4F9D-A574-C133B174D5B4}"/>
    <cellStyle name="Normal 5 2 4 3 6 2 4" xfId="15316" xr:uid="{BA7CAF42-8F6B-4C25-91B7-D65696680B5D}"/>
    <cellStyle name="Normal 5 2 4 3 6 3" xfId="19539" xr:uid="{CA0EE2E0-3E47-460F-BB8E-0DE127A86D1D}"/>
    <cellStyle name="Normal 5 2 4 3 6 4" xfId="27984" xr:uid="{2EEA02F8-AF5C-4CA8-939A-0C01E0C5B49C}"/>
    <cellStyle name="Normal 5 2 4 3 6 5" xfId="11098" xr:uid="{06E51585-2700-4B46-B950-336AEA14DAE4}"/>
    <cellStyle name="Normal 5 2 4 3 7" xfId="4809" xr:uid="{00000000-0005-0000-0000-00000E190000}"/>
    <cellStyle name="Normal 5 2 4 3 7 2" xfId="21692" xr:uid="{F0CA2711-CCB4-4A81-8748-CB745553AE80}"/>
    <cellStyle name="Normal 5 2 4 3 7 3" xfId="30138" xr:uid="{92CBDD0B-D6D2-4250-B569-E2078E1575B3}"/>
    <cellStyle name="Normal 5 2 4 3 7 4" xfId="13251" xr:uid="{E57DF642-A9C2-440C-9107-8023E66D9638}"/>
    <cellStyle name="Normal 5 2 4 3 8" xfId="17474" xr:uid="{5A0830D2-E913-4179-B569-8E84D95EA2F8}"/>
    <cellStyle name="Normal 5 2 4 3 9" xfId="25918" xr:uid="{04B91032-D40D-423C-9AAA-A6CA0303A355}"/>
    <cellStyle name="Normal 5 2 4 4" xfId="906" xr:uid="{00000000-0005-0000-0000-00000F190000}"/>
    <cellStyle name="Normal 5 2 4 4 2" xfId="3141" xr:uid="{00000000-0005-0000-0000-000010190000}"/>
    <cellStyle name="Normal 5 2 4 4 2 2" xfId="7364" xr:uid="{00000000-0005-0000-0000-000011190000}"/>
    <cellStyle name="Normal 5 2 4 4 2 2 2" xfId="24247" xr:uid="{5EFAA5EC-F37D-4233-BDBE-40B42E70B598}"/>
    <cellStyle name="Normal 5 2 4 4 2 2 3" xfId="32693" xr:uid="{8154C6E3-681E-4CA3-88A8-AC880CFBE861}"/>
    <cellStyle name="Normal 5 2 4 4 2 2 4" xfId="15806" xr:uid="{3F6B756D-76F8-4F2A-B4E7-8083C07DE2CF}"/>
    <cellStyle name="Normal 5 2 4 4 2 3" xfId="20029" xr:uid="{988C615E-66FA-47A8-8FE6-B62C312EEFEF}"/>
    <cellStyle name="Normal 5 2 4 4 2 4" xfId="28476" xr:uid="{7978DFC7-AB8B-405C-A7F1-EF60209A14FE}"/>
    <cellStyle name="Normal 5 2 4 4 2 5" xfId="11588" xr:uid="{4FC712B7-90F1-452F-A915-9784AA9CB14F}"/>
    <cellStyle name="Normal 5 2 4 4 3" xfId="5219" xr:uid="{00000000-0005-0000-0000-000012190000}"/>
    <cellStyle name="Normal 5 2 4 4 3 2" xfId="22102" xr:uid="{AA81EEAC-FA8E-4A0D-9E14-9E3A30261B37}"/>
    <cellStyle name="Normal 5 2 4 4 3 3" xfId="30548" xr:uid="{1E51DA76-65FF-47C9-88E4-D1A6A23DDCBA}"/>
    <cellStyle name="Normal 5 2 4 4 3 4" xfId="13661" xr:uid="{DFF3B83B-E11B-497D-AB72-A8D1E9A8440A}"/>
    <cellStyle name="Normal 5 2 4 4 4" xfId="17884" xr:uid="{39D49C3B-FDB8-4A61-859C-660E6E80218E}"/>
    <cellStyle name="Normal 5 2 4 4 5" xfId="26329" xr:uid="{B42D328D-15EC-4656-82D7-8C2D363D1F0E}"/>
    <cellStyle name="Normal 5 2 4 4 6" xfId="9443" xr:uid="{81C08C59-C7D9-4651-880C-13A1F28E8B74}"/>
    <cellStyle name="Normal 5 2 4 5" xfId="1324" xr:uid="{00000000-0005-0000-0000-000013190000}"/>
    <cellStyle name="Normal 5 2 4 5 2" xfId="3554" xr:uid="{00000000-0005-0000-0000-000014190000}"/>
    <cellStyle name="Normal 5 2 4 5 2 2" xfId="7777" xr:uid="{00000000-0005-0000-0000-000015190000}"/>
    <cellStyle name="Normal 5 2 4 5 2 2 2" xfId="24660" xr:uid="{22437894-283F-4569-99C6-3E4FDEFBCA05}"/>
    <cellStyle name="Normal 5 2 4 5 2 2 3" xfId="33106" xr:uid="{DC529B14-D66D-4F57-84AD-7DB6EFFA785A}"/>
    <cellStyle name="Normal 5 2 4 5 2 2 4" xfId="16219" xr:uid="{72CA66DC-67C5-48B7-8B11-964290C66711}"/>
    <cellStyle name="Normal 5 2 4 5 2 3" xfId="20442" xr:uid="{13AA5CC6-ED84-43EB-938E-7AEA45E9767A}"/>
    <cellStyle name="Normal 5 2 4 5 2 4" xfId="28889" xr:uid="{64FA5B1D-288B-493A-B7A5-8DD4BA850112}"/>
    <cellStyle name="Normal 5 2 4 5 2 5" xfId="12001" xr:uid="{D51932A0-E4D7-4113-AB36-FD4D7581DFD0}"/>
    <cellStyle name="Normal 5 2 4 5 3" xfId="5632" xr:uid="{00000000-0005-0000-0000-000016190000}"/>
    <cellStyle name="Normal 5 2 4 5 3 2" xfId="22515" xr:uid="{E29E6141-5C97-490D-86BF-89D52D5B031F}"/>
    <cellStyle name="Normal 5 2 4 5 3 3" xfId="30961" xr:uid="{42C0ECB9-BAC2-49B6-A7A4-86D9FE4EA3B7}"/>
    <cellStyle name="Normal 5 2 4 5 3 4" xfId="14074" xr:uid="{2865534A-2DE4-449D-A2F5-50C4597D1D38}"/>
    <cellStyle name="Normal 5 2 4 5 4" xfId="18297" xr:uid="{6FB3FDB5-C3F0-4630-A97C-3AB20AE2B9A3}"/>
    <cellStyle name="Normal 5 2 4 5 5" xfId="26742" xr:uid="{A4D428BF-D123-495F-A018-4BF06BEFFE65}"/>
    <cellStyle name="Normal 5 2 4 5 6" xfId="9856" xr:uid="{52F57DCA-D78B-4510-AF2C-09C6F8F05427}"/>
    <cellStyle name="Normal 5 2 4 6" xfId="1737" xr:uid="{00000000-0005-0000-0000-000017190000}"/>
    <cellStyle name="Normal 5 2 4 6 2" xfId="3967" xr:uid="{00000000-0005-0000-0000-000018190000}"/>
    <cellStyle name="Normal 5 2 4 6 2 2" xfId="8190" xr:uid="{00000000-0005-0000-0000-000019190000}"/>
    <cellStyle name="Normal 5 2 4 6 2 2 2" xfId="25073" xr:uid="{2F30162C-F060-4414-B386-F192752E7CB1}"/>
    <cellStyle name="Normal 5 2 4 6 2 2 3" xfId="33519" xr:uid="{F4A43F61-A097-488F-9FC7-3B7870ED7765}"/>
    <cellStyle name="Normal 5 2 4 6 2 2 4" xfId="16632" xr:uid="{4073D879-65BA-49BE-9565-AAF052045CDA}"/>
    <cellStyle name="Normal 5 2 4 6 2 3" xfId="20855" xr:uid="{ADAAD4A8-2D1B-4270-8273-18869BA7A14F}"/>
    <cellStyle name="Normal 5 2 4 6 2 4" xfId="29302" xr:uid="{0A4EA057-C1BE-420F-806E-EAAD278268B3}"/>
    <cellStyle name="Normal 5 2 4 6 2 5" xfId="12414" xr:uid="{3236B245-E3E0-48D6-9EEB-E1B5B5D2DC44}"/>
    <cellStyle name="Normal 5 2 4 6 3" xfId="6045" xr:uid="{00000000-0005-0000-0000-00001A190000}"/>
    <cellStyle name="Normal 5 2 4 6 3 2" xfId="22928" xr:uid="{5EC38F93-F745-4FA7-8B27-AC01D537DFF5}"/>
    <cellStyle name="Normal 5 2 4 6 3 3" xfId="31374" xr:uid="{619990A6-E8D5-4659-A228-2765ADFB77C6}"/>
    <cellStyle name="Normal 5 2 4 6 3 4" xfId="14487" xr:uid="{6846E06E-96E2-451A-9A48-6E8EFB394EAE}"/>
    <cellStyle name="Normal 5 2 4 6 4" xfId="18710" xr:uid="{493DF661-8B94-4BA0-B381-A098FB4FF8EC}"/>
    <cellStyle name="Normal 5 2 4 6 5" xfId="27155" xr:uid="{4ED2EBB6-B301-4295-AE30-DE1329066DC4}"/>
    <cellStyle name="Normal 5 2 4 6 6" xfId="10269" xr:uid="{BBA3DA0E-CC48-4DF4-B539-BC1E22928E9B}"/>
    <cellStyle name="Normal 5 2 4 7" xfId="2151" xr:uid="{00000000-0005-0000-0000-00001B190000}"/>
    <cellStyle name="Normal 5 2 4 7 2" xfId="4380" xr:uid="{00000000-0005-0000-0000-00001C190000}"/>
    <cellStyle name="Normal 5 2 4 7 2 2" xfId="8603" xr:uid="{00000000-0005-0000-0000-00001D190000}"/>
    <cellStyle name="Normal 5 2 4 7 2 2 2" xfId="25486" xr:uid="{B5C46C48-20C2-4635-8757-7BB015FA8BB9}"/>
    <cellStyle name="Normal 5 2 4 7 2 2 3" xfId="33932" xr:uid="{98097429-7B1A-485B-8DA6-F6660AEBEEE8}"/>
    <cellStyle name="Normal 5 2 4 7 2 2 4" xfId="17045" xr:uid="{0EB9A7E9-EE60-4FBF-9ECE-2A19895F7109}"/>
    <cellStyle name="Normal 5 2 4 7 2 3" xfId="21268" xr:uid="{68023C7D-6B0B-4866-A93C-637C637CDCE5}"/>
    <cellStyle name="Normal 5 2 4 7 2 4" xfId="29715" xr:uid="{568E0AC5-1365-4137-A633-0BC8940FCDB2}"/>
    <cellStyle name="Normal 5 2 4 7 2 5" xfId="12827" xr:uid="{D4298F2A-3174-4EA6-ACD8-5C97AA182E74}"/>
    <cellStyle name="Normal 5 2 4 7 3" xfId="6458" xr:uid="{00000000-0005-0000-0000-00001E190000}"/>
    <cellStyle name="Normal 5 2 4 7 3 2" xfId="23341" xr:uid="{1D9A0984-8D41-4C14-8F47-1E4C55812A6B}"/>
    <cellStyle name="Normal 5 2 4 7 3 3" xfId="31787" xr:uid="{159576F8-64F2-448F-9A2B-A7D3A5A3594C}"/>
    <cellStyle name="Normal 5 2 4 7 3 4" xfId="14900" xr:uid="{E541C2F8-1645-49E0-8F48-42557404E39E}"/>
    <cellStyle name="Normal 5 2 4 7 4" xfId="19123" xr:uid="{4996BE53-8BB5-41F7-A83B-FDADAB96ECF2}"/>
    <cellStyle name="Normal 5 2 4 7 5" xfId="27568" xr:uid="{1F6AD1BA-7335-448F-8756-8D7481A1EA58}"/>
    <cellStyle name="Normal 5 2 4 7 6" xfId="10682" xr:uid="{BF0E80EA-B68E-46E1-A0DC-4A2A2FF86034}"/>
    <cellStyle name="Normal 5 2 4 8" xfId="2587" xr:uid="{00000000-0005-0000-0000-00001F190000}"/>
    <cellStyle name="Normal 5 2 4 8 2" xfId="6871" xr:uid="{00000000-0005-0000-0000-000020190000}"/>
    <cellStyle name="Normal 5 2 4 8 2 2" xfId="23754" xr:uid="{2C3B9D7C-D816-496C-9A6F-003C115CE56E}"/>
    <cellStyle name="Normal 5 2 4 8 2 3" xfId="32200" xr:uid="{CD8D58CF-DF61-4735-ADBB-15D322484002}"/>
    <cellStyle name="Normal 5 2 4 8 2 4" xfId="15313" xr:uid="{6F71EB12-274B-4DDC-A608-C76496214F04}"/>
    <cellStyle name="Normal 5 2 4 8 3" xfId="19536" xr:uid="{006FE1AC-E28B-4413-8F96-04195AFF2B75}"/>
    <cellStyle name="Normal 5 2 4 8 4" xfId="27981" xr:uid="{93084594-E310-4B7B-8618-0AD69004F0D1}"/>
    <cellStyle name="Normal 5 2 4 8 5" xfId="11095" xr:uid="{1EE844F2-3F69-4D00-B1E2-39F67B6472A6}"/>
    <cellStyle name="Normal 5 2 4 9" xfId="4806" xr:uid="{00000000-0005-0000-0000-000021190000}"/>
    <cellStyle name="Normal 5 2 4 9 2" xfId="21689" xr:uid="{0D66DA86-89D7-43E5-950C-92EEC7F93507}"/>
    <cellStyle name="Normal 5 2 4 9 3" xfId="30135" xr:uid="{E6608CF1-643D-4F1C-9806-41F240DE3DBF}"/>
    <cellStyle name="Normal 5 2 4 9 4" xfId="13248" xr:uid="{F33CFF75-1493-4272-ACE2-A0A0F47B1432}"/>
    <cellStyle name="Normal 5 2 5" xfId="436" xr:uid="{00000000-0005-0000-0000-000022190000}"/>
    <cellStyle name="Normal 5 2 5 10" xfId="25919" xr:uid="{7D4A7BA7-A1EB-4EB1-BCDC-A9557C568A6B}"/>
    <cellStyle name="Normal 5 2 5 11" xfId="9034" xr:uid="{ACE3ED09-4CCC-4F32-9EB7-5F9611FF26D7}"/>
    <cellStyle name="Normal 5 2 5 2" xfId="437" xr:uid="{00000000-0005-0000-0000-000023190000}"/>
    <cellStyle name="Normal 5 2 5 2 10" xfId="9035" xr:uid="{45D06DFD-E429-4ECA-B50F-33EA2795A012}"/>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24252" xr:uid="{102FE34E-50D1-4870-91AC-5005DBECF8E5}"/>
    <cellStyle name="Normal 5 2 5 2 2 2 2 3" xfId="32698" xr:uid="{2692FDD7-63DE-4155-8EF6-1688825D517B}"/>
    <cellStyle name="Normal 5 2 5 2 2 2 2 4" xfId="15811" xr:uid="{34E20447-4523-4CE3-A2B4-29765284106B}"/>
    <cellStyle name="Normal 5 2 5 2 2 2 3" xfId="20034" xr:uid="{0811F08F-8FBA-4474-9449-0C26FBCDE1A6}"/>
    <cellStyle name="Normal 5 2 5 2 2 2 4" xfId="28481" xr:uid="{34BD7FF8-2445-4573-B905-57655E8D1B86}"/>
    <cellStyle name="Normal 5 2 5 2 2 2 5" xfId="11593" xr:uid="{4856735A-AA29-4684-B98C-58C3C7240592}"/>
    <cellStyle name="Normal 5 2 5 2 2 3" xfId="5224" xr:uid="{00000000-0005-0000-0000-000027190000}"/>
    <cellStyle name="Normal 5 2 5 2 2 3 2" xfId="22107" xr:uid="{D9874518-4EE1-49D2-A5E2-E8FBD2DA63A1}"/>
    <cellStyle name="Normal 5 2 5 2 2 3 3" xfId="30553" xr:uid="{20BBB17D-8085-4F47-80C4-5A546002867D}"/>
    <cellStyle name="Normal 5 2 5 2 2 3 4" xfId="13666" xr:uid="{EFDE0727-6F82-4EA9-8696-F6FD54EA6A05}"/>
    <cellStyle name="Normal 5 2 5 2 2 4" xfId="17889" xr:uid="{2DF69494-84F4-49D0-92C3-E9F001BCD5A1}"/>
    <cellStyle name="Normal 5 2 5 2 2 5" xfId="26334" xr:uid="{0A90ED9A-204A-40F7-86FF-637D2384278F}"/>
    <cellStyle name="Normal 5 2 5 2 2 6" xfId="9448" xr:uid="{69020510-984D-4928-B5CE-83CF2EE9ECC3}"/>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24665" xr:uid="{13C70B86-4ACF-456B-8815-44F86B9214A6}"/>
    <cellStyle name="Normal 5 2 5 2 3 2 2 3" xfId="33111" xr:uid="{2B7A8042-C9FB-47EF-B3AC-C3E97CA3AEA0}"/>
    <cellStyle name="Normal 5 2 5 2 3 2 2 4" xfId="16224" xr:uid="{B141A5CD-E845-45C1-9558-036311569E3E}"/>
    <cellStyle name="Normal 5 2 5 2 3 2 3" xfId="20447" xr:uid="{EFE96D66-F7F8-4863-8D4B-A64A26A2FC49}"/>
    <cellStyle name="Normal 5 2 5 2 3 2 4" xfId="28894" xr:uid="{2D0D4944-C89E-48C8-96E5-620AE35D3363}"/>
    <cellStyle name="Normal 5 2 5 2 3 2 5" xfId="12006" xr:uid="{7D6A170A-4A1D-4407-AD9B-7F29F1E2DAB9}"/>
    <cellStyle name="Normal 5 2 5 2 3 3" xfId="5637" xr:uid="{00000000-0005-0000-0000-00002B190000}"/>
    <cellStyle name="Normal 5 2 5 2 3 3 2" xfId="22520" xr:uid="{954364F9-8D80-4616-B969-F2DE2F0D8CEE}"/>
    <cellStyle name="Normal 5 2 5 2 3 3 3" xfId="30966" xr:uid="{61CBDE5B-40FD-47D8-8BE1-22CC372B292B}"/>
    <cellStyle name="Normal 5 2 5 2 3 3 4" xfId="14079" xr:uid="{AE27BEB5-B54B-448D-A7FE-B78F9796D314}"/>
    <cellStyle name="Normal 5 2 5 2 3 4" xfId="18302" xr:uid="{A185D0D1-9CE9-47D8-8F3C-08BF1B2B07FB}"/>
    <cellStyle name="Normal 5 2 5 2 3 5" xfId="26747" xr:uid="{7674D8DC-19CF-4536-995A-BC72F9E934AA}"/>
    <cellStyle name="Normal 5 2 5 2 3 6" xfId="9861" xr:uid="{DADF868F-DD0A-4955-83D2-584FAFB73570}"/>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25078" xr:uid="{D0EC1DE7-8FA6-4E05-B281-E7F522444D08}"/>
    <cellStyle name="Normal 5 2 5 2 4 2 2 3" xfId="33524" xr:uid="{0F67D97B-8B96-4F39-AE24-14EDF8C251B9}"/>
    <cellStyle name="Normal 5 2 5 2 4 2 2 4" xfId="16637" xr:uid="{92E76804-1CE8-4F26-B546-C6C313C04585}"/>
    <cellStyle name="Normal 5 2 5 2 4 2 3" xfId="20860" xr:uid="{4DDBB062-B282-4AD5-83FA-B01B3001AF04}"/>
    <cellStyle name="Normal 5 2 5 2 4 2 4" xfId="29307" xr:uid="{8DBD2D03-9F1D-4C92-A731-B7E037FEBDA2}"/>
    <cellStyle name="Normal 5 2 5 2 4 2 5" xfId="12419" xr:uid="{7570BEAF-3FB9-4BC7-A512-2B1522FB2FCB}"/>
    <cellStyle name="Normal 5 2 5 2 4 3" xfId="6050" xr:uid="{00000000-0005-0000-0000-00002F190000}"/>
    <cellStyle name="Normal 5 2 5 2 4 3 2" xfId="22933" xr:uid="{BFD21E27-E63A-44C1-8327-F25EA420556C}"/>
    <cellStyle name="Normal 5 2 5 2 4 3 3" xfId="31379" xr:uid="{BE849CD2-0E2B-47AF-A2AD-9589E222818E}"/>
    <cellStyle name="Normal 5 2 5 2 4 3 4" xfId="14492" xr:uid="{F54F8C0A-AB3F-4FF6-879F-95B7178D4964}"/>
    <cellStyle name="Normal 5 2 5 2 4 4" xfId="18715" xr:uid="{E5192AFF-24FC-49CA-ABDF-DFA69F8C8960}"/>
    <cellStyle name="Normal 5 2 5 2 4 5" xfId="27160" xr:uid="{EA015E16-DECC-40F5-852B-41C074AC551D}"/>
    <cellStyle name="Normal 5 2 5 2 4 6" xfId="10274" xr:uid="{0FAF3466-F645-451A-B780-96CF96313BC5}"/>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25491" xr:uid="{C95A4C88-BB18-4D9A-A2DB-267C68828311}"/>
    <cellStyle name="Normal 5 2 5 2 5 2 2 3" xfId="33937" xr:uid="{E602DA87-1746-42FF-A02E-AF4DCF282EA2}"/>
    <cellStyle name="Normal 5 2 5 2 5 2 2 4" xfId="17050" xr:uid="{D45F9BD5-3DA5-40CB-BE7B-6C2669CF54EE}"/>
    <cellStyle name="Normal 5 2 5 2 5 2 3" xfId="21273" xr:uid="{93F18C78-B1FF-498F-BBEA-839F0C08846B}"/>
    <cellStyle name="Normal 5 2 5 2 5 2 4" xfId="29720" xr:uid="{59E19DD1-30DF-4467-A1E7-07C5325524D0}"/>
    <cellStyle name="Normal 5 2 5 2 5 2 5" xfId="12832" xr:uid="{FD20387F-422B-4EF4-BD9B-36A61358B0AD}"/>
    <cellStyle name="Normal 5 2 5 2 5 3" xfId="6463" xr:uid="{00000000-0005-0000-0000-000033190000}"/>
    <cellStyle name="Normal 5 2 5 2 5 3 2" xfId="23346" xr:uid="{338682BE-ADFC-408E-B746-A67D19F19E54}"/>
    <cellStyle name="Normal 5 2 5 2 5 3 3" xfId="31792" xr:uid="{A78CB138-AA64-4ED8-B409-6FC018BBB4E8}"/>
    <cellStyle name="Normal 5 2 5 2 5 3 4" xfId="14905" xr:uid="{29062880-458E-4CDC-BAF9-23717FD04019}"/>
    <cellStyle name="Normal 5 2 5 2 5 4" xfId="19128" xr:uid="{62451A94-4DFA-49ED-8733-EFF8A2C12B40}"/>
    <cellStyle name="Normal 5 2 5 2 5 5" xfId="27573" xr:uid="{8200EFE6-CAFF-48D6-BAEB-5F2E2B0F66B9}"/>
    <cellStyle name="Normal 5 2 5 2 5 6" xfId="10687" xr:uid="{B77F2376-DDAD-4CC3-9D1D-5FC0858336EE}"/>
    <cellStyle name="Normal 5 2 5 2 6" xfId="2592" xr:uid="{00000000-0005-0000-0000-000034190000}"/>
    <cellStyle name="Normal 5 2 5 2 6 2" xfId="6876" xr:uid="{00000000-0005-0000-0000-000035190000}"/>
    <cellStyle name="Normal 5 2 5 2 6 2 2" xfId="23759" xr:uid="{3537AB65-E50F-4C60-A993-F201FBC451EB}"/>
    <cellStyle name="Normal 5 2 5 2 6 2 3" xfId="32205" xr:uid="{1FF5A35E-D362-40F8-B72B-149134CEA614}"/>
    <cellStyle name="Normal 5 2 5 2 6 2 4" xfId="15318" xr:uid="{E12AC817-9791-4569-89F7-03D73B981053}"/>
    <cellStyle name="Normal 5 2 5 2 6 3" xfId="19541" xr:uid="{3C2046D8-267F-44A7-B052-8C392EAC9B17}"/>
    <cellStyle name="Normal 5 2 5 2 6 4" xfId="27986" xr:uid="{404DC47A-EB39-4762-8824-3DFA517461D8}"/>
    <cellStyle name="Normal 5 2 5 2 6 5" xfId="11100" xr:uid="{39AC87B9-87E7-49B1-A1F2-BA3A822FD535}"/>
    <cellStyle name="Normal 5 2 5 2 7" xfId="4811" xr:uid="{00000000-0005-0000-0000-000036190000}"/>
    <cellStyle name="Normal 5 2 5 2 7 2" xfId="21694" xr:uid="{C3F28AB1-342B-4B0E-9491-D996D7EAF2FA}"/>
    <cellStyle name="Normal 5 2 5 2 7 3" xfId="30140" xr:uid="{CFE47CDA-C903-48CA-BD08-0295C432B117}"/>
    <cellStyle name="Normal 5 2 5 2 7 4" xfId="13253" xr:uid="{CE1F3DE9-5FBA-432F-ADCD-32B0EEA91FFD}"/>
    <cellStyle name="Normal 5 2 5 2 8" xfId="17476" xr:uid="{6F5AFA39-CB2C-476D-B2BB-78B8A0326690}"/>
    <cellStyle name="Normal 5 2 5 2 9" xfId="25920" xr:uid="{831D2D28-3A76-4EEF-A698-AC6C9AB18B99}"/>
    <cellStyle name="Normal 5 2 5 3" xfId="910" xr:uid="{00000000-0005-0000-0000-000037190000}"/>
    <cellStyle name="Normal 5 2 5 3 2" xfId="3145" xr:uid="{00000000-0005-0000-0000-000038190000}"/>
    <cellStyle name="Normal 5 2 5 3 2 2" xfId="7368" xr:uid="{00000000-0005-0000-0000-000039190000}"/>
    <cellStyle name="Normal 5 2 5 3 2 2 2" xfId="24251" xr:uid="{6FBE1EA8-BBFE-4A7C-899F-A1FA45B9A98C}"/>
    <cellStyle name="Normal 5 2 5 3 2 2 3" xfId="32697" xr:uid="{118AFDF2-8BFA-4A8A-A193-49BD2CE5D4F5}"/>
    <cellStyle name="Normal 5 2 5 3 2 2 4" xfId="15810" xr:uid="{CA282F42-7B75-4850-945C-81E88F984A96}"/>
    <cellStyle name="Normal 5 2 5 3 2 3" xfId="20033" xr:uid="{BF6E03CA-A4CA-4843-ADB2-95D478A242F4}"/>
    <cellStyle name="Normal 5 2 5 3 2 4" xfId="28480" xr:uid="{39FDC986-BC5B-40DA-847B-F81DE347C20A}"/>
    <cellStyle name="Normal 5 2 5 3 2 5" xfId="11592" xr:uid="{BE839FAE-72F3-4DEA-8B65-5BA320125F87}"/>
    <cellStyle name="Normal 5 2 5 3 3" xfId="5223" xr:uid="{00000000-0005-0000-0000-00003A190000}"/>
    <cellStyle name="Normal 5 2 5 3 3 2" xfId="22106" xr:uid="{65CF996F-32CA-4A61-A1BF-0FCEDAB76ED6}"/>
    <cellStyle name="Normal 5 2 5 3 3 3" xfId="30552" xr:uid="{D56C11D6-7888-4960-BDEF-E18871A99DA6}"/>
    <cellStyle name="Normal 5 2 5 3 3 4" xfId="13665" xr:uid="{C2733147-8B86-419F-BAA4-2144E6B49F22}"/>
    <cellStyle name="Normal 5 2 5 3 4" xfId="17888" xr:uid="{850879FA-9682-4A82-8B8A-32B9F0F0AC3A}"/>
    <cellStyle name="Normal 5 2 5 3 5" xfId="26333" xr:uid="{72F1DF0B-D342-4721-81C6-916165B8F5FE}"/>
    <cellStyle name="Normal 5 2 5 3 6" xfId="9447" xr:uid="{0A18B31B-7FCE-4135-BC45-AFBD62BBCB04}"/>
    <cellStyle name="Normal 5 2 5 4" xfId="1328" xr:uid="{00000000-0005-0000-0000-00003B190000}"/>
    <cellStyle name="Normal 5 2 5 4 2" xfId="3558" xr:uid="{00000000-0005-0000-0000-00003C190000}"/>
    <cellStyle name="Normal 5 2 5 4 2 2" xfId="7781" xr:uid="{00000000-0005-0000-0000-00003D190000}"/>
    <cellStyle name="Normal 5 2 5 4 2 2 2" xfId="24664" xr:uid="{780AD78F-4178-4F1A-A862-42DD590B4EBA}"/>
    <cellStyle name="Normal 5 2 5 4 2 2 3" xfId="33110" xr:uid="{AAC63072-3DE7-4183-8696-7EC815383E90}"/>
    <cellStyle name="Normal 5 2 5 4 2 2 4" xfId="16223" xr:uid="{AB5D478C-BCB7-46A4-9A04-5234556E359F}"/>
    <cellStyle name="Normal 5 2 5 4 2 3" xfId="20446" xr:uid="{8F8F7D1B-294C-45C9-B9CA-6816D79A647C}"/>
    <cellStyle name="Normal 5 2 5 4 2 4" xfId="28893" xr:uid="{8207AD19-5433-42A2-9E31-C99102495261}"/>
    <cellStyle name="Normal 5 2 5 4 2 5" xfId="12005" xr:uid="{3FE1A93A-FE81-4444-86AC-045AD0CD5FAC}"/>
    <cellStyle name="Normal 5 2 5 4 3" xfId="5636" xr:uid="{00000000-0005-0000-0000-00003E190000}"/>
    <cellStyle name="Normal 5 2 5 4 3 2" xfId="22519" xr:uid="{B228CC1A-2835-4DF5-A3B2-94A12494B777}"/>
    <cellStyle name="Normal 5 2 5 4 3 3" xfId="30965" xr:uid="{4127A9FB-B20D-41F9-BF78-8554919C6742}"/>
    <cellStyle name="Normal 5 2 5 4 3 4" xfId="14078" xr:uid="{535BFF7F-8836-47C7-AE87-C733186C3920}"/>
    <cellStyle name="Normal 5 2 5 4 4" xfId="18301" xr:uid="{A0F9D4FD-1F87-41BE-A4B3-D41702F2E113}"/>
    <cellStyle name="Normal 5 2 5 4 5" xfId="26746" xr:uid="{E9179184-96FA-4E59-9DA0-7CAE993804B8}"/>
    <cellStyle name="Normal 5 2 5 4 6" xfId="9860" xr:uid="{33D0E016-65A3-4274-88A8-A22F5198F208}"/>
    <cellStyle name="Normal 5 2 5 5" xfId="1741" xr:uid="{00000000-0005-0000-0000-00003F190000}"/>
    <cellStyle name="Normal 5 2 5 5 2" xfId="3971" xr:uid="{00000000-0005-0000-0000-000040190000}"/>
    <cellStyle name="Normal 5 2 5 5 2 2" xfId="8194" xr:uid="{00000000-0005-0000-0000-000041190000}"/>
    <cellStyle name="Normal 5 2 5 5 2 2 2" xfId="25077" xr:uid="{1A411196-C87C-4574-8C5D-976EEBA8BA4F}"/>
    <cellStyle name="Normal 5 2 5 5 2 2 3" xfId="33523" xr:uid="{93DBC4F7-1E2E-47C2-BE9C-DFAD914679F7}"/>
    <cellStyle name="Normal 5 2 5 5 2 2 4" xfId="16636" xr:uid="{6BAF1E06-8DFB-47C3-A62C-1E5B52BB0E64}"/>
    <cellStyle name="Normal 5 2 5 5 2 3" xfId="20859" xr:uid="{F36F8553-6B5C-4EA7-8A46-D5D2A7D9251B}"/>
    <cellStyle name="Normal 5 2 5 5 2 4" xfId="29306" xr:uid="{8302C266-2541-4EB0-81E6-3CAE2696B365}"/>
    <cellStyle name="Normal 5 2 5 5 2 5" xfId="12418" xr:uid="{542C549D-4862-4589-9CDE-DF539EDF4516}"/>
    <cellStyle name="Normal 5 2 5 5 3" xfId="6049" xr:uid="{00000000-0005-0000-0000-000042190000}"/>
    <cellStyle name="Normal 5 2 5 5 3 2" xfId="22932" xr:uid="{C24CDBDA-AA63-4284-8969-4861A6E233DB}"/>
    <cellStyle name="Normal 5 2 5 5 3 3" xfId="31378" xr:uid="{E02B87CE-9697-4EE5-B04B-5667C33D7BC5}"/>
    <cellStyle name="Normal 5 2 5 5 3 4" xfId="14491" xr:uid="{6F89AE34-48A1-4FB3-B94B-628BBA2E8A54}"/>
    <cellStyle name="Normal 5 2 5 5 4" xfId="18714" xr:uid="{8DD58EFC-987C-4475-BD9E-48CA3FC50712}"/>
    <cellStyle name="Normal 5 2 5 5 5" xfId="27159" xr:uid="{6D6EBDA8-E654-4200-B5CA-BB7AE222712D}"/>
    <cellStyle name="Normal 5 2 5 5 6" xfId="10273" xr:uid="{2C8A471A-148C-4F71-8571-3179B0763FC9}"/>
    <cellStyle name="Normal 5 2 5 6" xfId="2155" xr:uid="{00000000-0005-0000-0000-000043190000}"/>
    <cellStyle name="Normal 5 2 5 6 2" xfId="4384" xr:uid="{00000000-0005-0000-0000-000044190000}"/>
    <cellStyle name="Normal 5 2 5 6 2 2" xfId="8607" xr:uid="{00000000-0005-0000-0000-000045190000}"/>
    <cellStyle name="Normal 5 2 5 6 2 2 2" xfId="25490" xr:uid="{EBE1A93C-5E1C-4FC3-A022-5FB90C02221B}"/>
    <cellStyle name="Normal 5 2 5 6 2 2 3" xfId="33936" xr:uid="{D66285FE-DD0C-483A-B90D-BF267930787A}"/>
    <cellStyle name="Normal 5 2 5 6 2 2 4" xfId="17049" xr:uid="{6F97D90A-5C00-483D-B446-D6E9F78B73BD}"/>
    <cellStyle name="Normal 5 2 5 6 2 3" xfId="21272" xr:uid="{AEE989DB-AC01-42BE-9C4C-C0CE4B96138A}"/>
    <cellStyle name="Normal 5 2 5 6 2 4" xfId="29719" xr:uid="{03269DD5-EA65-42F9-B994-C594A452CF81}"/>
    <cellStyle name="Normal 5 2 5 6 2 5" xfId="12831" xr:uid="{E0083813-2B51-4300-9735-F144BA406005}"/>
    <cellStyle name="Normal 5 2 5 6 3" xfId="6462" xr:uid="{00000000-0005-0000-0000-000046190000}"/>
    <cellStyle name="Normal 5 2 5 6 3 2" xfId="23345" xr:uid="{A37E962F-5463-4D72-A133-1DFCEBB38C0A}"/>
    <cellStyle name="Normal 5 2 5 6 3 3" xfId="31791" xr:uid="{E707910A-6C08-419E-8730-9C3EA0C5AA53}"/>
    <cellStyle name="Normal 5 2 5 6 3 4" xfId="14904" xr:uid="{2095CC3C-7CCB-46AC-BE55-5398FAB0CA68}"/>
    <cellStyle name="Normal 5 2 5 6 4" xfId="19127" xr:uid="{FDFAA3EF-966C-4347-A8A4-8398A1E278DB}"/>
    <cellStyle name="Normal 5 2 5 6 5" xfId="27572" xr:uid="{BFACC7C9-AEC5-4BE6-A35C-737064F45312}"/>
    <cellStyle name="Normal 5 2 5 6 6" xfId="10686" xr:uid="{1409EE85-61CF-4691-A54B-7A7F11C6DFE0}"/>
    <cellStyle name="Normal 5 2 5 7" xfId="2591" xr:uid="{00000000-0005-0000-0000-000047190000}"/>
    <cellStyle name="Normal 5 2 5 7 2" xfId="6875" xr:uid="{00000000-0005-0000-0000-000048190000}"/>
    <cellStyle name="Normal 5 2 5 7 2 2" xfId="23758" xr:uid="{C8A295E6-85F5-4915-9BC3-F3A3573B17F4}"/>
    <cellStyle name="Normal 5 2 5 7 2 3" xfId="32204" xr:uid="{8F9823F1-9538-4174-9A2E-A62CDCBCB75F}"/>
    <cellStyle name="Normal 5 2 5 7 2 4" xfId="15317" xr:uid="{D769B9DA-D987-4C98-A878-3D455DD7283B}"/>
    <cellStyle name="Normal 5 2 5 7 3" xfId="19540" xr:uid="{A6F908B4-1B16-462A-9CF1-79D55AD9B8DB}"/>
    <cellStyle name="Normal 5 2 5 7 4" xfId="27985" xr:uid="{EB1C9478-D77B-45D0-BEBC-24A627FAC822}"/>
    <cellStyle name="Normal 5 2 5 7 5" xfId="11099" xr:uid="{27EE8A96-D7D9-4AEA-8F42-1F005AEF9308}"/>
    <cellStyle name="Normal 5 2 5 8" xfId="4810" xr:uid="{00000000-0005-0000-0000-000049190000}"/>
    <cellStyle name="Normal 5 2 5 8 2" xfId="21693" xr:uid="{3A301F65-7937-4005-A4DA-2BF0D671B166}"/>
    <cellStyle name="Normal 5 2 5 8 3" xfId="30139" xr:uid="{679EDC84-75D4-4664-B6E8-B53950A90F60}"/>
    <cellStyle name="Normal 5 2 5 8 4" xfId="13252" xr:uid="{8B1CE64F-3C62-40BE-82E9-8F6F2D3DDB90}"/>
    <cellStyle name="Normal 5 2 5 9" xfId="17475" xr:uid="{2BAF3108-2837-4FF7-AE56-BBFC60502D3A}"/>
    <cellStyle name="Normal 5 2 6" xfId="438" xr:uid="{00000000-0005-0000-0000-00004A190000}"/>
    <cellStyle name="Normal 5 2 6 10" xfId="9036" xr:uid="{CFA6D090-9208-4C55-9E65-D26EB41DF73D}"/>
    <cellStyle name="Normal 5 2 6 2" xfId="912" xr:uid="{00000000-0005-0000-0000-00004B190000}"/>
    <cellStyle name="Normal 5 2 6 2 2" xfId="3147" xr:uid="{00000000-0005-0000-0000-00004C190000}"/>
    <cellStyle name="Normal 5 2 6 2 2 2" xfId="7370" xr:uid="{00000000-0005-0000-0000-00004D190000}"/>
    <cellStyle name="Normal 5 2 6 2 2 2 2" xfId="24253" xr:uid="{A3F5558F-2417-4997-8713-F90B24384B11}"/>
    <cellStyle name="Normal 5 2 6 2 2 2 3" xfId="32699" xr:uid="{765C242D-8358-4DBE-BC06-7F2E9C2A9980}"/>
    <cellStyle name="Normal 5 2 6 2 2 2 4" xfId="15812" xr:uid="{9CFD6BEC-472D-488A-9399-DC25CAE5D932}"/>
    <cellStyle name="Normal 5 2 6 2 2 3" xfId="20035" xr:uid="{50603E71-F366-48C8-8E9A-50EE4A4D97A2}"/>
    <cellStyle name="Normal 5 2 6 2 2 4" xfId="28482" xr:uid="{AFCA5178-68C5-4CC5-A4B5-DF37DFF060F6}"/>
    <cellStyle name="Normal 5 2 6 2 2 5" xfId="11594" xr:uid="{8D6D13F5-09CF-47F3-B3EC-17BDE159E959}"/>
    <cellStyle name="Normal 5 2 6 2 3" xfId="5225" xr:uid="{00000000-0005-0000-0000-00004E190000}"/>
    <cellStyle name="Normal 5 2 6 2 3 2" xfId="22108" xr:uid="{1F2E185E-FFEC-479B-BDD4-F170D95A334D}"/>
    <cellStyle name="Normal 5 2 6 2 3 3" xfId="30554" xr:uid="{0C16039B-CD99-47FA-8A84-FE83062F78B8}"/>
    <cellStyle name="Normal 5 2 6 2 3 4" xfId="13667" xr:uid="{98FBCFC5-E485-46B2-9800-208170B7B2FA}"/>
    <cellStyle name="Normal 5 2 6 2 4" xfId="17890" xr:uid="{71E519A5-246B-4BE2-8AA6-6FF36A05E19E}"/>
    <cellStyle name="Normal 5 2 6 2 5" xfId="26335" xr:uid="{B43F41FD-DD12-4DA0-9A19-38A84BC00A11}"/>
    <cellStyle name="Normal 5 2 6 2 6" xfId="9449" xr:uid="{B70A660C-A64E-406C-B241-9F3D27AA8375}"/>
    <cellStyle name="Normal 5 2 6 3" xfId="1330" xr:uid="{00000000-0005-0000-0000-00004F190000}"/>
    <cellStyle name="Normal 5 2 6 3 2" xfId="3560" xr:uid="{00000000-0005-0000-0000-000050190000}"/>
    <cellStyle name="Normal 5 2 6 3 2 2" xfId="7783" xr:uid="{00000000-0005-0000-0000-000051190000}"/>
    <cellStyle name="Normal 5 2 6 3 2 2 2" xfId="24666" xr:uid="{AFB53978-762B-4496-A681-63E7A82993F1}"/>
    <cellStyle name="Normal 5 2 6 3 2 2 3" xfId="33112" xr:uid="{E63E0165-09D4-4669-A36F-6E0D5DBDC1A5}"/>
    <cellStyle name="Normal 5 2 6 3 2 2 4" xfId="16225" xr:uid="{8981B467-4700-4C59-A6D9-B0CE37D1586D}"/>
    <cellStyle name="Normal 5 2 6 3 2 3" xfId="20448" xr:uid="{8B876DE4-A647-4CEB-8932-1A7632EFAFE1}"/>
    <cellStyle name="Normal 5 2 6 3 2 4" xfId="28895" xr:uid="{207B34E2-BE84-4605-B8F5-988358BED58D}"/>
    <cellStyle name="Normal 5 2 6 3 2 5" xfId="12007" xr:uid="{0FF20B21-B615-4DD3-8148-941C41EE3D70}"/>
    <cellStyle name="Normal 5 2 6 3 3" xfId="5638" xr:uid="{00000000-0005-0000-0000-000052190000}"/>
    <cellStyle name="Normal 5 2 6 3 3 2" xfId="22521" xr:uid="{2EFE62B0-EF80-472E-BCB2-6CA27EBA9E19}"/>
    <cellStyle name="Normal 5 2 6 3 3 3" xfId="30967" xr:uid="{92E075EF-68B1-4B81-AE06-630429CF5F42}"/>
    <cellStyle name="Normal 5 2 6 3 3 4" xfId="14080" xr:uid="{B66C0C64-0077-46FE-B9F0-A62F44E5F493}"/>
    <cellStyle name="Normal 5 2 6 3 4" xfId="18303" xr:uid="{FB76D9B2-A683-48EB-B7A6-D829A8BFF874}"/>
    <cellStyle name="Normal 5 2 6 3 5" xfId="26748" xr:uid="{15A8CC61-EFA6-4305-A231-CB866BB1C2E3}"/>
    <cellStyle name="Normal 5 2 6 3 6" xfId="9862" xr:uid="{EC3AC2A9-8003-4789-874C-62900B112980}"/>
    <cellStyle name="Normal 5 2 6 4" xfId="1743" xr:uid="{00000000-0005-0000-0000-000053190000}"/>
    <cellStyle name="Normal 5 2 6 4 2" xfId="3973" xr:uid="{00000000-0005-0000-0000-000054190000}"/>
    <cellStyle name="Normal 5 2 6 4 2 2" xfId="8196" xr:uid="{00000000-0005-0000-0000-000055190000}"/>
    <cellStyle name="Normal 5 2 6 4 2 2 2" xfId="25079" xr:uid="{D3FE5966-2114-4816-8A8D-1B8D4E95298A}"/>
    <cellStyle name="Normal 5 2 6 4 2 2 3" xfId="33525" xr:uid="{59EE01D9-014B-4C1C-840F-C5D7B1FA6AB1}"/>
    <cellStyle name="Normal 5 2 6 4 2 2 4" xfId="16638" xr:uid="{FE81037A-E2A2-4F01-9713-A43E2AF64D74}"/>
    <cellStyle name="Normal 5 2 6 4 2 3" xfId="20861" xr:uid="{EB2D163F-1C5F-4F82-9269-3005AE3618D5}"/>
    <cellStyle name="Normal 5 2 6 4 2 4" xfId="29308" xr:uid="{41B2E566-1DD9-4EBA-B66E-E87B5E20E639}"/>
    <cellStyle name="Normal 5 2 6 4 2 5" xfId="12420" xr:uid="{27D235DB-24AE-4BE6-9D9D-67479537E528}"/>
    <cellStyle name="Normal 5 2 6 4 3" xfId="6051" xr:uid="{00000000-0005-0000-0000-000056190000}"/>
    <cellStyle name="Normal 5 2 6 4 3 2" xfId="22934" xr:uid="{F7F2A726-2B46-4530-A048-0BC23EE5A16F}"/>
    <cellStyle name="Normal 5 2 6 4 3 3" xfId="31380" xr:uid="{C4CFA269-27A6-4825-8CF9-45AB45819B01}"/>
    <cellStyle name="Normal 5 2 6 4 3 4" xfId="14493" xr:uid="{8860CE08-185F-4B50-A435-1FBEE3E39FA3}"/>
    <cellStyle name="Normal 5 2 6 4 4" xfId="18716" xr:uid="{93304A61-5A92-43D2-8F90-20EF2D7DEAE4}"/>
    <cellStyle name="Normal 5 2 6 4 5" xfId="27161" xr:uid="{2E7EDFA1-68C5-4FC0-9E05-2A308CA4701F}"/>
    <cellStyle name="Normal 5 2 6 4 6" xfId="10275" xr:uid="{E4CC80AD-EAD8-4B97-8A58-12B4F462B2D4}"/>
    <cellStyle name="Normal 5 2 6 5" xfId="2157" xr:uid="{00000000-0005-0000-0000-000057190000}"/>
    <cellStyle name="Normal 5 2 6 5 2" xfId="4386" xr:uid="{00000000-0005-0000-0000-000058190000}"/>
    <cellStyle name="Normal 5 2 6 5 2 2" xfId="8609" xr:uid="{00000000-0005-0000-0000-000059190000}"/>
    <cellStyle name="Normal 5 2 6 5 2 2 2" xfId="25492" xr:uid="{7C6185B9-0893-4778-970E-4FA59CB99E75}"/>
    <cellStyle name="Normal 5 2 6 5 2 2 3" xfId="33938" xr:uid="{D5EE37C5-A935-460E-BF5A-8AA010E915E5}"/>
    <cellStyle name="Normal 5 2 6 5 2 2 4" xfId="17051" xr:uid="{5CBEFD2B-1B23-4B5A-840D-23F36DF441C4}"/>
    <cellStyle name="Normal 5 2 6 5 2 3" xfId="21274" xr:uid="{10F662BF-C0B7-41F3-B13F-C4BD54784864}"/>
    <cellStyle name="Normal 5 2 6 5 2 4" xfId="29721" xr:uid="{1130217F-1721-4FE4-AC41-2744440DE3C9}"/>
    <cellStyle name="Normal 5 2 6 5 2 5" xfId="12833" xr:uid="{AB8E90FE-600B-4951-90DC-9F8904DA787B}"/>
    <cellStyle name="Normal 5 2 6 5 3" xfId="6464" xr:uid="{00000000-0005-0000-0000-00005A190000}"/>
    <cellStyle name="Normal 5 2 6 5 3 2" xfId="23347" xr:uid="{6F713147-0E0E-4B2B-95CA-FE366E393C9F}"/>
    <cellStyle name="Normal 5 2 6 5 3 3" xfId="31793" xr:uid="{64A1E5E9-D3EE-4B90-9539-03915846AE2F}"/>
    <cellStyle name="Normal 5 2 6 5 3 4" xfId="14906" xr:uid="{7B34FFC2-5B54-4932-997D-6D1447AF3FAA}"/>
    <cellStyle name="Normal 5 2 6 5 4" xfId="19129" xr:uid="{93CF6004-C8AC-4447-9557-A0B042116877}"/>
    <cellStyle name="Normal 5 2 6 5 5" xfId="27574" xr:uid="{091DBEC1-E3BD-486C-ACFB-E7EE1EE2F709}"/>
    <cellStyle name="Normal 5 2 6 5 6" xfId="10688" xr:uid="{DAFB67A9-7E60-4FD1-BD0D-AD16B5093A29}"/>
    <cellStyle name="Normal 5 2 6 6" xfId="2593" xr:uid="{00000000-0005-0000-0000-00005B190000}"/>
    <cellStyle name="Normal 5 2 6 6 2" xfId="6877" xr:uid="{00000000-0005-0000-0000-00005C190000}"/>
    <cellStyle name="Normal 5 2 6 6 2 2" xfId="23760" xr:uid="{38EF0834-86BC-454D-981E-BB37B4A321A2}"/>
    <cellStyle name="Normal 5 2 6 6 2 3" xfId="32206" xr:uid="{565032BB-D57D-4642-96C9-0A96C77F1D0C}"/>
    <cellStyle name="Normal 5 2 6 6 2 4" xfId="15319" xr:uid="{17C39E6B-15A6-4A93-A31C-5848DC3FE549}"/>
    <cellStyle name="Normal 5 2 6 6 3" xfId="19542" xr:uid="{2A8D649A-60F6-4D1A-88BA-2FA6C743F558}"/>
    <cellStyle name="Normal 5 2 6 6 4" xfId="27987" xr:uid="{D35D886C-3E65-447F-B75C-3A32B76E36C6}"/>
    <cellStyle name="Normal 5 2 6 6 5" xfId="11101" xr:uid="{57B73899-35A3-4519-9A0F-FB9BF0E7C6E3}"/>
    <cellStyle name="Normal 5 2 6 7" xfId="4812" xr:uid="{00000000-0005-0000-0000-00005D190000}"/>
    <cellStyle name="Normal 5 2 6 7 2" xfId="21695" xr:uid="{53E6AF4B-83D0-4864-A6C2-0C3E33091CAA}"/>
    <cellStyle name="Normal 5 2 6 7 3" xfId="30141" xr:uid="{C815C557-48E5-4BD1-89F0-57B0C41C5C9D}"/>
    <cellStyle name="Normal 5 2 6 7 4" xfId="13254" xr:uid="{AF2A69DE-A4FF-4EFC-B13A-C7231D92304D}"/>
    <cellStyle name="Normal 5 2 6 8" xfId="17477" xr:uid="{B1D50FC9-04C9-4891-B794-3ABC435C2C07}"/>
    <cellStyle name="Normal 5 2 6 9" xfId="25921" xr:uid="{531E61DA-3A3D-4BAC-BAA1-14D529EE1E4E}"/>
    <cellStyle name="Normal 5 2 7" xfId="881" xr:uid="{00000000-0005-0000-0000-00005E190000}"/>
    <cellStyle name="Normal 5 2 7 2" xfId="3116" xr:uid="{00000000-0005-0000-0000-00005F190000}"/>
    <cellStyle name="Normal 5 2 7 2 2" xfId="7339" xr:uid="{00000000-0005-0000-0000-000060190000}"/>
    <cellStyle name="Normal 5 2 7 2 2 2" xfId="24222" xr:uid="{2BBC2599-8D33-4503-8DC0-C9D196772BC8}"/>
    <cellStyle name="Normal 5 2 7 2 2 3" xfId="32668" xr:uid="{2578D70D-0806-49E8-A116-4B32C2EB39BE}"/>
    <cellStyle name="Normal 5 2 7 2 2 4" xfId="15781" xr:uid="{AFAED21B-2C1B-48F9-A608-541BBAB71B2B}"/>
    <cellStyle name="Normal 5 2 7 2 3" xfId="20004" xr:uid="{B2A8F897-CBC1-4C74-BD59-7470BD144E39}"/>
    <cellStyle name="Normal 5 2 7 2 4" xfId="28451" xr:uid="{FD23786F-64BF-448A-88D6-8C6E7EBFA079}"/>
    <cellStyle name="Normal 5 2 7 2 5" xfId="11563" xr:uid="{CE99187C-DEC4-4181-82D5-0C922623FEEC}"/>
    <cellStyle name="Normal 5 2 7 3" xfId="5194" xr:uid="{00000000-0005-0000-0000-000061190000}"/>
    <cellStyle name="Normal 5 2 7 3 2" xfId="22077" xr:uid="{92A300B0-DD86-43B4-9A80-E7B796A54FF0}"/>
    <cellStyle name="Normal 5 2 7 3 3" xfId="30523" xr:uid="{EF1DDCE9-F35E-4DAC-BB7C-719DC9B9B540}"/>
    <cellStyle name="Normal 5 2 7 3 4" xfId="13636" xr:uid="{BE9519EA-B6EA-495E-8407-0E4FAD99949E}"/>
    <cellStyle name="Normal 5 2 7 4" xfId="17859" xr:uid="{78164409-B2CA-404E-B345-A6B032DBF6A0}"/>
    <cellStyle name="Normal 5 2 7 5" xfId="26304" xr:uid="{086444FD-FCBC-4850-A1B7-A8F5D1903761}"/>
    <cellStyle name="Normal 5 2 7 6" xfId="9418" xr:uid="{F14C6A36-3AEA-4FA9-A4EC-39DF606BB48A}"/>
    <cellStyle name="Normal 5 2 8" xfId="1299" xr:uid="{00000000-0005-0000-0000-000062190000}"/>
    <cellStyle name="Normal 5 2 8 2" xfId="3529" xr:uid="{00000000-0005-0000-0000-000063190000}"/>
    <cellStyle name="Normal 5 2 8 2 2" xfId="7752" xr:uid="{00000000-0005-0000-0000-000064190000}"/>
    <cellStyle name="Normal 5 2 8 2 2 2" xfId="24635" xr:uid="{5ACA1B44-E26F-400B-A1DC-8DF297DC4B4D}"/>
    <cellStyle name="Normal 5 2 8 2 2 3" xfId="33081" xr:uid="{76D22745-F32D-4937-B1A5-7CDE675ABD22}"/>
    <cellStyle name="Normal 5 2 8 2 2 4" xfId="16194" xr:uid="{3A190B3F-F16E-4BCC-AFF1-39BAC52C0521}"/>
    <cellStyle name="Normal 5 2 8 2 3" xfId="20417" xr:uid="{579E049B-8114-4E1C-8EBD-2845B1487BCA}"/>
    <cellStyle name="Normal 5 2 8 2 4" xfId="28864" xr:uid="{9B1DDF03-C5D2-403C-881D-AD709F6D3D30}"/>
    <cellStyle name="Normal 5 2 8 2 5" xfId="11976" xr:uid="{7DCB545B-CBC7-4F7F-AF23-9B5DB950A760}"/>
    <cellStyle name="Normal 5 2 8 3" xfId="5607" xr:uid="{00000000-0005-0000-0000-000065190000}"/>
    <cellStyle name="Normal 5 2 8 3 2" xfId="22490" xr:uid="{B4FEE1A3-E5D5-42E4-8578-66A81AF74133}"/>
    <cellStyle name="Normal 5 2 8 3 3" xfId="30936" xr:uid="{AAE5CABB-19E7-4CDB-855B-FC04C5D16544}"/>
    <cellStyle name="Normal 5 2 8 3 4" xfId="14049" xr:uid="{CCDD8E96-699B-42A4-B12F-5615D73AE0E7}"/>
    <cellStyle name="Normal 5 2 8 4" xfId="18272" xr:uid="{D355A055-ED36-4DA7-96A4-9EFF9AB8910B}"/>
    <cellStyle name="Normal 5 2 8 5" xfId="26717" xr:uid="{1F651573-2A6B-4CF0-ACA0-1AAD14338DDE}"/>
    <cellStyle name="Normal 5 2 8 6" xfId="9831" xr:uid="{64B31DB1-5A9C-435E-B17A-D1EF584D2894}"/>
    <cellStyle name="Normal 5 2 9" xfId="1712" xr:uid="{00000000-0005-0000-0000-000066190000}"/>
    <cellStyle name="Normal 5 2 9 2" xfId="3942" xr:uid="{00000000-0005-0000-0000-000067190000}"/>
    <cellStyle name="Normal 5 2 9 2 2" xfId="8165" xr:uid="{00000000-0005-0000-0000-000068190000}"/>
    <cellStyle name="Normal 5 2 9 2 2 2" xfId="25048" xr:uid="{612C57AB-DEF3-476E-A7F9-749940AE7986}"/>
    <cellStyle name="Normal 5 2 9 2 2 3" xfId="33494" xr:uid="{75FDC73B-563E-4576-9A37-2AA707EFAE79}"/>
    <cellStyle name="Normal 5 2 9 2 2 4" xfId="16607" xr:uid="{2DA80892-7917-4149-B9FE-483F6DE223F8}"/>
    <cellStyle name="Normal 5 2 9 2 3" xfId="20830" xr:uid="{86813433-4F51-435E-BE59-4852871CF829}"/>
    <cellStyle name="Normal 5 2 9 2 4" xfId="29277" xr:uid="{F77DA71F-BCC2-4595-B6F6-E87E6071DA5D}"/>
    <cellStyle name="Normal 5 2 9 2 5" xfId="12389" xr:uid="{70E521A9-F4B3-4E77-A443-0F5796AEB293}"/>
    <cellStyle name="Normal 5 2 9 3" xfId="6020" xr:uid="{00000000-0005-0000-0000-000069190000}"/>
    <cellStyle name="Normal 5 2 9 3 2" xfId="22903" xr:uid="{50CE3C59-2828-4164-8BA5-CD31B9D35094}"/>
    <cellStyle name="Normal 5 2 9 3 3" xfId="31349" xr:uid="{185B1DBD-B28C-4ED0-9F3B-7F7CE933076B}"/>
    <cellStyle name="Normal 5 2 9 3 4" xfId="14462" xr:uid="{6166874D-871C-4EBE-94F6-5E00BE571741}"/>
    <cellStyle name="Normal 5 2 9 4" xfId="18685" xr:uid="{80C3A79A-1C70-4781-A56E-8A2A03649458}"/>
    <cellStyle name="Normal 5 2 9 5" xfId="27130" xr:uid="{646A6D1E-CC08-4FF5-979E-3A62485AEA58}"/>
    <cellStyle name="Normal 5 2 9 6" xfId="10244" xr:uid="{C9C443C2-E57B-40A9-BEC7-FD4B8A41287A}"/>
    <cellStyle name="Normal 5 2_Item C7" xfId="34122" xr:uid="{CEA9D589-E9E2-482C-957F-8CD802C58D2D}"/>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25493" xr:uid="{0E42F537-5222-43E4-B5DE-2550A2C52792}"/>
    <cellStyle name="Normal 5 3 10 2 2 3" xfId="33939" xr:uid="{8F81032C-99E9-4A89-B4F0-5B23B87D3983}"/>
    <cellStyle name="Normal 5 3 10 2 2 4" xfId="17052" xr:uid="{CB305B8B-C7B1-474D-B9B6-0B88492269B7}"/>
    <cellStyle name="Normal 5 3 10 2 3" xfId="21275" xr:uid="{A055123D-75B3-40F8-905E-57922A65A186}"/>
    <cellStyle name="Normal 5 3 10 2 4" xfId="29722" xr:uid="{4F0F7588-8AC9-40C9-9321-825D64F9C780}"/>
    <cellStyle name="Normal 5 3 10 2 5" xfId="12834" xr:uid="{F20F5D44-A5DC-48DD-8DAC-40B19CAEA322}"/>
    <cellStyle name="Normal 5 3 10 3" xfId="6465" xr:uid="{00000000-0005-0000-0000-00006E190000}"/>
    <cellStyle name="Normal 5 3 10 3 2" xfId="23348" xr:uid="{E7EF4289-3FD5-4724-AC79-2FCAEB598018}"/>
    <cellStyle name="Normal 5 3 10 3 3" xfId="31794" xr:uid="{257CEAD2-5DB1-4D93-A2FE-27E8893C6829}"/>
    <cellStyle name="Normal 5 3 10 3 4" xfId="14907" xr:uid="{8D35ADDC-68CC-4E16-9F6A-544533CF8CA5}"/>
    <cellStyle name="Normal 5 3 10 4" xfId="19130" xr:uid="{81863318-6EDB-457D-84C2-57B68EF6FC3C}"/>
    <cellStyle name="Normal 5 3 10 5" xfId="27575" xr:uid="{E1B4C71E-CACE-4CB5-865B-81104A6C6681}"/>
    <cellStyle name="Normal 5 3 10 6" xfId="10689" xr:uid="{BB50B868-4A6C-4E10-8B8C-96E97C9C9A05}"/>
    <cellStyle name="Normal 5 3 11" xfId="2594" xr:uid="{00000000-0005-0000-0000-00006F190000}"/>
    <cellStyle name="Normal 5 3 11 2" xfId="6878" xr:uid="{00000000-0005-0000-0000-000070190000}"/>
    <cellStyle name="Normal 5 3 11 2 2" xfId="23761" xr:uid="{89058778-C0F6-4513-AE66-FDC0538E5709}"/>
    <cellStyle name="Normal 5 3 11 2 3" xfId="32207" xr:uid="{53B49A50-F046-44FF-884C-5F0C839FCEB4}"/>
    <cellStyle name="Normal 5 3 11 2 4" xfId="15320" xr:uid="{D8DB581E-7A1E-470D-B9E3-D40BC43947D5}"/>
    <cellStyle name="Normal 5 3 11 3" xfId="19543" xr:uid="{226B64A0-4FE7-42FF-B2C2-940ED5B4DDA6}"/>
    <cellStyle name="Normal 5 3 11 4" xfId="27988" xr:uid="{11E4DA89-D277-4C9E-BABE-8FC08D719AD3}"/>
    <cellStyle name="Normal 5 3 11 5" xfId="11102" xr:uid="{E47A5029-BBAB-47C9-BB4D-B3614A2A714C}"/>
    <cellStyle name="Normal 5 3 12" xfId="4813" xr:uid="{00000000-0005-0000-0000-000071190000}"/>
    <cellStyle name="Normal 5 3 12 2" xfId="21696" xr:uid="{AE30487E-75B3-492B-A104-485D055D3D0F}"/>
    <cellStyle name="Normal 5 3 12 3" xfId="30142" xr:uid="{44474DD0-E763-40D8-9C29-87FFF08344B7}"/>
    <cellStyle name="Normal 5 3 12 4" xfId="13255" xr:uid="{F33AA7BB-76B0-45E6-9E7B-82D93C57F49B}"/>
    <cellStyle name="Normal 5 3 13" xfId="17478" xr:uid="{56B2D32F-C04D-4BB5-BFBD-9779F2ECA5B8}"/>
    <cellStyle name="Normal 5 3 14" xfId="25922" xr:uid="{223EB0BF-FE4E-40BA-900B-4DD6D3CA0B2E}"/>
    <cellStyle name="Normal 5 3 15" xfId="28095" xr:uid="{35B5D215-6F00-4035-AFAC-34C5F2FCB862}"/>
    <cellStyle name="Normal 5 3 16" xfId="9037" xr:uid="{5D7FE2D8-C047-4383-B00C-AA1369F36763}"/>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21697" xr:uid="{D6CF1E9C-CC65-4A5F-A630-64761B329F14}"/>
    <cellStyle name="Normal 5 3 3 10 3" xfId="30143" xr:uid="{2407C234-BE33-42C4-AF42-B82DBF33B7F8}"/>
    <cellStyle name="Normal 5 3 3 10 4" xfId="13256" xr:uid="{EB131CC6-E0F5-479F-B478-7210087118DA}"/>
    <cellStyle name="Normal 5 3 3 11" xfId="17479" xr:uid="{25775AB5-0CBB-4C8D-A6E7-50A10F896419}"/>
    <cellStyle name="Normal 5 3 3 12" xfId="25923" xr:uid="{D8123A1A-F72C-4F28-B6D1-646E1C2B3686}"/>
    <cellStyle name="Normal 5 3 3 13" xfId="9038" xr:uid="{0F5FD7EA-9CC5-4FA5-A298-2676B90A0361}"/>
    <cellStyle name="Normal 5 3 3 2" xfId="442" xr:uid="{00000000-0005-0000-0000-000076190000}"/>
    <cellStyle name="Normal 5 3 3 2 10" xfId="17480" xr:uid="{F24DE7D9-F227-416D-86E5-A7CB81BFB0D2}"/>
    <cellStyle name="Normal 5 3 3 2 11" xfId="25924" xr:uid="{D068CD3A-9CE9-4313-81BC-80AAA74BD23D}"/>
    <cellStyle name="Normal 5 3 3 2 12" xfId="9039" xr:uid="{13A90528-0617-4331-AC9E-E0D589765DA4}"/>
    <cellStyle name="Normal 5 3 3 2 2" xfId="443" xr:uid="{00000000-0005-0000-0000-000077190000}"/>
    <cellStyle name="Normal 5 3 3 2 2 10" xfId="25925" xr:uid="{2B8E3209-C15D-4C96-B96B-586D7D48178E}"/>
    <cellStyle name="Normal 5 3 3 2 2 11" xfId="9040" xr:uid="{6D3A8A9C-3526-4A1E-AC70-AE8129E4DBF5}"/>
    <cellStyle name="Normal 5 3 3 2 2 2" xfId="444" xr:uid="{00000000-0005-0000-0000-000078190000}"/>
    <cellStyle name="Normal 5 3 3 2 2 2 10" xfId="9041" xr:uid="{4299C774-B6F7-43AE-94BE-80839CA74F35}"/>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24258" xr:uid="{11D107FF-A5A0-4482-A57C-28A02CEEE62C}"/>
    <cellStyle name="Normal 5 3 3 2 2 2 2 2 2 3" xfId="32704" xr:uid="{788001D3-FAE9-4BD2-ABB9-06E3A8DDFAFA}"/>
    <cellStyle name="Normal 5 3 3 2 2 2 2 2 2 4" xfId="15817" xr:uid="{139E5BD0-834D-4436-A0E5-C3E862276353}"/>
    <cellStyle name="Normal 5 3 3 2 2 2 2 2 3" xfId="20040" xr:uid="{25F86DEA-0D0E-4C4D-AD85-608AC43C96D1}"/>
    <cellStyle name="Normal 5 3 3 2 2 2 2 2 4" xfId="28487" xr:uid="{758B8DE3-DFF5-4E87-AA9E-3E08E1F4A569}"/>
    <cellStyle name="Normal 5 3 3 2 2 2 2 2 5" xfId="11599" xr:uid="{17941455-8CA2-49AC-BA63-011662CD00D7}"/>
    <cellStyle name="Normal 5 3 3 2 2 2 2 3" xfId="5230" xr:uid="{00000000-0005-0000-0000-00007C190000}"/>
    <cellStyle name="Normal 5 3 3 2 2 2 2 3 2" xfId="22113" xr:uid="{B328F773-75BE-402D-9179-7509F1F7E6B4}"/>
    <cellStyle name="Normal 5 3 3 2 2 2 2 3 3" xfId="30559" xr:uid="{5CD7FC81-0077-45E2-A07E-F847BF39CF99}"/>
    <cellStyle name="Normal 5 3 3 2 2 2 2 3 4" xfId="13672" xr:uid="{8F0EB6E7-CBA5-4F24-96FF-D1EAB87C411A}"/>
    <cellStyle name="Normal 5 3 3 2 2 2 2 4" xfId="17895" xr:uid="{5917021B-1BF4-4D0B-A319-ACB01E5CBD4C}"/>
    <cellStyle name="Normal 5 3 3 2 2 2 2 5" xfId="26340" xr:uid="{C780AF92-91B5-401E-8F08-7D859AB0533D}"/>
    <cellStyle name="Normal 5 3 3 2 2 2 2 6" xfId="9454" xr:uid="{D316E101-8750-4734-83F9-289D91C7BB58}"/>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24671" xr:uid="{0ACE2EC0-9677-4B85-92B1-7ECF5DAC8819}"/>
    <cellStyle name="Normal 5 3 3 2 2 2 3 2 2 3" xfId="33117" xr:uid="{9979CD2C-3090-486F-AE81-C63A8547E2B0}"/>
    <cellStyle name="Normal 5 3 3 2 2 2 3 2 2 4" xfId="16230" xr:uid="{00213598-9767-45C9-B461-05850145B73B}"/>
    <cellStyle name="Normal 5 3 3 2 2 2 3 2 3" xfId="20453" xr:uid="{8A2D50F2-F785-4B58-94DD-7616D198CABB}"/>
    <cellStyle name="Normal 5 3 3 2 2 2 3 2 4" xfId="28900" xr:uid="{87CFAB19-788A-4A5F-8F37-39FD2CEB49C3}"/>
    <cellStyle name="Normal 5 3 3 2 2 2 3 2 5" xfId="12012" xr:uid="{1DCBE24B-D849-4A79-BD0F-128624C98DF4}"/>
    <cellStyle name="Normal 5 3 3 2 2 2 3 3" xfId="5643" xr:uid="{00000000-0005-0000-0000-000080190000}"/>
    <cellStyle name="Normal 5 3 3 2 2 2 3 3 2" xfId="22526" xr:uid="{B5894B2F-3738-40E0-8F91-075E540D88DB}"/>
    <cellStyle name="Normal 5 3 3 2 2 2 3 3 3" xfId="30972" xr:uid="{2D7CD4CF-3ED6-4998-87A8-25D9DB66A84B}"/>
    <cellStyle name="Normal 5 3 3 2 2 2 3 3 4" xfId="14085" xr:uid="{C7D06BCE-5819-4520-8E91-E5B6A79F3E46}"/>
    <cellStyle name="Normal 5 3 3 2 2 2 3 4" xfId="18308" xr:uid="{F98C890A-A765-4E7D-B96D-5BF7D2CB6A01}"/>
    <cellStyle name="Normal 5 3 3 2 2 2 3 5" xfId="26753" xr:uid="{3BA4739B-97FC-4240-A485-6FABEDB70DA3}"/>
    <cellStyle name="Normal 5 3 3 2 2 2 3 6" xfId="9867" xr:uid="{E3E6C5B0-BB17-447E-BA11-A0385D3FA952}"/>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25084" xr:uid="{6C196FAE-FA3F-48BC-895B-77A0A98950D5}"/>
    <cellStyle name="Normal 5 3 3 2 2 2 4 2 2 3" xfId="33530" xr:uid="{81987D50-B16B-4B6B-A8AC-B149A0876375}"/>
    <cellStyle name="Normal 5 3 3 2 2 2 4 2 2 4" xfId="16643" xr:uid="{3318C163-7446-4347-8030-4B9573E96269}"/>
    <cellStyle name="Normal 5 3 3 2 2 2 4 2 3" xfId="20866" xr:uid="{D9BBCDB9-2D9D-4CC2-B838-0C824597B7B9}"/>
    <cellStyle name="Normal 5 3 3 2 2 2 4 2 4" xfId="29313" xr:uid="{B56CB5E4-21E6-4C5D-BD37-3E09983C3207}"/>
    <cellStyle name="Normal 5 3 3 2 2 2 4 2 5" xfId="12425" xr:uid="{181D0429-C7E6-4771-A0F1-AE270F7D2B3E}"/>
    <cellStyle name="Normal 5 3 3 2 2 2 4 3" xfId="6056" xr:uid="{00000000-0005-0000-0000-000084190000}"/>
    <cellStyle name="Normal 5 3 3 2 2 2 4 3 2" xfId="22939" xr:uid="{A174F8CF-9D02-402C-9B49-BCA3485C8D67}"/>
    <cellStyle name="Normal 5 3 3 2 2 2 4 3 3" xfId="31385" xr:uid="{BF576865-13B3-492A-B7A0-D7233A119F54}"/>
    <cellStyle name="Normal 5 3 3 2 2 2 4 3 4" xfId="14498" xr:uid="{995AC76D-EFF2-4445-AC28-6948C9C24DCB}"/>
    <cellStyle name="Normal 5 3 3 2 2 2 4 4" xfId="18721" xr:uid="{1DE3D6E6-E6EA-4282-9A43-F329E56EF4F4}"/>
    <cellStyle name="Normal 5 3 3 2 2 2 4 5" xfId="27166" xr:uid="{7B898ED2-73BA-4967-8B54-AB9866B070CA}"/>
    <cellStyle name="Normal 5 3 3 2 2 2 4 6" xfId="10280" xr:uid="{066B7FF2-4769-4D35-9154-5F017E03C1F4}"/>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25497" xr:uid="{AB10F45F-DACA-4391-94D6-91FB56E285E2}"/>
    <cellStyle name="Normal 5 3 3 2 2 2 5 2 2 3" xfId="33943" xr:uid="{D8EF245C-A659-48EC-AE2F-C91E1F9F54DE}"/>
    <cellStyle name="Normal 5 3 3 2 2 2 5 2 2 4" xfId="17056" xr:uid="{0F7A0812-810D-43AD-B0D1-8621C69A4DC9}"/>
    <cellStyle name="Normal 5 3 3 2 2 2 5 2 3" xfId="21279" xr:uid="{F703EBDA-AFDD-4E51-B69B-C6A2A15DBA8E}"/>
    <cellStyle name="Normal 5 3 3 2 2 2 5 2 4" xfId="29726" xr:uid="{E4A1E488-16B4-4133-BAB2-15861EA27BD7}"/>
    <cellStyle name="Normal 5 3 3 2 2 2 5 2 5" xfId="12838" xr:uid="{B33789AD-F1F2-4FDD-B64B-96BA8BDE9BF2}"/>
    <cellStyle name="Normal 5 3 3 2 2 2 5 3" xfId="6469" xr:uid="{00000000-0005-0000-0000-000088190000}"/>
    <cellStyle name="Normal 5 3 3 2 2 2 5 3 2" xfId="23352" xr:uid="{44D59CBF-05BE-4BD7-989F-D9646BA14AE9}"/>
    <cellStyle name="Normal 5 3 3 2 2 2 5 3 3" xfId="31798" xr:uid="{134255D3-6736-4CE1-AC88-E1F1ACD70C46}"/>
    <cellStyle name="Normal 5 3 3 2 2 2 5 3 4" xfId="14911" xr:uid="{B8AFA790-8294-4B7A-97D5-5A842AE442B4}"/>
    <cellStyle name="Normal 5 3 3 2 2 2 5 4" xfId="19134" xr:uid="{A20F3B29-88A9-4EBA-847F-16F66098A3C7}"/>
    <cellStyle name="Normal 5 3 3 2 2 2 5 5" xfId="27579" xr:uid="{2246C658-D27D-48F3-82A2-C2535EFD8F76}"/>
    <cellStyle name="Normal 5 3 3 2 2 2 5 6" xfId="10693" xr:uid="{0EF8008C-1BDA-4652-8A96-806BA32D934F}"/>
    <cellStyle name="Normal 5 3 3 2 2 2 6" xfId="2598" xr:uid="{00000000-0005-0000-0000-000089190000}"/>
    <cellStyle name="Normal 5 3 3 2 2 2 6 2" xfId="6882" xr:uid="{00000000-0005-0000-0000-00008A190000}"/>
    <cellStyle name="Normal 5 3 3 2 2 2 6 2 2" xfId="23765" xr:uid="{AAB87D26-DF8F-4275-BB28-121A1D93CCF9}"/>
    <cellStyle name="Normal 5 3 3 2 2 2 6 2 3" xfId="32211" xr:uid="{9F78C4E9-5BD4-4487-B292-A4112ECEC368}"/>
    <cellStyle name="Normal 5 3 3 2 2 2 6 2 4" xfId="15324" xr:uid="{E0B8604C-C6B6-4439-90E8-706F250665FA}"/>
    <cellStyle name="Normal 5 3 3 2 2 2 6 3" xfId="19547" xr:uid="{6BAFEA82-ED2F-46A9-ADDA-D534E7370167}"/>
    <cellStyle name="Normal 5 3 3 2 2 2 6 4" xfId="27992" xr:uid="{4741E198-5D27-47B9-9EBE-1DFE1DED83E8}"/>
    <cellStyle name="Normal 5 3 3 2 2 2 6 5" xfId="11106" xr:uid="{75D6D74C-C0A1-49F3-9E41-5FE8A871B60E}"/>
    <cellStyle name="Normal 5 3 3 2 2 2 7" xfId="4817" xr:uid="{00000000-0005-0000-0000-00008B190000}"/>
    <cellStyle name="Normal 5 3 3 2 2 2 7 2" xfId="21700" xr:uid="{01C7EB19-5BF9-4E75-B9B5-1925667C8BAB}"/>
    <cellStyle name="Normal 5 3 3 2 2 2 7 3" xfId="30146" xr:uid="{F4053C1B-89E9-44BF-A78A-BCE88E8CFF94}"/>
    <cellStyle name="Normal 5 3 3 2 2 2 7 4" xfId="13259" xr:uid="{C3E9881D-5459-431B-9571-6E682268DDAC}"/>
    <cellStyle name="Normal 5 3 3 2 2 2 8" xfId="17482" xr:uid="{16A03C8F-7347-45F7-9218-5D96C94B7E83}"/>
    <cellStyle name="Normal 5 3 3 2 2 2 9" xfId="25926" xr:uid="{1BEF5B00-4447-4780-9E36-4C936E51ECAC}"/>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24257" xr:uid="{62B82082-5A83-4955-8E86-99B44DA39D79}"/>
    <cellStyle name="Normal 5 3 3 2 2 3 2 2 3" xfId="32703" xr:uid="{5836E4BC-0282-43C0-9F61-188C6F4DD255}"/>
    <cellStyle name="Normal 5 3 3 2 2 3 2 2 4" xfId="15816" xr:uid="{5578B424-708F-4E0E-BA81-4E8E7BABA169}"/>
    <cellStyle name="Normal 5 3 3 2 2 3 2 3" xfId="20039" xr:uid="{C66D029C-466E-41DE-AFE9-DE6C51E6FC2D}"/>
    <cellStyle name="Normal 5 3 3 2 2 3 2 4" xfId="28486" xr:uid="{03DC1436-F3A1-4407-BCE1-5B22ED886286}"/>
    <cellStyle name="Normal 5 3 3 2 2 3 2 5" xfId="11598" xr:uid="{2DB0D5AC-252F-45B2-B2E4-94070061B141}"/>
    <cellStyle name="Normal 5 3 3 2 2 3 3" xfId="5229" xr:uid="{00000000-0005-0000-0000-00008F190000}"/>
    <cellStyle name="Normal 5 3 3 2 2 3 3 2" xfId="22112" xr:uid="{D737887C-37FB-41B6-955D-544ECF7E339E}"/>
    <cellStyle name="Normal 5 3 3 2 2 3 3 3" xfId="30558" xr:uid="{13E6D72B-4632-4C95-8433-0E068E449387}"/>
    <cellStyle name="Normal 5 3 3 2 2 3 3 4" xfId="13671" xr:uid="{20038C4C-8D99-45A6-974F-D9125365C71E}"/>
    <cellStyle name="Normal 5 3 3 2 2 3 4" xfId="17894" xr:uid="{769C0269-38F5-48A8-9C5D-C36118740A95}"/>
    <cellStyle name="Normal 5 3 3 2 2 3 5" xfId="26339" xr:uid="{20EDF242-7689-475B-8AC1-15D41407E483}"/>
    <cellStyle name="Normal 5 3 3 2 2 3 6" xfId="9453" xr:uid="{DFB7A30D-C606-4FD6-B4F3-BF76AB7A0866}"/>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24670" xr:uid="{5211414D-3256-43CB-8FB4-6ECA24B51238}"/>
    <cellStyle name="Normal 5 3 3 2 2 4 2 2 3" xfId="33116" xr:uid="{3C0E547F-F0FA-4D79-80FD-D69054756207}"/>
    <cellStyle name="Normal 5 3 3 2 2 4 2 2 4" xfId="16229" xr:uid="{6BDD3D90-1ECB-43A9-925A-B55B1727DAE1}"/>
    <cellStyle name="Normal 5 3 3 2 2 4 2 3" xfId="20452" xr:uid="{2376AE4F-A411-4DA9-B684-66A88CAF9590}"/>
    <cellStyle name="Normal 5 3 3 2 2 4 2 4" xfId="28899" xr:uid="{D74A9CF0-C56E-4274-BB50-B7D5EF721897}"/>
    <cellStyle name="Normal 5 3 3 2 2 4 2 5" xfId="12011" xr:uid="{96746AD4-BB8D-4DF0-9A3B-D7DEFEDD325E}"/>
    <cellStyle name="Normal 5 3 3 2 2 4 3" xfId="5642" xr:uid="{00000000-0005-0000-0000-000093190000}"/>
    <cellStyle name="Normal 5 3 3 2 2 4 3 2" xfId="22525" xr:uid="{FA5D5006-43B2-4116-8569-68BDDE14AE33}"/>
    <cellStyle name="Normal 5 3 3 2 2 4 3 3" xfId="30971" xr:uid="{C89B65B5-E3C5-4394-B78A-AB5E8CA5C4E8}"/>
    <cellStyle name="Normal 5 3 3 2 2 4 3 4" xfId="14084" xr:uid="{6D9EA420-00C8-4F6A-8542-CA8246A47934}"/>
    <cellStyle name="Normal 5 3 3 2 2 4 4" xfId="18307" xr:uid="{652AD75C-A8BE-4909-AC3D-75CE5A57FBBA}"/>
    <cellStyle name="Normal 5 3 3 2 2 4 5" xfId="26752" xr:uid="{BFD2CAB5-C9CE-44CD-B03A-86316B25789C}"/>
    <cellStyle name="Normal 5 3 3 2 2 4 6" xfId="9866" xr:uid="{39F1C94B-4526-42F7-B8B9-F568F664E16A}"/>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25083" xr:uid="{A396A5AA-6A18-41E2-8132-A42436AEBF81}"/>
    <cellStyle name="Normal 5 3 3 2 2 5 2 2 3" xfId="33529" xr:uid="{AABBD26D-18F8-4F05-85A8-1C3AA4DFEA2C}"/>
    <cellStyle name="Normal 5 3 3 2 2 5 2 2 4" xfId="16642" xr:uid="{FB38312A-3342-40C0-9C7A-E78727BE68E3}"/>
    <cellStyle name="Normal 5 3 3 2 2 5 2 3" xfId="20865" xr:uid="{2C725265-A690-4C88-92AD-A714344BE917}"/>
    <cellStyle name="Normal 5 3 3 2 2 5 2 4" xfId="29312" xr:uid="{C8D3AAE4-DBED-4B37-95A4-A6A82C44F780}"/>
    <cellStyle name="Normal 5 3 3 2 2 5 2 5" xfId="12424" xr:uid="{0CC1F62B-1F94-48D0-B8A0-E348E71DE6A8}"/>
    <cellStyle name="Normal 5 3 3 2 2 5 3" xfId="6055" xr:uid="{00000000-0005-0000-0000-000097190000}"/>
    <cellStyle name="Normal 5 3 3 2 2 5 3 2" xfId="22938" xr:uid="{C8D1D649-E320-4AB8-9761-8C52E1D26948}"/>
    <cellStyle name="Normal 5 3 3 2 2 5 3 3" xfId="31384" xr:uid="{45A19140-06D4-4D5D-A0DA-74161DC34F20}"/>
    <cellStyle name="Normal 5 3 3 2 2 5 3 4" xfId="14497" xr:uid="{63CABA62-9E42-4247-A447-095D73778571}"/>
    <cellStyle name="Normal 5 3 3 2 2 5 4" xfId="18720" xr:uid="{1CD447C7-2109-4234-88A1-C783154C0DEA}"/>
    <cellStyle name="Normal 5 3 3 2 2 5 5" xfId="27165" xr:uid="{15C8A806-1125-4C22-BAB1-85D357EED5F3}"/>
    <cellStyle name="Normal 5 3 3 2 2 5 6" xfId="10279" xr:uid="{896F2F98-B5BC-4151-B6DB-8C1613F77413}"/>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25496" xr:uid="{35A72461-58DF-4828-B441-0CFB1ABF6097}"/>
    <cellStyle name="Normal 5 3 3 2 2 6 2 2 3" xfId="33942" xr:uid="{7B239E60-7751-4933-BC88-64E3B9251534}"/>
    <cellStyle name="Normal 5 3 3 2 2 6 2 2 4" xfId="17055" xr:uid="{60DA4687-6BB0-417E-BF98-ADD1A1E20940}"/>
    <cellStyle name="Normal 5 3 3 2 2 6 2 3" xfId="21278" xr:uid="{07E9FD55-D9B5-4809-82AE-5330F3E89A5D}"/>
    <cellStyle name="Normal 5 3 3 2 2 6 2 4" xfId="29725" xr:uid="{E23E9EEB-8A40-41EA-ADF6-2F22FCC587C5}"/>
    <cellStyle name="Normal 5 3 3 2 2 6 2 5" xfId="12837" xr:uid="{18FFC23F-3F2E-41C8-A382-0E4519C81F87}"/>
    <cellStyle name="Normal 5 3 3 2 2 6 3" xfId="6468" xr:uid="{00000000-0005-0000-0000-00009B190000}"/>
    <cellStyle name="Normal 5 3 3 2 2 6 3 2" xfId="23351" xr:uid="{67C339B7-1DD4-4E5F-A840-7E1D91A5628C}"/>
    <cellStyle name="Normal 5 3 3 2 2 6 3 3" xfId="31797" xr:uid="{7B8AA75E-C4E9-4587-9477-EA23FDA5B580}"/>
    <cellStyle name="Normal 5 3 3 2 2 6 3 4" xfId="14910" xr:uid="{F3C07029-BECE-4B42-9CEA-4F224E6A9105}"/>
    <cellStyle name="Normal 5 3 3 2 2 6 4" xfId="19133" xr:uid="{7060C01D-4166-4A38-89A1-E6DA1AF62B6E}"/>
    <cellStyle name="Normal 5 3 3 2 2 6 5" xfId="27578" xr:uid="{7F6EDB85-AB63-4FA6-A6D0-A161C9CF5134}"/>
    <cellStyle name="Normal 5 3 3 2 2 6 6" xfId="10692" xr:uid="{6AC71FA4-87D5-490B-9EE4-40D17F5C71B8}"/>
    <cellStyle name="Normal 5 3 3 2 2 7" xfId="2597" xr:uid="{00000000-0005-0000-0000-00009C190000}"/>
    <cellStyle name="Normal 5 3 3 2 2 7 2" xfId="6881" xr:uid="{00000000-0005-0000-0000-00009D190000}"/>
    <cellStyle name="Normal 5 3 3 2 2 7 2 2" xfId="23764" xr:uid="{1550302E-676D-4FAF-81A2-BB1E5B3D6BB0}"/>
    <cellStyle name="Normal 5 3 3 2 2 7 2 3" xfId="32210" xr:uid="{AA21BA76-18F7-4EE8-BDA1-4ABDEB680005}"/>
    <cellStyle name="Normal 5 3 3 2 2 7 2 4" xfId="15323" xr:uid="{26C31546-A115-42BA-8EB6-1F0EB42F63D1}"/>
    <cellStyle name="Normal 5 3 3 2 2 7 3" xfId="19546" xr:uid="{69B0B5B4-6AE0-4E6C-817A-A14686C4DA8D}"/>
    <cellStyle name="Normal 5 3 3 2 2 7 4" xfId="27991" xr:uid="{4A627456-F50A-421A-B2A3-E818DBD9CAF1}"/>
    <cellStyle name="Normal 5 3 3 2 2 7 5" xfId="11105" xr:uid="{78152FB5-3CCD-4D45-B648-1A0733BE951A}"/>
    <cellStyle name="Normal 5 3 3 2 2 8" xfId="4816" xr:uid="{00000000-0005-0000-0000-00009E190000}"/>
    <cellStyle name="Normal 5 3 3 2 2 8 2" xfId="21699" xr:uid="{B2A90FAF-DE61-4FA7-8414-F5718C775B0E}"/>
    <cellStyle name="Normal 5 3 3 2 2 8 3" xfId="30145" xr:uid="{A0E52FC6-124D-45DF-B4FC-848B0B0BBFFE}"/>
    <cellStyle name="Normal 5 3 3 2 2 8 4" xfId="13258" xr:uid="{49C91745-AEF0-48F9-86F2-F4D85F94B2CC}"/>
    <cellStyle name="Normal 5 3 3 2 2 9" xfId="17481" xr:uid="{CAC3FFB3-6C48-4E99-BD65-9129AB1F6052}"/>
    <cellStyle name="Normal 5 3 3 2 3" xfId="445" xr:uid="{00000000-0005-0000-0000-00009F190000}"/>
    <cellStyle name="Normal 5 3 3 2 3 10" xfId="9042" xr:uid="{85FA2E68-2E6B-4781-B3C6-AAEB86DD54D4}"/>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24259" xr:uid="{EFD2D81A-9E5C-49A8-AF36-2534E7FD43D6}"/>
    <cellStyle name="Normal 5 3 3 2 3 2 2 2 3" xfId="32705" xr:uid="{D00DAE7A-A360-44C6-A21E-1719CD983C30}"/>
    <cellStyle name="Normal 5 3 3 2 3 2 2 2 4" xfId="15818" xr:uid="{2A1C377E-1856-4974-87A8-20FDDD8DB2C9}"/>
    <cellStyle name="Normal 5 3 3 2 3 2 2 3" xfId="20041" xr:uid="{4B9A4892-5492-4487-AD52-DC18B7A1FA51}"/>
    <cellStyle name="Normal 5 3 3 2 3 2 2 4" xfId="28488" xr:uid="{3B5DC0C8-B239-479D-96FE-E732633FD16B}"/>
    <cellStyle name="Normal 5 3 3 2 3 2 2 5" xfId="11600" xr:uid="{121EB61B-8365-4DE9-A4CE-FC38FD70F488}"/>
    <cellStyle name="Normal 5 3 3 2 3 2 3" xfId="5231" xr:uid="{00000000-0005-0000-0000-0000A3190000}"/>
    <cellStyle name="Normal 5 3 3 2 3 2 3 2" xfId="22114" xr:uid="{E19BDB94-300A-463E-B4DE-9784C76B8658}"/>
    <cellStyle name="Normal 5 3 3 2 3 2 3 3" xfId="30560" xr:uid="{5230E3A3-9144-4A9B-A2E3-B056EE9F457E}"/>
    <cellStyle name="Normal 5 3 3 2 3 2 3 4" xfId="13673" xr:uid="{7F58FEE2-AE26-4061-B039-6B6FEF5CEDF5}"/>
    <cellStyle name="Normal 5 3 3 2 3 2 4" xfId="17896" xr:uid="{0C846D05-C715-4BA9-8FAB-FD59B142ECB8}"/>
    <cellStyle name="Normal 5 3 3 2 3 2 5" xfId="26341" xr:uid="{44C6718F-CBF7-40E0-B3EE-DFEF89539BFF}"/>
    <cellStyle name="Normal 5 3 3 2 3 2 6" xfId="9455" xr:uid="{636C4278-7C4A-46C8-9975-2B663B857513}"/>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24672" xr:uid="{AB234072-7C82-45F3-BFE5-0EA4762FBEBB}"/>
    <cellStyle name="Normal 5 3 3 2 3 3 2 2 3" xfId="33118" xr:uid="{35F0B063-D260-4A65-B790-BECE6181D9F9}"/>
    <cellStyle name="Normal 5 3 3 2 3 3 2 2 4" xfId="16231" xr:uid="{85B8CC98-D35A-480C-B6BD-A289A1A1712E}"/>
    <cellStyle name="Normal 5 3 3 2 3 3 2 3" xfId="20454" xr:uid="{31F09286-6601-4448-B0A2-44192874DEA6}"/>
    <cellStyle name="Normal 5 3 3 2 3 3 2 4" xfId="28901" xr:uid="{21038558-C147-423E-8482-0DA9588EC738}"/>
    <cellStyle name="Normal 5 3 3 2 3 3 2 5" xfId="12013" xr:uid="{A97A9CF9-30AF-4046-B815-2AE16B66424E}"/>
    <cellStyle name="Normal 5 3 3 2 3 3 3" xfId="5644" xr:uid="{00000000-0005-0000-0000-0000A7190000}"/>
    <cellStyle name="Normal 5 3 3 2 3 3 3 2" xfId="22527" xr:uid="{C9902AD4-0B5F-4342-8D14-5C84D24C318C}"/>
    <cellStyle name="Normal 5 3 3 2 3 3 3 3" xfId="30973" xr:uid="{29B4BCFC-2D1C-415C-8DB3-570C6DC14225}"/>
    <cellStyle name="Normal 5 3 3 2 3 3 3 4" xfId="14086" xr:uid="{87C753ED-058F-4732-9EC8-CF825614FB59}"/>
    <cellStyle name="Normal 5 3 3 2 3 3 4" xfId="18309" xr:uid="{083983FC-373D-4F08-B917-507D4D81C2CB}"/>
    <cellStyle name="Normal 5 3 3 2 3 3 5" xfId="26754" xr:uid="{24705003-AFF9-4716-A3E7-795EAABF0B2A}"/>
    <cellStyle name="Normal 5 3 3 2 3 3 6" xfId="9868" xr:uid="{8289DE09-6A65-420C-BD29-4E70A1A074F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25085" xr:uid="{E734A902-E77B-4310-BE52-23DB095C8BCC}"/>
    <cellStyle name="Normal 5 3 3 2 3 4 2 2 3" xfId="33531" xr:uid="{03FF4B31-5D40-47EB-B89F-A06A35F9E4F6}"/>
    <cellStyle name="Normal 5 3 3 2 3 4 2 2 4" xfId="16644" xr:uid="{840E73D7-4340-49F9-8097-47062A653E4C}"/>
    <cellStyle name="Normal 5 3 3 2 3 4 2 3" xfId="20867" xr:uid="{1D2CC456-2F1B-45A7-B28F-6CE70B1647CA}"/>
    <cellStyle name="Normal 5 3 3 2 3 4 2 4" xfId="29314" xr:uid="{B1C171D1-B31E-4AE4-BDF7-7B88D1CFDFE6}"/>
    <cellStyle name="Normal 5 3 3 2 3 4 2 5" xfId="12426" xr:uid="{0846FC4C-1C7A-4A85-8499-C060A5B0B43A}"/>
    <cellStyle name="Normal 5 3 3 2 3 4 3" xfId="6057" xr:uid="{00000000-0005-0000-0000-0000AB190000}"/>
    <cellStyle name="Normal 5 3 3 2 3 4 3 2" xfId="22940" xr:uid="{FC0AA155-13F2-4923-9F0F-B0B4415AD30C}"/>
    <cellStyle name="Normal 5 3 3 2 3 4 3 3" xfId="31386" xr:uid="{22E08A3A-AACE-4BD9-BAD1-4BAF689859C2}"/>
    <cellStyle name="Normal 5 3 3 2 3 4 3 4" xfId="14499" xr:uid="{C29FDFE2-F2C8-47A4-84A8-C12DEDD6C54E}"/>
    <cellStyle name="Normal 5 3 3 2 3 4 4" xfId="18722" xr:uid="{5C3BC93F-DA1F-408E-80D8-1260873DF470}"/>
    <cellStyle name="Normal 5 3 3 2 3 4 5" xfId="27167" xr:uid="{1F9B21A0-5716-4712-83C0-BC3A90F67107}"/>
    <cellStyle name="Normal 5 3 3 2 3 4 6" xfId="10281" xr:uid="{71F0FD10-9F42-4403-AC8B-5C15C1F3AB5A}"/>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25498" xr:uid="{DE5E0C23-F962-40C6-8AFB-6A9B6370CACF}"/>
    <cellStyle name="Normal 5 3 3 2 3 5 2 2 3" xfId="33944" xr:uid="{D4333764-9C4A-461E-9530-901F7A18DCBE}"/>
    <cellStyle name="Normal 5 3 3 2 3 5 2 2 4" xfId="17057" xr:uid="{DDB73F55-04BD-4910-AAD8-82F0B368FDA3}"/>
    <cellStyle name="Normal 5 3 3 2 3 5 2 3" xfId="21280" xr:uid="{184A7A07-3961-4141-9807-E34DF1E1D271}"/>
    <cellStyle name="Normal 5 3 3 2 3 5 2 4" xfId="29727" xr:uid="{A222FF6E-CEDF-4265-93D8-0CF489CF1270}"/>
    <cellStyle name="Normal 5 3 3 2 3 5 2 5" xfId="12839" xr:uid="{C4C5E8A9-87B4-4E63-A53E-1795ED12F81B}"/>
    <cellStyle name="Normal 5 3 3 2 3 5 3" xfId="6470" xr:uid="{00000000-0005-0000-0000-0000AF190000}"/>
    <cellStyle name="Normal 5 3 3 2 3 5 3 2" xfId="23353" xr:uid="{939C51BA-8466-4564-9691-BD6E4E467A64}"/>
    <cellStyle name="Normal 5 3 3 2 3 5 3 3" xfId="31799" xr:uid="{6E16EEFC-F92A-44FB-AE35-B52E14D84274}"/>
    <cellStyle name="Normal 5 3 3 2 3 5 3 4" xfId="14912" xr:uid="{1EE6D4C0-6615-411E-AE8B-8317C886E099}"/>
    <cellStyle name="Normal 5 3 3 2 3 5 4" xfId="19135" xr:uid="{4B5E9AF1-780E-4227-91CA-407C359C7775}"/>
    <cellStyle name="Normal 5 3 3 2 3 5 5" xfId="27580" xr:uid="{B5F23569-57FE-4E48-AA93-4B9E954EC916}"/>
    <cellStyle name="Normal 5 3 3 2 3 5 6" xfId="10694" xr:uid="{F0FDF57D-C54A-423A-857A-8E1A43709864}"/>
    <cellStyle name="Normal 5 3 3 2 3 6" xfId="2599" xr:uid="{00000000-0005-0000-0000-0000B0190000}"/>
    <cellStyle name="Normal 5 3 3 2 3 6 2" xfId="6883" xr:uid="{00000000-0005-0000-0000-0000B1190000}"/>
    <cellStyle name="Normal 5 3 3 2 3 6 2 2" xfId="23766" xr:uid="{49F52F34-3518-47E1-B491-310B24FA894C}"/>
    <cellStyle name="Normal 5 3 3 2 3 6 2 3" xfId="32212" xr:uid="{CAB19215-C9F4-4DB3-A3A3-7EE6F8FF72D8}"/>
    <cellStyle name="Normal 5 3 3 2 3 6 2 4" xfId="15325" xr:uid="{31AEA69F-ED56-4158-BD72-39F4DA152175}"/>
    <cellStyle name="Normal 5 3 3 2 3 6 3" xfId="19548" xr:uid="{8E2AEF94-CA18-469D-9606-00237D3A8187}"/>
    <cellStyle name="Normal 5 3 3 2 3 6 4" xfId="27993" xr:uid="{69260A34-795C-47CF-89DF-B049CBD40ABA}"/>
    <cellStyle name="Normal 5 3 3 2 3 6 5" xfId="11107" xr:uid="{2B221C20-D1D7-4B03-9332-995D5665E404}"/>
    <cellStyle name="Normal 5 3 3 2 3 7" xfId="4818" xr:uid="{00000000-0005-0000-0000-0000B2190000}"/>
    <cellStyle name="Normal 5 3 3 2 3 7 2" xfId="21701" xr:uid="{CC26C92C-81B3-43E1-A236-12CE2A4642A0}"/>
    <cellStyle name="Normal 5 3 3 2 3 7 3" xfId="30147" xr:uid="{E3D1468A-E755-49A1-8C8D-56B0DDA54DFC}"/>
    <cellStyle name="Normal 5 3 3 2 3 7 4" xfId="13260" xr:uid="{4B96CEC5-6893-406A-955B-F80F7B6424A2}"/>
    <cellStyle name="Normal 5 3 3 2 3 8" xfId="17483" xr:uid="{847B80C4-3D23-4CFE-9E8A-8BB5377F540B}"/>
    <cellStyle name="Normal 5 3 3 2 3 9" xfId="25927" xr:uid="{203AB2E3-52EA-4873-ACC2-C00722718A41}"/>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24256" xr:uid="{0187D66F-DB77-47F4-94AB-6BAF9672F4FF}"/>
    <cellStyle name="Normal 5 3 3 2 4 2 2 3" xfId="32702" xr:uid="{7CE5D74E-CC8D-4E08-A881-1A68719D9DDE}"/>
    <cellStyle name="Normal 5 3 3 2 4 2 2 4" xfId="15815" xr:uid="{940FC32B-C8F1-4AB4-AFC5-3A5DD6DD22B6}"/>
    <cellStyle name="Normal 5 3 3 2 4 2 3" xfId="20038" xr:uid="{ABC04CF6-04BD-454D-92E7-5EFB300109ED}"/>
    <cellStyle name="Normal 5 3 3 2 4 2 4" xfId="28485" xr:uid="{E2893363-C6EB-4572-859F-0EC7B4331F09}"/>
    <cellStyle name="Normal 5 3 3 2 4 2 5" xfId="11597" xr:uid="{DFF52A6F-9642-409F-AA0A-355F11F00B1C}"/>
    <cellStyle name="Normal 5 3 3 2 4 3" xfId="5228" xr:uid="{00000000-0005-0000-0000-0000B6190000}"/>
    <cellStyle name="Normal 5 3 3 2 4 3 2" xfId="22111" xr:uid="{2A7498A5-AAC4-4F54-989E-BC6BA19B4D61}"/>
    <cellStyle name="Normal 5 3 3 2 4 3 3" xfId="30557" xr:uid="{88FB8AF6-ADC4-4AF4-8C33-6AF0A5E736C5}"/>
    <cellStyle name="Normal 5 3 3 2 4 3 4" xfId="13670" xr:uid="{57269FBF-0E46-42A8-984A-98590DAED3B7}"/>
    <cellStyle name="Normal 5 3 3 2 4 4" xfId="17893" xr:uid="{3F88FAC5-B77E-48BD-81F5-88F3A4D31ACE}"/>
    <cellStyle name="Normal 5 3 3 2 4 5" xfId="26338" xr:uid="{576AD062-DC71-40D7-B7AA-DB6719804BEB}"/>
    <cellStyle name="Normal 5 3 3 2 4 6" xfId="9452" xr:uid="{C15FF30B-67EB-4CE1-ACCC-1507133D2B8A}"/>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24669" xr:uid="{7CE996F4-91EC-4D82-BB3F-A7EA7825A395}"/>
    <cellStyle name="Normal 5 3 3 2 5 2 2 3" xfId="33115" xr:uid="{39E677FC-A669-41B7-B486-8A150E92B9FE}"/>
    <cellStyle name="Normal 5 3 3 2 5 2 2 4" xfId="16228" xr:uid="{C6FEA327-B4DC-44FD-9DFB-0209811C01F9}"/>
    <cellStyle name="Normal 5 3 3 2 5 2 3" xfId="20451" xr:uid="{FB65C94B-997D-4C0B-A900-EF07E29F84B0}"/>
    <cellStyle name="Normal 5 3 3 2 5 2 4" xfId="28898" xr:uid="{93C773C2-4445-4ACC-B944-2B366C404CD2}"/>
    <cellStyle name="Normal 5 3 3 2 5 2 5" xfId="12010" xr:uid="{E8C2B565-DB2F-4BA6-BDC1-F6E9ABA55E11}"/>
    <cellStyle name="Normal 5 3 3 2 5 3" xfId="5641" xr:uid="{00000000-0005-0000-0000-0000BA190000}"/>
    <cellStyle name="Normal 5 3 3 2 5 3 2" xfId="22524" xr:uid="{AC5F7B0B-9A1B-4014-A079-52FE5C5140E2}"/>
    <cellStyle name="Normal 5 3 3 2 5 3 3" xfId="30970" xr:uid="{265DD92F-8B56-4E85-8CBD-1D5756ACD7B5}"/>
    <cellStyle name="Normal 5 3 3 2 5 3 4" xfId="14083" xr:uid="{FBE83474-11BE-4C7B-B0CB-E5AEA2B824A6}"/>
    <cellStyle name="Normal 5 3 3 2 5 4" xfId="18306" xr:uid="{72B0C936-D0C0-4721-B1AD-9D95305F2A35}"/>
    <cellStyle name="Normal 5 3 3 2 5 5" xfId="26751" xr:uid="{62DB0851-3A23-4D1A-A602-502B8492B4EC}"/>
    <cellStyle name="Normal 5 3 3 2 5 6" xfId="9865" xr:uid="{80DEE38D-3D4E-4B4B-9ED0-226314130E01}"/>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25082" xr:uid="{11AB8331-FEE8-4CCA-8556-C4E4863ED692}"/>
    <cellStyle name="Normal 5 3 3 2 6 2 2 3" xfId="33528" xr:uid="{F33331AE-9759-4AFE-898C-811660E6F66F}"/>
    <cellStyle name="Normal 5 3 3 2 6 2 2 4" xfId="16641" xr:uid="{05D27177-C918-4AC6-96DB-B83E03A472B9}"/>
    <cellStyle name="Normal 5 3 3 2 6 2 3" xfId="20864" xr:uid="{4D4EC448-2AFB-45AE-8DEB-F57ECF20105C}"/>
    <cellStyle name="Normal 5 3 3 2 6 2 4" xfId="29311" xr:uid="{00E6431A-5C15-48DC-822F-5E276D250CAF}"/>
    <cellStyle name="Normal 5 3 3 2 6 2 5" xfId="12423" xr:uid="{CEF0A127-51B2-4E36-BF9D-75151CDA4201}"/>
    <cellStyle name="Normal 5 3 3 2 6 3" xfId="6054" xr:uid="{00000000-0005-0000-0000-0000BE190000}"/>
    <cellStyle name="Normal 5 3 3 2 6 3 2" xfId="22937" xr:uid="{82515149-F06E-4842-95B1-C58D5B3A1A03}"/>
    <cellStyle name="Normal 5 3 3 2 6 3 3" xfId="31383" xr:uid="{E4468D37-A19A-4D97-8A69-4365B4DB2399}"/>
    <cellStyle name="Normal 5 3 3 2 6 3 4" xfId="14496" xr:uid="{226E5F14-BD7B-416A-9D2D-3237A893EBF5}"/>
    <cellStyle name="Normal 5 3 3 2 6 4" xfId="18719" xr:uid="{DE09CD91-A2B5-424A-A475-85C5CD963FDE}"/>
    <cellStyle name="Normal 5 3 3 2 6 5" xfId="27164" xr:uid="{D103E3D6-C506-4C91-8D65-570467C7C0B0}"/>
    <cellStyle name="Normal 5 3 3 2 6 6" xfId="10278" xr:uid="{0CB19731-28ED-4F44-BBDD-1B8F17FCFEF1}"/>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25495" xr:uid="{1C035E4C-4E6B-435F-B448-EE841BCC149E}"/>
    <cellStyle name="Normal 5 3 3 2 7 2 2 3" xfId="33941" xr:uid="{8D9B113B-A182-4102-ABAB-432C5C9D329C}"/>
    <cellStyle name="Normal 5 3 3 2 7 2 2 4" xfId="17054" xr:uid="{0F535D12-C24D-4074-940D-DA91234658C8}"/>
    <cellStyle name="Normal 5 3 3 2 7 2 3" xfId="21277" xr:uid="{2ADC4B70-D71F-4E47-87E8-E55DBC1EE7A1}"/>
    <cellStyle name="Normal 5 3 3 2 7 2 4" xfId="29724" xr:uid="{D6B6E88E-2415-4360-8909-EAD890AF1EAB}"/>
    <cellStyle name="Normal 5 3 3 2 7 2 5" xfId="12836" xr:uid="{26CB6B35-C4FE-402C-B04C-57FE0845CF17}"/>
    <cellStyle name="Normal 5 3 3 2 7 3" xfId="6467" xr:uid="{00000000-0005-0000-0000-0000C2190000}"/>
    <cellStyle name="Normal 5 3 3 2 7 3 2" xfId="23350" xr:uid="{3A870497-9A76-456F-B6E3-94A4A3F75F14}"/>
    <cellStyle name="Normal 5 3 3 2 7 3 3" xfId="31796" xr:uid="{C82917B0-EF58-4F99-A014-F0F0118355C2}"/>
    <cellStyle name="Normal 5 3 3 2 7 3 4" xfId="14909" xr:uid="{1588F9B8-0BA4-4FC3-BFAB-80390C2C8158}"/>
    <cellStyle name="Normal 5 3 3 2 7 4" xfId="19132" xr:uid="{F2A44087-6143-4471-86A4-923368E5A9EF}"/>
    <cellStyle name="Normal 5 3 3 2 7 5" xfId="27577" xr:uid="{B944DC28-97F5-468F-B375-8AB8D273AEA2}"/>
    <cellStyle name="Normal 5 3 3 2 7 6" xfId="10691" xr:uid="{45B66757-5D28-4250-9400-041BC7D2DEBE}"/>
    <cellStyle name="Normal 5 3 3 2 8" xfId="2596" xr:uid="{00000000-0005-0000-0000-0000C3190000}"/>
    <cellStyle name="Normal 5 3 3 2 8 2" xfId="6880" xr:uid="{00000000-0005-0000-0000-0000C4190000}"/>
    <cellStyle name="Normal 5 3 3 2 8 2 2" xfId="23763" xr:uid="{D2D82410-CD99-41FE-9D56-70B188FD5333}"/>
    <cellStyle name="Normal 5 3 3 2 8 2 3" xfId="32209" xr:uid="{3EF1FCD2-731C-4D51-AD6B-635EEA7ACA85}"/>
    <cellStyle name="Normal 5 3 3 2 8 2 4" xfId="15322" xr:uid="{6821BB0D-0E25-4BC8-920B-0C8B0A4273A4}"/>
    <cellStyle name="Normal 5 3 3 2 8 3" xfId="19545" xr:uid="{5F108E61-47DB-4062-AAF7-62231BB4D715}"/>
    <cellStyle name="Normal 5 3 3 2 8 4" xfId="27990" xr:uid="{A4549FA9-A182-414D-BA65-31C176CB1612}"/>
    <cellStyle name="Normal 5 3 3 2 8 5" xfId="11104" xr:uid="{34AF2905-1202-4779-9AA4-4E7B578B0856}"/>
    <cellStyle name="Normal 5 3 3 2 9" xfId="4815" xr:uid="{00000000-0005-0000-0000-0000C5190000}"/>
    <cellStyle name="Normal 5 3 3 2 9 2" xfId="21698" xr:uid="{665FA3F0-C35E-4F93-8D57-E5728299F13B}"/>
    <cellStyle name="Normal 5 3 3 2 9 3" xfId="30144" xr:uid="{DEC96355-2F0F-4626-94D9-F71F1F037C80}"/>
    <cellStyle name="Normal 5 3 3 2 9 4" xfId="13257" xr:uid="{58036707-E298-4747-ABD3-71A767D06FCC}"/>
    <cellStyle name="Normal 5 3 3 3" xfId="446" xr:uid="{00000000-0005-0000-0000-0000C6190000}"/>
    <cellStyle name="Normal 5 3 3 3 10" xfId="25928" xr:uid="{8567F160-6131-45AD-8931-513AA0E0C376}"/>
    <cellStyle name="Normal 5 3 3 3 11" xfId="9043" xr:uid="{81C13F0B-A429-412A-AF0A-581406B09020}"/>
    <cellStyle name="Normal 5 3 3 3 2" xfId="447" xr:uid="{00000000-0005-0000-0000-0000C7190000}"/>
    <cellStyle name="Normal 5 3 3 3 2 10" xfId="9044" xr:uid="{8A6707E2-A716-43ED-8831-5C29AECB201E}"/>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24261" xr:uid="{B6CF9658-7F54-4C03-BCB4-945101F7D8A5}"/>
    <cellStyle name="Normal 5 3 3 3 2 2 2 2 3" xfId="32707" xr:uid="{6CF52890-45FF-4BA6-B34E-A6BF1ED86617}"/>
    <cellStyle name="Normal 5 3 3 3 2 2 2 2 4" xfId="15820" xr:uid="{02C6599D-0C3A-4C55-8873-BCC3BF9B4A5E}"/>
    <cellStyle name="Normal 5 3 3 3 2 2 2 3" xfId="20043" xr:uid="{92E6EB55-09D8-4443-830B-63C64D00E34C}"/>
    <cellStyle name="Normal 5 3 3 3 2 2 2 4" xfId="28490" xr:uid="{1B8069DF-126D-4879-BD7B-B52F5DFA0751}"/>
    <cellStyle name="Normal 5 3 3 3 2 2 2 5" xfId="11602" xr:uid="{ABAE2B9F-8E24-4AD2-8E68-91B0FABEB306}"/>
    <cellStyle name="Normal 5 3 3 3 2 2 3" xfId="5233" xr:uid="{00000000-0005-0000-0000-0000CB190000}"/>
    <cellStyle name="Normal 5 3 3 3 2 2 3 2" xfId="22116" xr:uid="{D22BF814-18B3-492D-AA39-138556BD20CD}"/>
    <cellStyle name="Normal 5 3 3 3 2 2 3 3" xfId="30562" xr:uid="{7907501E-66BD-4579-B36A-C5835C8272AC}"/>
    <cellStyle name="Normal 5 3 3 3 2 2 3 4" xfId="13675" xr:uid="{6F1EDE50-81A9-4FE9-A5F9-CED258081DBC}"/>
    <cellStyle name="Normal 5 3 3 3 2 2 4" xfId="17898" xr:uid="{30FD41EE-2A2A-49BB-9514-FD95679556D3}"/>
    <cellStyle name="Normal 5 3 3 3 2 2 5" xfId="26343" xr:uid="{E0F90F9A-768F-4A12-9BC0-FD1E3DFBAA56}"/>
    <cellStyle name="Normal 5 3 3 3 2 2 6" xfId="9457" xr:uid="{DF4A5065-B920-48F6-8F19-FCCEB950943A}"/>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24674" xr:uid="{D4785CD3-A5FF-4492-B95E-D3DE9F5F5CE6}"/>
    <cellStyle name="Normal 5 3 3 3 2 3 2 2 3" xfId="33120" xr:uid="{3985F4A6-641C-4FFA-945C-C897E0AD1C06}"/>
    <cellStyle name="Normal 5 3 3 3 2 3 2 2 4" xfId="16233" xr:uid="{247A2D3B-F5B1-4CFA-A3C7-B3C728004C6D}"/>
    <cellStyle name="Normal 5 3 3 3 2 3 2 3" xfId="20456" xr:uid="{23A1FBEA-64EB-4A7E-AE0C-B289B399D3B3}"/>
    <cellStyle name="Normal 5 3 3 3 2 3 2 4" xfId="28903" xr:uid="{3C64016A-44B8-4AB8-B6BF-543C9574E066}"/>
    <cellStyle name="Normal 5 3 3 3 2 3 2 5" xfId="12015" xr:uid="{94AA90E3-4E19-4DC0-8E1B-6059070FBF98}"/>
    <cellStyle name="Normal 5 3 3 3 2 3 3" xfId="5646" xr:uid="{00000000-0005-0000-0000-0000CF190000}"/>
    <cellStyle name="Normal 5 3 3 3 2 3 3 2" xfId="22529" xr:uid="{8DC8A430-0BFA-4DEC-B230-EE76EA7B8041}"/>
    <cellStyle name="Normal 5 3 3 3 2 3 3 3" xfId="30975" xr:uid="{85547524-701B-44C8-B37E-08A437790BA5}"/>
    <cellStyle name="Normal 5 3 3 3 2 3 3 4" xfId="14088" xr:uid="{3F68FD1A-BBC7-4412-8173-8A653FDC6286}"/>
    <cellStyle name="Normal 5 3 3 3 2 3 4" xfId="18311" xr:uid="{120582FA-AC26-44AA-AEF3-72EC8C9CACE6}"/>
    <cellStyle name="Normal 5 3 3 3 2 3 5" xfId="26756" xr:uid="{245AA9C8-2CC9-40BE-9BA9-23C1AA82B2EC}"/>
    <cellStyle name="Normal 5 3 3 3 2 3 6" xfId="9870" xr:uid="{98163B5F-F4D7-4A74-851F-DF171D5C2B97}"/>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25087" xr:uid="{99FEA72B-98FD-4867-A906-D1EDDEE190FF}"/>
    <cellStyle name="Normal 5 3 3 3 2 4 2 2 3" xfId="33533" xr:uid="{403CB3CC-61CC-4D81-A111-08F0DABA8216}"/>
    <cellStyle name="Normal 5 3 3 3 2 4 2 2 4" xfId="16646" xr:uid="{83F934D3-9D4C-4BC9-BE08-4F807249CD44}"/>
    <cellStyle name="Normal 5 3 3 3 2 4 2 3" xfId="20869" xr:uid="{FF35D732-834F-4BB0-B647-A05428360AB8}"/>
    <cellStyle name="Normal 5 3 3 3 2 4 2 4" xfId="29316" xr:uid="{E8EB604D-7DE9-49BA-B208-3BCADC8B71E4}"/>
    <cellStyle name="Normal 5 3 3 3 2 4 2 5" xfId="12428" xr:uid="{AF8D4F7D-448B-4D3B-9473-A7C93C1C5488}"/>
    <cellStyle name="Normal 5 3 3 3 2 4 3" xfId="6059" xr:uid="{00000000-0005-0000-0000-0000D3190000}"/>
    <cellStyle name="Normal 5 3 3 3 2 4 3 2" xfId="22942" xr:uid="{9754F1D3-37D2-47DF-9317-E7E2CA8F241E}"/>
    <cellStyle name="Normal 5 3 3 3 2 4 3 3" xfId="31388" xr:uid="{DBBE7B23-511D-4EA9-9190-5178F16C61ED}"/>
    <cellStyle name="Normal 5 3 3 3 2 4 3 4" xfId="14501" xr:uid="{7E316225-97CB-455E-BE5B-FCE42C39FAA4}"/>
    <cellStyle name="Normal 5 3 3 3 2 4 4" xfId="18724" xr:uid="{4F0BBDD7-385C-49DE-8B26-D4BCF66336FC}"/>
    <cellStyle name="Normal 5 3 3 3 2 4 5" xfId="27169" xr:uid="{22CE0109-6FE0-4EDA-A123-2A60CA4B76E2}"/>
    <cellStyle name="Normal 5 3 3 3 2 4 6" xfId="10283" xr:uid="{953C5CCE-AFA6-49EE-B1CE-B0F8143F4D8A}"/>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25500" xr:uid="{FE4634A4-3758-402E-82C6-04DE6421EA4C}"/>
    <cellStyle name="Normal 5 3 3 3 2 5 2 2 3" xfId="33946" xr:uid="{B8148737-DF6B-4BB0-B5DC-213C1767AEE1}"/>
    <cellStyle name="Normal 5 3 3 3 2 5 2 2 4" xfId="17059" xr:uid="{F724A7C0-EFEA-4B20-A676-D96662090610}"/>
    <cellStyle name="Normal 5 3 3 3 2 5 2 3" xfId="21282" xr:uid="{704EF0ED-3BE7-49A2-A30E-CE3E0CE5989C}"/>
    <cellStyle name="Normal 5 3 3 3 2 5 2 4" xfId="29729" xr:uid="{B7882246-BC4C-42F8-B734-0F4EFFC83A4E}"/>
    <cellStyle name="Normal 5 3 3 3 2 5 2 5" xfId="12841" xr:uid="{E8AAEFAE-59DC-4019-8DBC-D6874377DCB6}"/>
    <cellStyle name="Normal 5 3 3 3 2 5 3" xfId="6472" xr:uid="{00000000-0005-0000-0000-0000D7190000}"/>
    <cellStyle name="Normal 5 3 3 3 2 5 3 2" xfId="23355" xr:uid="{22B13224-3D8D-49C9-BFE5-1F1ECCD5CB54}"/>
    <cellStyle name="Normal 5 3 3 3 2 5 3 3" xfId="31801" xr:uid="{72CA187C-0B8C-4BEC-BFFF-398E7F2A53DA}"/>
    <cellStyle name="Normal 5 3 3 3 2 5 3 4" xfId="14914" xr:uid="{8B35BA7E-AF2E-4841-B02C-5AF8F8CAD6A5}"/>
    <cellStyle name="Normal 5 3 3 3 2 5 4" xfId="19137" xr:uid="{F3F43B7F-59BF-4A8B-AE64-F064264DCC85}"/>
    <cellStyle name="Normal 5 3 3 3 2 5 5" xfId="27582" xr:uid="{DCC56F91-8609-4C85-9E46-0AA80D1B014C}"/>
    <cellStyle name="Normal 5 3 3 3 2 5 6" xfId="10696" xr:uid="{8329C37A-562A-4D3A-A7BF-1D874B29A86A}"/>
    <cellStyle name="Normal 5 3 3 3 2 6" xfId="2601" xr:uid="{00000000-0005-0000-0000-0000D8190000}"/>
    <cellStyle name="Normal 5 3 3 3 2 6 2" xfId="6885" xr:uid="{00000000-0005-0000-0000-0000D9190000}"/>
    <cellStyle name="Normal 5 3 3 3 2 6 2 2" xfId="23768" xr:uid="{36A3ED7B-1675-47A6-B4E4-71DD1182B277}"/>
    <cellStyle name="Normal 5 3 3 3 2 6 2 3" xfId="32214" xr:uid="{2D8DCD5A-CFBC-45DF-BB70-22A43AB9D7DF}"/>
    <cellStyle name="Normal 5 3 3 3 2 6 2 4" xfId="15327" xr:uid="{7416E3F1-8F2B-4AF6-8B27-DFC8EEBCCFF3}"/>
    <cellStyle name="Normal 5 3 3 3 2 6 3" xfId="19550" xr:uid="{EDCAE654-5025-4F99-A1B8-03134EF0A8CF}"/>
    <cellStyle name="Normal 5 3 3 3 2 6 4" xfId="27995" xr:uid="{950EE578-CBDA-4917-B7FD-D4DDDA1F3034}"/>
    <cellStyle name="Normal 5 3 3 3 2 6 5" xfId="11109" xr:uid="{F744C430-D77D-4CC4-B8CD-3012125CD48D}"/>
    <cellStyle name="Normal 5 3 3 3 2 7" xfId="4820" xr:uid="{00000000-0005-0000-0000-0000DA190000}"/>
    <cellStyle name="Normal 5 3 3 3 2 7 2" xfId="21703" xr:uid="{40DB8C57-9CAD-49BD-BF76-404263CA82AE}"/>
    <cellStyle name="Normal 5 3 3 3 2 7 3" xfId="30149" xr:uid="{02F6CF16-D2D0-4510-8D99-547890C73EAD}"/>
    <cellStyle name="Normal 5 3 3 3 2 7 4" xfId="13262" xr:uid="{2A8629DD-20F2-4E23-A284-9C08AF59970A}"/>
    <cellStyle name="Normal 5 3 3 3 2 8" xfId="17485" xr:uid="{67203C76-DF08-4F4B-835B-C4DA7B67BFDD}"/>
    <cellStyle name="Normal 5 3 3 3 2 9" xfId="25929" xr:uid="{C354CA13-2603-4C0E-9F00-B20543B8EB83}"/>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24260" xr:uid="{53719C5B-3AEC-43BE-8BB7-EA10C965515D}"/>
    <cellStyle name="Normal 5 3 3 3 3 2 2 3" xfId="32706" xr:uid="{69E5E6DB-2B99-4C2B-8A86-47E93BC7FC33}"/>
    <cellStyle name="Normal 5 3 3 3 3 2 2 4" xfId="15819" xr:uid="{7196F18A-4905-427C-9C1C-319F66AE135C}"/>
    <cellStyle name="Normal 5 3 3 3 3 2 3" xfId="20042" xr:uid="{51BEF99C-100D-4F3F-BC30-C56AAD44F8F6}"/>
    <cellStyle name="Normal 5 3 3 3 3 2 4" xfId="28489" xr:uid="{A21D49A3-3348-4CE9-B113-68669C7F5565}"/>
    <cellStyle name="Normal 5 3 3 3 3 2 5" xfId="11601" xr:uid="{B863F5F8-7457-4372-B285-39EA6F905887}"/>
    <cellStyle name="Normal 5 3 3 3 3 3" xfId="5232" xr:uid="{00000000-0005-0000-0000-0000DE190000}"/>
    <cellStyle name="Normal 5 3 3 3 3 3 2" xfId="22115" xr:uid="{302BB7F1-1830-4770-9482-46D3E412A411}"/>
    <cellStyle name="Normal 5 3 3 3 3 3 3" xfId="30561" xr:uid="{B3DBCA9A-DE03-4D5D-95CD-974924C2C7D2}"/>
    <cellStyle name="Normal 5 3 3 3 3 3 4" xfId="13674" xr:uid="{81AF894C-D128-4CD3-9E63-E3FE5F12A3CD}"/>
    <cellStyle name="Normal 5 3 3 3 3 4" xfId="17897" xr:uid="{A134E497-7E37-4769-B343-7C56BDB895DC}"/>
    <cellStyle name="Normal 5 3 3 3 3 5" xfId="26342" xr:uid="{6564BDA0-3D11-4E67-B8C1-6E92D6738DB8}"/>
    <cellStyle name="Normal 5 3 3 3 3 6" xfId="9456" xr:uid="{B9C1533D-E884-4BDE-9ACB-B2F9FE8300E9}"/>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24673" xr:uid="{6A143DE5-1327-4563-AD6C-384C319717A3}"/>
    <cellStyle name="Normal 5 3 3 3 4 2 2 3" xfId="33119" xr:uid="{95C4219E-5BB0-4B9E-B9D4-E206161884EF}"/>
    <cellStyle name="Normal 5 3 3 3 4 2 2 4" xfId="16232" xr:uid="{545A438C-EE66-4D35-9E08-D7B2FA80C8C8}"/>
    <cellStyle name="Normal 5 3 3 3 4 2 3" xfId="20455" xr:uid="{296FAAA3-8BDD-49BE-B28A-FDF60E8D5DF9}"/>
    <cellStyle name="Normal 5 3 3 3 4 2 4" xfId="28902" xr:uid="{94645DD7-78D8-4C71-AD29-3EE34608BCA3}"/>
    <cellStyle name="Normal 5 3 3 3 4 2 5" xfId="12014" xr:uid="{420E5C7A-9415-4D7A-BC53-E5626D14472F}"/>
    <cellStyle name="Normal 5 3 3 3 4 3" xfId="5645" xr:uid="{00000000-0005-0000-0000-0000E2190000}"/>
    <cellStyle name="Normal 5 3 3 3 4 3 2" xfId="22528" xr:uid="{EF719FDE-0B5C-4D94-8886-95DC2DD8B26E}"/>
    <cellStyle name="Normal 5 3 3 3 4 3 3" xfId="30974" xr:uid="{10BBB041-0926-45DF-9D1A-F07AE1FB8C7B}"/>
    <cellStyle name="Normal 5 3 3 3 4 3 4" xfId="14087" xr:uid="{150A98E7-E633-4071-8772-5D81DC2C3A09}"/>
    <cellStyle name="Normal 5 3 3 3 4 4" xfId="18310" xr:uid="{7D74E7EB-DEA8-4689-B827-586FC1F1EBAA}"/>
    <cellStyle name="Normal 5 3 3 3 4 5" xfId="26755" xr:uid="{A49294A0-EB35-4C73-BA93-B16330BDE82B}"/>
    <cellStyle name="Normal 5 3 3 3 4 6" xfId="9869" xr:uid="{F0C7A43F-B7A2-44AC-8ED5-CD84BE829F7E}"/>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25086" xr:uid="{24455B1E-4E2E-4FF2-AB16-214CE81ADF82}"/>
    <cellStyle name="Normal 5 3 3 3 5 2 2 3" xfId="33532" xr:uid="{EDB2B174-C8E0-47EB-9E88-D819D27F8910}"/>
    <cellStyle name="Normal 5 3 3 3 5 2 2 4" xfId="16645" xr:uid="{FF5A5960-16C8-42D0-AAC0-9791AF4491F3}"/>
    <cellStyle name="Normal 5 3 3 3 5 2 3" xfId="20868" xr:uid="{44B719CF-8A09-4355-9F9A-F84DDD2C2715}"/>
    <cellStyle name="Normal 5 3 3 3 5 2 4" xfId="29315" xr:uid="{5591D237-2FAC-40C8-88C5-DB9B5647808B}"/>
    <cellStyle name="Normal 5 3 3 3 5 2 5" xfId="12427" xr:uid="{5CBCD26D-2F9E-48BA-9379-45F63C0FCDB2}"/>
    <cellStyle name="Normal 5 3 3 3 5 3" xfId="6058" xr:uid="{00000000-0005-0000-0000-0000E6190000}"/>
    <cellStyle name="Normal 5 3 3 3 5 3 2" xfId="22941" xr:uid="{8ABCEDF6-15BB-4275-AD25-45409C149448}"/>
    <cellStyle name="Normal 5 3 3 3 5 3 3" xfId="31387" xr:uid="{317A49BF-366C-406F-BC63-94D59EA628D5}"/>
    <cellStyle name="Normal 5 3 3 3 5 3 4" xfId="14500" xr:uid="{2FAA1A73-479C-4B9F-88BA-CA8AF75772A4}"/>
    <cellStyle name="Normal 5 3 3 3 5 4" xfId="18723" xr:uid="{0A595662-B5C0-4EC9-9963-F1CA4BBD818A}"/>
    <cellStyle name="Normal 5 3 3 3 5 5" xfId="27168" xr:uid="{4739B7E7-3DE4-4023-AD7D-EFE98810C008}"/>
    <cellStyle name="Normal 5 3 3 3 5 6" xfId="10282" xr:uid="{1B7079B4-A5E2-4FFD-BBFA-5457FEDF14BF}"/>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25499" xr:uid="{741F69CD-7863-4325-8841-1238D23DDA1D}"/>
    <cellStyle name="Normal 5 3 3 3 6 2 2 3" xfId="33945" xr:uid="{66D4DB57-F877-46AB-A3C1-6F99A609A697}"/>
    <cellStyle name="Normal 5 3 3 3 6 2 2 4" xfId="17058" xr:uid="{B0D6B08A-C721-4C14-BADA-7669DB9C521E}"/>
    <cellStyle name="Normal 5 3 3 3 6 2 3" xfId="21281" xr:uid="{98A24ED7-F64C-491E-B03D-73EC0FC04BE2}"/>
    <cellStyle name="Normal 5 3 3 3 6 2 4" xfId="29728" xr:uid="{6C2FDCCA-E901-4901-8ED4-8FDBC3E68FAC}"/>
    <cellStyle name="Normal 5 3 3 3 6 2 5" xfId="12840" xr:uid="{76A38F8E-0233-4D9D-8501-074E9B73CA1A}"/>
    <cellStyle name="Normal 5 3 3 3 6 3" xfId="6471" xr:uid="{00000000-0005-0000-0000-0000EA190000}"/>
    <cellStyle name="Normal 5 3 3 3 6 3 2" xfId="23354" xr:uid="{8BC01DBA-30DD-44F1-9CEA-B6CBB8797EA3}"/>
    <cellStyle name="Normal 5 3 3 3 6 3 3" xfId="31800" xr:uid="{FC622000-5691-4EDB-997E-8A68D9F42B70}"/>
    <cellStyle name="Normal 5 3 3 3 6 3 4" xfId="14913" xr:uid="{1ADF28C1-3556-4880-A04D-5254BFC7A35B}"/>
    <cellStyle name="Normal 5 3 3 3 6 4" xfId="19136" xr:uid="{149B2059-B76E-4EDA-9F3F-A6F1F08A94CB}"/>
    <cellStyle name="Normal 5 3 3 3 6 5" xfId="27581" xr:uid="{F27DFDDE-D8BC-4C85-8775-EF99ED0D191A}"/>
    <cellStyle name="Normal 5 3 3 3 6 6" xfId="10695" xr:uid="{DC242EFD-E086-41D2-A740-AFBECDE65317}"/>
    <cellStyle name="Normal 5 3 3 3 7" xfId="2600" xr:uid="{00000000-0005-0000-0000-0000EB190000}"/>
    <cellStyle name="Normal 5 3 3 3 7 2" xfId="6884" xr:uid="{00000000-0005-0000-0000-0000EC190000}"/>
    <cellStyle name="Normal 5 3 3 3 7 2 2" xfId="23767" xr:uid="{6C46DDBC-9434-438C-9C4C-67BDBDCFE7B4}"/>
    <cellStyle name="Normal 5 3 3 3 7 2 3" xfId="32213" xr:uid="{9CA29E5E-4466-4C19-8FA0-A604E9A457C2}"/>
    <cellStyle name="Normal 5 3 3 3 7 2 4" xfId="15326" xr:uid="{9BC58564-B193-4C19-8A6E-5007BB815BEA}"/>
    <cellStyle name="Normal 5 3 3 3 7 3" xfId="19549" xr:uid="{31E98DAB-B591-4D38-AC01-ACB1096F3A27}"/>
    <cellStyle name="Normal 5 3 3 3 7 4" xfId="27994" xr:uid="{113A5656-6AEE-4E14-92F7-A0231843E331}"/>
    <cellStyle name="Normal 5 3 3 3 7 5" xfId="11108" xr:uid="{233B144E-AF4E-448D-B3E2-F4908F8FC1E5}"/>
    <cellStyle name="Normal 5 3 3 3 8" xfId="4819" xr:uid="{00000000-0005-0000-0000-0000ED190000}"/>
    <cellStyle name="Normal 5 3 3 3 8 2" xfId="21702" xr:uid="{EEEDB50E-75EA-4E5C-8250-B2F63D706D34}"/>
    <cellStyle name="Normal 5 3 3 3 8 3" xfId="30148" xr:uid="{DD8FDEC3-EE69-43CF-BD31-91220E0A5BD2}"/>
    <cellStyle name="Normal 5 3 3 3 8 4" xfId="13261" xr:uid="{25DDDBE5-6060-4AF7-9DFF-572C19587714}"/>
    <cellStyle name="Normal 5 3 3 3 9" xfId="17484" xr:uid="{9347650E-0F52-4765-BA4F-5F433C7528D9}"/>
    <cellStyle name="Normal 5 3 3 4" xfId="448" xr:uid="{00000000-0005-0000-0000-0000EE190000}"/>
    <cellStyle name="Normal 5 3 3 4 10" xfId="9045" xr:uid="{8ED07560-4253-4D3A-ABCD-3910259B668B}"/>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24262" xr:uid="{A6425A24-5850-4F11-90B8-2287ED987B3F}"/>
    <cellStyle name="Normal 5 3 3 4 2 2 2 3" xfId="32708" xr:uid="{0B5758B1-D14C-4E2A-B596-F22C39D5488A}"/>
    <cellStyle name="Normal 5 3 3 4 2 2 2 4" xfId="15821" xr:uid="{FEB30EC2-1285-48F9-A3FC-7FB348B7BE59}"/>
    <cellStyle name="Normal 5 3 3 4 2 2 3" xfId="20044" xr:uid="{54FF96BA-FDB3-4EC0-BD65-4B177BDF8763}"/>
    <cellStyle name="Normal 5 3 3 4 2 2 4" xfId="28491" xr:uid="{B950C930-22C2-4926-A5FA-C540C761E7D1}"/>
    <cellStyle name="Normal 5 3 3 4 2 2 5" xfId="11603" xr:uid="{4626BE59-E029-47C6-91E3-6F08868E3563}"/>
    <cellStyle name="Normal 5 3 3 4 2 3" xfId="5234" xr:uid="{00000000-0005-0000-0000-0000F2190000}"/>
    <cellStyle name="Normal 5 3 3 4 2 3 2" xfId="22117" xr:uid="{348D96C2-ADD8-44A1-9010-3499E2E8B96B}"/>
    <cellStyle name="Normal 5 3 3 4 2 3 3" xfId="30563" xr:uid="{C9041FED-DCE0-42F6-9255-268C6E231012}"/>
    <cellStyle name="Normal 5 3 3 4 2 3 4" xfId="13676" xr:uid="{174F95D7-9C23-47C9-BA9E-0A3C1B682A3B}"/>
    <cellStyle name="Normal 5 3 3 4 2 4" xfId="17899" xr:uid="{D070AA75-8F97-4EB5-B91C-BFE3E5C3B657}"/>
    <cellStyle name="Normal 5 3 3 4 2 5" xfId="26344" xr:uid="{199EC379-8E55-48A1-B696-E28BB571B29D}"/>
    <cellStyle name="Normal 5 3 3 4 2 6" xfId="9458" xr:uid="{779AA25D-A453-4180-B836-F8BF80205475}"/>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24675" xr:uid="{4285D309-BD5A-41E0-8542-DB7CE1CD3781}"/>
    <cellStyle name="Normal 5 3 3 4 3 2 2 3" xfId="33121" xr:uid="{7778E671-FE9A-4D6F-AD79-B70E59586567}"/>
    <cellStyle name="Normal 5 3 3 4 3 2 2 4" xfId="16234" xr:uid="{9A352E7F-1456-4ED6-BF60-2EC65A50BA2D}"/>
    <cellStyle name="Normal 5 3 3 4 3 2 3" xfId="20457" xr:uid="{16903F11-2FE6-4F63-9B86-53266AFE2F31}"/>
    <cellStyle name="Normal 5 3 3 4 3 2 4" xfId="28904" xr:uid="{BBD0CB2A-3640-47BE-A0B1-5987CD6A6E68}"/>
    <cellStyle name="Normal 5 3 3 4 3 2 5" xfId="12016" xr:uid="{C0153234-FD68-4AE3-8D12-D6AB535A6C84}"/>
    <cellStyle name="Normal 5 3 3 4 3 3" xfId="5647" xr:uid="{00000000-0005-0000-0000-0000F6190000}"/>
    <cellStyle name="Normal 5 3 3 4 3 3 2" xfId="22530" xr:uid="{C5658B52-CBC0-4A07-9796-B0A3E2F0A1E9}"/>
    <cellStyle name="Normal 5 3 3 4 3 3 3" xfId="30976" xr:uid="{EFBECB06-2BED-4401-B256-9F47A8821452}"/>
    <cellStyle name="Normal 5 3 3 4 3 3 4" xfId="14089" xr:uid="{3E8B8509-439B-44A2-8B83-CDCFF3D1A412}"/>
    <cellStyle name="Normal 5 3 3 4 3 4" xfId="18312" xr:uid="{C58ECBC6-F7B5-4A9D-A820-FB09BD5FAC4D}"/>
    <cellStyle name="Normal 5 3 3 4 3 5" xfId="26757" xr:uid="{DBBE1391-6EA7-41E3-9856-9F44E1955E82}"/>
    <cellStyle name="Normal 5 3 3 4 3 6" xfId="9871" xr:uid="{1E92C621-76DE-4AEE-B003-FDC8371A800F}"/>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25088" xr:uid="{8876A034-8BEC-4CCD-B6A2-8E9934CC9D80}"/>
    <cellStyle name="Normal 5 3 3 4 4 2 2 3" xfId="33534" xr:uid="{3179EE9F-8AB5-4E6E-BFA6-2FDA9C87E229}"/>
    <cellStyle name="Normal 5 3 3 4 4 2 2 4" xfId="16647" xr:uid="{58DC9089-316F-4367-ABFD-1B585E11264D}"/>
    <cellStyle name="Normal 5 3 3 4 4 2 3" xfId="20870" xr:uid="{27699AA3-A2DF-44B1-94DF-8D0FBF0378D8}"/>
    <cellStyle name="Normal 5 3 3 4 4 2 4" xfId="29317" xr:uid="{1EC62B3A-7529-429B-84F4-5041A00ED2CF}"/>
    <cellStyle name="Normal 5 3 3 4 4 2 5" xfId="12429" xr:uid="{5975F885-B713-4182-A16D-99CF8C87D1A5}"/>
    <cellStyle name="Normal 5 3 3 4 4 3" xfId="6060" xr:uid="{00000000-0005-0000-0000-0000FA190000}"/>
    <cellStyle name="Normal 5 3 3 4 4 3 2" xfId="22943" xr:uid="{C91C370E-82D7-492A-A55A-7EC3DCBE94F9}"/>
    <cellStyle name="Normal 5 3 3 4 4 3 3" xfId="31389" xr:uid="{6E3A4822-7D93-4DF2-A7FC-1D966A09782B}"/>
    <cellStyle name="Normal 5 3 3 4 4 3 4" xfId="14502" xr:uid="{51AF9E7E-00EE-4B2E-9C15-B335D066924A}"/>
    <cellStyle name="Normal 5 3 3 4 4 4" xfId="18725" xr:uid="{709FED6A-38D8-4743-99C4-5F78F10282EA}"/>
    <cellStyle name="Normal 5 3 3 4 4 5" xfId="27170" xr:uid="{51063D16-7001-499D-A4EE-40693B114249}"/>
    <cellStyle name="Normal 5 3 3 4 4 6" xfId="10284" xr:uid="{AAFB5A4B-F127-4A51-BEF8-9D51306AF2A8}"/>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25501" xr:uid="{87179B72-6288-42DC-ADE7-4D7CECA3618C}"/>
    <cellStyle name="Normal 5 3 3 4 5 2 2 3" xfId="33947" xr:uid="{43C6D2FC-EF83-441D-B0BC-B32C52A975C4}"/>
    <cellStyle name="Normal 5 3 3 4 5 2 2 4" xfId="17060" xr:uid="{72E49AED-1972-4722-8C90-DA7A5C3866E6}"/>
    <cellStyle name="Normal 5 3 3 4 5 2 3" xfId="21283" xr:uid="{D7518C99-FE7C-4022-85A8-72169A1B1D25}"/>
    <cellStyle name="Normal 5 3 3 4 5 2 4" xfId="29730" xr:uid="{8D215271-6957-4410-8219-63D1E8613D34}"/>
    <cellStyle name="Normal 5 3 3 4 5 2 5" xfId="12842" xr:uid="{BBE858D0-A4B2-4872-84D2-EFCDE63450E9}"/>
    <cellStyle name="Normal 5 3 3 4 5 3" xfId="6473" xr:uid="{00000000-0005-0000-0000-0000FE190000}"/>
    <cellStyle name="Normal 5 3 3 4 5 3 2" xfId="23356" xr:uid="{DC4040D1-4E2C-4652-8441-E3AED7867295}"/>
    <cellStyle name="Normal 5 3 3 4 5 3 3" xfId="31802" xr:uid="{623D2966-34A7-4C73-8FFC-F10650C0BF05}"/>
    <cellStyle name="Normal 5 3 3 4 5 3 4" xfId="14915" xr:uid="{BC546E38-F882-4E0F-9B01-009632EEE209}"/>
    <cellStyle name="Normal 5 3 3 4 5 4" xfId="19138" xr:uid="{B1E60CDB-B720-44E0-A20E-E0A7EE2AA12A}"/>
    <cellStyle name="Normal 5 3 3 4 5 5" xfId="27583" xr:uid="{BDCDBD38-3022-44A3-A40F-68E88DB96A61}"/>
    <cellStyle name="Normal 5 3 3 4 5 6" xfId="10697" xr:uid="{892BF0AC-3881-44AC-A639-4A0037DC54FE}"/>
    <cellStyle name="Normal 5 3 3 4 6" xfId="2602" xr:uid="{00000000-0005-0000-0000-0000FF190000}"/>
    <cellStyle name="Normal 5 3 3 4 6 2" xfId="6886" xr:uid="{00000000-0005-0000-0000-0000001A0000}"/>
    <cellStyle name="Normal 5 3 3 4 6 2 2" xfId="23769" xr:uid="{7E356734-38AC-4006-9153-A01EF0593183}"/>
    <cellStyle name="Normal 5 3 3 4 6 2 3" xfId="32215" xr:uid="{821D3A8F-A058-45CC-B338-402815C473AB}"/>
    <cellStyle name="Normal 5 3 3 4 6 2 4" xfId="15328" xr:uid="{B092316C-A013-4E2A-AA8E-AD23E69DE751}"/>
    <cellStyle name="Normal 5 3 3 4 6 3" xfId="19551" xr:uid="{7B6F1404-3286-4FE5-A299-1BA11FF1F8FF}"/>
    <cellStyle name="Normal 5 3 3 4 6 4" xfId="27996" xr:uid="{896948A4-E58C-4FC6-86CB-B38ACD4CC1A1}"/>
    <cellStyle name="Normal 5 3 3 4 6 5" xfId="11110" xr:uid="{4E8754DF-CDFB-4F76-AE44-0B17223DF496}"/>
    <cellStyle name="Normal 5 3 3 4 7" xfId="4821" xr:uid="{00000000-0005-0000-0000-0000011A0000}"/>
    <cellStyle name="Normal 5 3 3 4 7 2" xfId="21704" xr:uid="{80C9F7DC-1F08-41A0-9740-B01B33A8351F}"/>
    <cellStyle name="Normal 5 3 3 4 7 3" xfId="30150" xr:uid="{30CCC67D-9083-4585-A431-50916D550E74}"/>
    <cellStyle name="Normal 5 3 3 4 7 4" xfId="13263" xr:uid="{35895C67-1264-4587-AEFD-C3989E5CBD52}"/>
    <cellStyle name="Normal 5 3 3 4 8" xfId="17486" xr:uid="{E4C38123-1BB0-4DCA-AE11-AD49B7BEE10A}"/>
    <cellStyle name="Normal 5 3 3 4 9" xfId="25930" xr:uid="{3C75C887-65D3-4AE2-9B48-25314816FA1C}"/>
    <cellStyle name="Normal 5 3 3 5" xfId="915" xr:uid="{00000000-0005-0000-0000-0000021A0000}"/>
    <cellStyle name="Normal 5 3 3 5 2" xfId="3149" xr:uid="{00000000-0005-0000-0000-0000031A0000}"/>
    <cellStyle name="Normal 5 3 3 5 2 2" xfId="7372" xr:uid="{00000000-0005-0000-0000-0000041A0000}"/>
    <cellStyle name="Normal 5 3 3 5 2 2 2" xfId="24255" xr:uid="{76043813-E773-44CA-A650-E4DCDF225A34}"/>
    <cellStyle name="Normal 5 3 3 5 2 2 3" xfId="32701" xr:uid="{16DFF177-6EF9-4E74-88BD-C436A2877577}"/>
    <cellStyle name="Normal 5 3 3 5 2 2 4" xfId="15814" xr:uid="{4DC1450F-1A3D-4B25-860F-CC59EEA29840}"/>
    <cellStyle name="Normal 5 3 3 5 2 3" xfId="20037" xr:uid="{0C2ADD9A-A451-44A3-B802-662CEA6B461B}"/>
    <cellStyle name="Normal 5 3 3 5 2 4" xfId="28484" xr:uid="{A71DCCD9-3F04-493B-B9FC-BBF721373345}"/>
    <cellStyle name="Normal 5 3 3 5 2 5" xfId="11596" xr:uid="{E3503C33-EB25-4198-A54E-C503D2E4CD15}"/>
    <cellStyle name="Normal 5 3 3 5 3" xfId="5227" xr:uid="{00000000-0005-0000-0000-0000051A0000}"/>
    <cellStyle name="Normal 5 3 3 5 3 2" xfId="22110" xr:uid="{96FD888E-8570-4064-99B4-CA68B640482C}"/>
    <cellStyle name="Normal 5 3 3 5 3 3" xfId="30556" xr:uid="{7B440A1B-F601-408E-AEDC-16ACCB04AD33}"/>
    <cellStyle name="Normal 5 3 3 5 3 4" xfId="13669" xr:uid="{B3F1D336-7847-4A6F-B08B-215AB89C339F}"/>
    <cellStyle name="Normal 5 3 3 5 4" xfId="17892" xr:uid="{0C9C600F-8BC3-4546-A3D2-550A2B905910}"/>
    <cellStyle name="Normal 5 3 3 5 5" xfId="26337" xr:uid="{1E396F0C-0D9B-4E26-ADAC-42D70EE61C61}"/>
    <cellStyle name="Normal 5 3 3 5 6" xfId="9451" xr:uid="{D92BE2B3-8EAE-4A09-9756-B161536CCF32}"/>
    <cellStyle name="Normal 5 3 3 6" xfId="1332" xr:uid="{00000000-0005-0000-0000-0000061A0000}"/>
    <cellStyle name="Normal 5 3 3 6 2" xfId="3562" xr:uid="{00000000-0005-0000-0000-0000071A0000}"/>
    <cellStyle name="Normal 5 3 3 6 2 2" xfId="7785" xr:uid="{00000000-0005-0000-0000-0000081A0000}"/>
    <cellStyle name="Normal 5 3 3 6 2 2 2" xfId="24668" xr:uid="{49546F55-34B0-4B57-84C9-6E2B5BA838F1}"/>
    <cellStyle name="Normal 5 3 3 6 2 2 3" xfId="33114" xr:uid="{F6CF2FCB-E0FE-40E8-B36E-C8D52DB86E01}"/>
    <cellStyle name="Normal 5 3 3 6 2 2 4" xfId="16227" xr:uid="{84FCB5DC-D474-46F3-89FC-C625A6FAB5DA}"/>
    <cellStyle name="Normal 5 3 3 6 2 3" xfId="20450" xr:uid="{2D67F884-EEA9-46EB-A20F-5626EA337DC4}"/>
    <cellStyle name="Normal 5 3 3 6 2 4" xfId="28897" xr:uid="{F586BC4A-ACE8-4FA8-A2E9-55F550D27C79}"/>
    <cellStyle name="Normal 5 3 3 6 2 5" xfId="12009" xr:uid="{76863AFF-FD4F-464A-B081-6982E2ACAECC}"/>
    <cellStyle name="Normal 5 3 3 6 3" xfId="5640" xr:uid="{00000000-0005-0000-0000-0000091A0000}"/>
    <cellStyle name="Normal 5 3 3 6 3 2" xfId="22523" xr:uid="{C689E01A-716B-4B67-A7F9-517FBC5027BC}"/>
    <cellStyle name="Normal 5 3 3 6 3 3" xfId="30969" xr:uid="{42D3AAC9-DBEA-4A32-A5F5-AFC1C9D193AC}"/>
    <cellStyle name="Normal 5 3 3 6 3 4" xfId="14082" xr:uid="{2B174FB5-D184-486E-9DBB-5A90B28BE667}"/>
    <cellStyle name="Normal 5 3 3 6 4" xfId="18305" xr:uid="{A291E668-70EC-4735-BAA2-D4C78909E293}"/>
    <cellStyle name="Normal 5 3 3 6 5" xfId="26750" xr:uid="{47D4475E-5198-4561-B178-2B6DE41111CE}"/>
    <cellStyle name="Normal 5 3 3 6 6" xfId="9864" xr:uid="{02AB9B1C-AE68-4656-AA30-D8059F779B90}"/>
    <cellStyle name="Normal 5 3 3 7" xfId="1745" xr:uid="{00000000-0005-0000-0000-00000A1A0000}"/>
    <cellStyle name="Normal 5 3 3 7 2" xfId="3975" xr:uid="{00000000-0005-0000-0000-00000B1A0000}"/>
    <cellStyle name="Normal 5 3 3 7 2 2" xfId="8198" xr:uid="{00000000-0005-0000-0000-00000C1A0000}"/>
    <cellStyle name="Normal 5 3 3 7 2 2 2" xfId="25081" xr:uid="{2A86F65A-5537-48B9-9D45-9A8A1103FFB3}"/>
    <cellStyle name="Normal 5 3 3 7 2 2 3" xfId="33527" xr:uid="{AF68B003-C599-4005-8CF5-4C787AFA179D}"/>
    <cellStyle name="Normal 5 3 3 7 2 2 4" xfId="16640" xr:uid="{A331D79F-D980-4E2E-A6BE-A25B29C68F76}"/>
    <cellStyle name="Normal 5 3 3 7 2 3" xfId="20863" xr:uid="{94DB3018-9E30-45AB-BD79-8E9558D080A4}"/>
    <cellStyle name="Normal 5 3 3 7 2 4" xfId="29310" xr:uid="{F78130E0-CE3E-4907-88DF-6B62D4D1D1A7}"/>
    <cellStyle name="Normal 5 3 3 7 2 5" xfId="12422" xr:uid="{4E427EA6-CB37-4C3A-A46D-2BC8BA9592B4}"/>
    <cellStyle name="Normal 5 3 3 7 3" xfId="6053" xr:uid="{00000000-0005-0000-0000-00000D1A0000}"/>
    <cellStyle name="Normal 5 3 3 7 3 2" xfId="22936" xr:uid="{F07459E5-8D93-4756-A209-C549CAD69595}"/>
    <cellStyle name="Normal 5 3 3 7 3 3" xfId="31382" xr:uid="{BA3F3229-9B4D-45EC-A466-C279A9E9B971}"/>
    <cellStyle name="Normal 5 3 3 7 3 4" xfId="14495" xr:uid="{29D012C8-0C6D-40BB-8B60-51394F91C53B}"/>
    <cellStyle name="Normal 5 3 3 7 4" xfId="18718" xr:uid="{E947B042-8EAB-4872-835B-FB639E25ECD9}"/>
    <cellStyle name="Normal 5 3 3 7 5" xfId="27163" xr:uid="{C5CAC754-55F5-4019-8787-9E8F764D294A}"/>
    <cellStyle name="Normal 5 3 3 7 6" xfId="10277" xr:uid="{BE8819FA-70B3-42EA-9190-AAD366BD647C}"/>
    <cellStyle name="Normal 5 3 3 8" xfId="2159" xr:uid="{00000000-0005-0000-0000-00000E1A0000}"/>
    <cellStyle name="Normal 5 3 3 8 2" xfId="4388" xr:uid="{00000000-0005-0000-0000-00000F1A0000}"/>
    <cellStyle name="Normal 5 3 3 8 2 2" xfId="8611" xr:uid="{00000000-0005-0000-0000-0000101A0000}"/>
    <cellStyle name="Normal 5 3 3 8 2 2 2" xfId="25494" xr:uid="{9915E634-7548-4EEB-86B8-A5DE57BFA61D}"/>
    <cellStyle name="Normal 5 3 3 8 2 2 3" xfId="33940" xr:uid="{135E9F68-0B02-4CF2-B206-D335B0697B99}"/>
    <cellStyle name="Normal 5 3 3 8 2 2 4" xfId="17053" xr:uid="{99E40512-7582-448B-9AB0-8F0BB850BDED}"/>
    <cellStyle name="Normal 5 3 3 8 2 3" xfId="21276" xr:uid="{2C24DBE1-68B8-4336-B60B-500EF09A8591}"/>
    <cellStyle name="Normal 5 3 3 8 2 4" xfId="29723" xr:uid="{3696000A-7B0B-4CBE-83CB-39A2506EDBC0}"/>
    <cellStyle name="Normal 5 3 3 8 2 5" xfId="12835" xr:uid="{3137AA6F-1342-49C6-93B3-030D47D842A9}"/>
    <cellStyle name="Normal 5 3 3 8 3" xfId="6466" xr:uid="{00000000-0005-0000-0000-0000111A0000}"/>
    <cellStyle name="Normal 5 3 3 8 3 2" xfId="23349" xr:uid="{897CB956-D59B-4423-A206-D4C9A1EF6D08}"/>
    <cellStyle name="Normal 5 3 3 8 3 3" xfId="31795" xr:uid="{E94783EF-6D32-41B0-B758-E846276CBE51}"/>
    <cellStyle name="Normal 5 3 3 8 3 4" xfId="14908" xr:uid="{A8D38D36-341B-458D-8C80-7D1B56CDE5DA}"/>
    <cellStyle name="Normal 5 3 3 8 4" xfId="19131" xr:uid="{27042B49-8E2D-44CF-B556-49D315A1091C}"/>
    <cellStyle name="Normal 5 3 3 8 5" xfId="27576" xr:uid="{8DE0E794-8665-4654-8207-94A2C468251A}"/>
    <cellStyle name="Normal 5 3 3 8 6" xfId="10690" xr:uid="{4ED2A4D3-5BF4-4D52-A629-D504D4BFBFC3}"/>
    <cellStyle name="Normal 5 3 3 9" xfId="2595" xr:uid="{00000000-0005-0000-0000-0000121A0000}"/>
    <cellStyle name="Normal 5 3 3 9 2" xfId="6879" xr:uid="{00000000-0005-0000-0000-0000131A0000}"/>
    <cellStyle name="Normal 5 3 3 9 2 2" xfId="23762" xr:uid="{E48B5948-1F79-4346-A098-83D50BFF7864}"/>
    <cellStyle name="Normal 5 3 3 9 2 3" xfId="32208" xr:uid="{9B31664F-ED21-4683-9CB3-ED4B6870422F}"/>
    <cellStyle name="Normal 5 3 3 9 2 4" xfId="15321" xr:uid="{479505C4-8ED1-4472-9E1B-B9689EB30788}"/>
    <cellStyle name="Normal 5 3 3 9 3" xfId="19544" xr:uid="{12C14110-497C-44B7-AE5C-1195B3B00476}"/>
    <cellStyle name="Normal 5 3 3 9 4" xfId="27989" xr:uid="{2221AADE-D995-4586-83FB-6FF303342E71}"/>
    <cellStyle name="Normal 5 3 3 9 5" xfId="11103" xr:uid="{5F5AAD4C-C59A-4C20-AE43-8D0F0BAFE92E}"/>
    <cellStyle name="Normal 5 3 4" xfId="449" xr:uid="{00000000-0005-0000-0000-0000141A0000}"/>
    <cellStyle name="Normal 5 3 4 10" xfId="17487" xr:uid="{4B3B9ACA-0278-482F-B257-10E73D336A0D}"/>
    <cellStyle name="Normal 5 3 4 11" xfId="25931" xr:uid="{9696F429-1258-4B82-A4B7-955EC9C69CC2}"/>
    <cellStyle name="Normal 5 3 4 12" xfId="9046" xr:uid="{50A8D994-02FB-4BD6-8272-2B5CDC431839}"/>
    <cellStyle name="Normal 5 3 4 2" xfId="450" xr:uid="{00000000-0005-0000-0000-0000151A0000}"/>
    <cellStyle name="Normal 5 3 4 2 10" xfId="25932" xr:uid="{B2C87142-2FAB-4D04-A321-ACC40A4EAF29}"/>
    <cellStyle name="Normal 5 3 4 2 11" xfId="9047" xr:uid="{4061A2AB-88DC-4C7A-8B1E-CFEA69AE8E50}"/>
    <cellStyle name="Normal 5 3 4 2 2" xfId="451" xr:uid="{00000000-0005-0000-0000-0000161A0000}"/>
    <cellStyle name="Normal 5 3 4 2 2 10" xfId="9048" xr:uid="{451F9C6B-A9DF-44DF-AA54-4A84B076DE4B}"/>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24265" xr:uid="{11DCA7F2-A726-4F2E-9372-74814C7BA671}"/>
    <cellStyle name="Normal 5 3 4 2 2 2 2 2 3" xfId="32711" xr:uid="{2417D4C7-0325-434F-B829-71AA1AA27DF4}"/>
    <cellStyle name="Normal 5 3 4 2 2 2 2 2 4" xfId="15824" xr:uid="{4FBCDAFB-11CD-48F2-9309-8C3D9AA150C2}"/>
    <cellStyle name="Normal 5 3 4 2 2 2 2 3" xfId="20047" xr:uid="{42413A7D-1C21-4E70-8DDB-6DD58496D817}"/>
    <cellStyle name="Normal 5 3 4 2 2 2 2 4" xfId="28494" xr:uid="{2598259D-7FD2-497A-AE90-3E3E842C2291}"/>
    <cellStyle name="Normal 5 3 4 2 2 2 2 5" xfId="11606" xr:uid="{D3DD4B34-620F-48E6-99E1-8087AE2BC687}"/>
    <cellStyle name="Normal 5 3 4 2 2 2 3" xfId="5237" xr:uid="{00000000-0005-0000-0000-00001A1A0000}"/>
    <cellStyle name="Normal 5 3 4 2 2 2 3 2" xfId="22120" xr:uid="{62A72DA8-7E79-4FB3-9D8D-EAC38FE9BB3F}"/>
    <cellStyle name="Normal 5 3 4 2 2 2 3 3" xfId="30566" xr:uid="{8AC23A8F-6F4C-4E93-9D3C-366A2FD48710}"/>
    <cellStyle name="Normal 5 3 4 2 2 2 3 4" xfId="13679" xr:uid="{FC5E1CA1-6D05-4516-94C5-2CF60C7B0626}"/>
    <cellStyle name="Normal 5 3 4 2 2 2 4" xfId="17902" xr:uid="{2EAFBE8B-59E8-4AB2-AFCC-32DF332E5C9E}"/>
    <cellStyle name="Normal 5 3 4 2 2 2 5" xfId="26347" xr:uid="{AAB78400-59E2-43A1-870B-8DD7A6758AF7}"/>
    <cellStyle name="Normal 5 3 4 2 2 2 6" xfId="9461" xr:uid="{53AC02C6-E1AA-45D2-B951-142C861050D4}"/>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24678" xr:uid="{E91E8B23-871C-4A75-AD2B-DE2C4D6C927E}"/>
    <cellStyle name="Normal 5 3 4 2 2 3 2 2 3" xfId="33124" xr:uid="{25F148EC-E7C5-41A7-ABCF-AC34FB7912D8}"/>
    <cellStyle name="Normal 5 3 4 2 2 3 2 2 4" xfId="16237" xr:uid="{093D187D-12B6-4F1C-85F4-1E0E9A9B6D38}"/>
    <cellStyle name="Normal 5 3 4 2 2 3 2 3" xfId="20460" xr:uid="{06E4937D-258A-463D-8D53-BF96CD20598D}"/>
    <cellStyle name="Normal 5 3 4 2 2 3 2 4" xfId="28907" xr:uid="{F2BC3D18-13E9-44FB-B543-4BF3060840B3}"/>
    <cellStyle name="Normal 5 3 4 2 2 3 2 5" xfId="12019" xr:uid="{6DB67CF5-D6C0-4AD9-AD12-29591F5FA266}"/>
    <cellStyle name="Normal 5 3 4 2 2 3 3" xfId="5650" xr:uid="{00000000-0005-0000-0000-00001E1A0000}"/>
    <cellStyle name="Normal 5 3 4 2 2 3 3 2" xfId="22533" xr:uid="{51FB5EC6-22C8-4EBF-974B-D93C0DD4F66B}"/>
    <cellStyle name="Normal 5 3 4 2 2 3 3 3" xfId="30979" xr:uid="{0C7477E4-383B-4E2F-B599-4A2F7AD9BBB1}"/>
    <cellStyle name="Normal 5 3 4 2 2 3 3 4" xfId="14092" xr:uid="{8039FB54-196E-430F-B81E-F52CEC16E37B}"/>
    <cellStyle name="Normal 5 3 4 2 2 3 4" xfId="18315" xr:uid="{80A2780D-84D1-462D-8FFF-23E3812EFDA0}"/>
    <cellStyle name="Normal 5 3 4 2 2 3 5" xfId="26760" xr:uid="{79824DA1-9742-43C3-AB9D-D41534C74412}"/>
    <cellStyle name="Normal 5 3 4 2 2 3 6" xfId="9874" xr:uid="{E02B1EEE-AC2C-4E2F-9816-195AE7FA7973}"/>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25091" xr:uid="{0872845C-CD17-4F23-AAB5-2558E4BA1B68}"/>
    <cellStyle name="Normal 5 3 4 2 2 4 2 2 3" xfId="33537" xr:uid="{B916D11A-1653-45F0-8D61-EFE0A7562B6E}"/>
    <cellStyle name="Normal 5 3 4 2 2 4 2 2 4" xfId="16650" xr:uid="{64342333-E679-4DD2-9242-B6AF5A20AB33}"/>
    <cellStyle name="Normal 5 3 4 2 2 4 2 3" xfId="20873" xr:uid="{BF902E72-6484-42C0-ACC2-72D51BF98577}"/>
    <cellStyle name="Normal 5 3 4 2 2 4 2 4" xfId="29320" xr:uid="{6157823E-1731-4710-9B51-CB4B044FBE75}"/>
    <cellStyle name="Normal 5 3 4 2 2 4 2 5" xfId="12432" xr:uid="{59C608F7-DF33-42A2-B630-D8E22DF8E472}"/>
    <cellStyle name="Normal 5 3 4 2 2 4 3" xfId="6063" xr:uid="{00000000-0005-0000-0000-0000221A0000}"/>
    <cellStyle name="Normal 5 3 4 2 2 4 3 2" xfId="22946" xr:uid="{36F39546-E19B-41A0-B3EA-C6CC6D3A6411}"/>
    <cellStyle name="Normal 5 3 4 2 2 4 3 3" xfId="31392" xr:uid="{512F1089-ED4D-4B18-861E-C9C17E2F8798}"/>
    <cellStyle name="Normal 5 3 4 2 2 4 3 4" xfId="14505" xr:uid="{B352B58C-B582-4209-9C71-9988FDE88B64}"/>
    <cellStyle name="Normal 5 3 4 2 2 4 4" xfId="18728" xr:uid="{3429ACA2-58A2-43FA-8234-60ED2B0F9E34}"/>
    <cellStyle name="Normal 5 3 4 2 2 4 5" xfId="27173" xr:uid="{F3FD6FF2-DEAF-452C-A8C1-B62524C6A1DD}"/>
    <cellStyle name="Normal 5 3 4 2 2 4 6" xfId="10287" xr:uid="{7CE1DB63-9E33-4A38-939D-FEF68D0474E4}"/>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25504" xr:uid="{EB724188-F19C-4AB7-AED9-65D09ABD1B2F}"/>
    <cellStyle name="Normal 5 3 4 2 2 5 2 2 3" xfId="33950" xr:uid="{C1BB6228-C116-449A-888B-93C433F38357}"/>
    <cellStyle name="Normal 5 3 4 2 2 5 2 2 4" xfId="17063" xr:uid="{1A5E0440-3B9B-43C3-8C2D-01476487AAE8}"/>
    <cellStyle name="Normal 5 3 4 2 2 5 2 3" xfId="21286" xr:uid="{194AA7C5-5C8D-4FAC-B015-997B2F7B1944}"/>
    <cellStyle name="Normal 5 3 4 2 2 5 2 4" xfId="29733" xr:uid="{F79D5BFD-D33A-40CE-B31F-96AC4E31BB49}"/>
    <cellStyle name="Normal 5 3 4 2 2 5 2 5" xfId="12845" xr:uid="{2ED55A12-EAAE-438E-BA0D-9F22B886FDA2}"/>
    <cellStyle name="Normal 5 3 4 2 2 5 3" xfId="6476" xr:uid="{00000000-0005-0000-0000-0000261A0000}"/>
    <cellStyle name="Normal 5 3 4 2 2 5 3 2" xfId="23359" xr:uid="{DF3EE8CF-28F2-4AAD-8BCC-0583CAF21581}"/>
    <cellStyle name="Normal 5 3 4 2 2 5 3 3" xfId="31805" xr:uid="{5180FFA2-C5CE-4A51-8D41-507457A8F4B8}"/>
    <cellStyle name="Normal 5 3 4 2 2 5 3 4" xfId="14918" xr:uid="{C24FA7DC-D0D0-4471-81DF-EA5DBC8B8B41}"/>
    <cellStyle name="Normal 5 3 4 2 2 5 4" xfId="19141" xr:uid="{2A2A17AB-3920-45E7-B5F0-F29716936EC3}"/>
    <cellStyle name="Normal 5 3 4 2 2 5 5" xfId="27586" xr:uid="{DF32D22D-F3E9-4C5D-8187-50E86B197AB2}"/>
    <cellStyle name="Normal 5 3 4 2 2 5 6" xfId="10700" xr:uid="{849B4C47-3224-4110-B09B-18C835A31E9A}"/>
    <cellStyle name="Normal 5 3 4 2 2 6" xfId="2605" xr:uid="{00000000-0005-0000-0000-0000271A0000}"/>
    <cellStyle name="Normal 5 3 4 2 2 6 2" xfId="6889" xr:uid="{00000000-0005-0000-0000-0000281A0000}"/>
    <cellStyle name="Normal 5 3 4 2 2 6 2 2" xfId="23772" xr:uid="{E9FF27DF-891F-4C8D-A62C-353E22581D18}"/>
    <cellStyle name="Normal 5 3 4 2 2 6 2 3" xfId="32218" xr:uid="{8C9AFE6B-C7D3-4CE6-9263-BDFFDCD199D6}"/>
    <cellStyle name="Normal 5 3 4 2 2 6 2 4" xfId="15331" xr:uid="{A76DE5C8-8913-42F3-A2E4-81B16B604ECF}"/>
    <cellStyle name="Normal 5 3 4 2 2 6 3" xfId="19554" xr:uid="{3B736759-5A86-4888-BA40-CBA24846A14A}"/>
    <cellStyle name="Normal 5 3 4 2 2 6 4" xfId="27999" xr:uid="{A2FB3BC1-6EE0-4634-9E29-23C3219D40C2}"/>
    <cellStyle name="Normal 5 3 4 2 2 6 5" xfId="11113" xr:uid="{A346463C-0420-4230-9908-2CB356295DE0}"/>
    <cellStyle name="Normal 5 3 4 2 2 7" xfId="4824" xr:uid="{00000000-0005-0000-0000-0000291A0000}"/>
    <cellStyle name="Normal 5 3 4 2 2 7 2" xfId="21707" xr:uid="{0A83E88C-2126-4D08-A919-3EEE6511C097}"/>
    <cellStyle name="Normal 5 3 4 2 2 7 3" xfId="30153" xr:uid="{E27C7342-092C-4135-924A-AAFA7151E3E5}"/>
    <cellStyle name="Normal 5 3 4 2 2 7 4" xfId="13266" xr:uid="{C4FA162E-ADF1-4232-B305-8E2C2077936E}"/>
    <cellStyle name="Normal 5 3 4 2 2 8" xfId="17489" xr:uid="{49EDBCB3-D109-40F0-9083-51B80987D504}"/>
    <cellStyle name="Normal 5 3 4 2 2 9" xfId="25933" xr:uid="{300BD9FD-47E8-440D-A62B-7FD265313619}"/>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24264" xr:uid="{30A2A2C9-2CA4-4A19-B587-F9DFEE536245}"/>
    <cellStyle name="Normal 5 3 4 2 3 2 2 3" xfId="32710" xr:uid="{4EB2161F-5C02-4856-BA6A-F25DF9E352F3}"/>
    <cellStyle name="Normal 5 3 4 2 3 2 2 4" xfId="15823" xr:uid="{190EB110-A2D2-4769-9244-691D7A76BDA0}"/>
    <cellStyle name="Normal 5 3 4 2 3 2 3" xfId="20046" xr:uid="{2D51C6DC-67EE-45AA-AB34-B4AB79A4D6EE}"/>
    <cellStyle name="Normal 5 3 4 2 3 2 4" xfId="28493" xr:uid="{B2193B2D-013A-4E90-BB92-4BB8CA93222E}"/>
    <cellStyle name="Normal 5 3 4 2 3 2 5" xfId="11605" xr:uid="{A83185B3-A31D-458B-96CC-3389EF3C3B11}"/>
    <cellStyle name="Normal 5 3 4 2 3 3" xfId="5236" xr:uid="{00000000-0005-0000-0000-00002D1A0000}"/>
    <cellStyle name="Normal 5 3 4 2 3 3 2" xfId="22119" xr:uid="{8422C52D-C8BC-40D7-9C20-3995D3B96889}"/>
    <cellStyle name="Normal 5 3 4 2 3 3 3" xfId="30565" xr:uid="{9039170E-07B4-49CF-98E2-3140A38B2082}"/>
    <cellStyle name="Normal 5 3 4 2 3 3 4" xfId="13678" xr:uid="{E21ABBFD-36FE-48CA-8DAC-065B11FDE651}"/>
    <cellStyle name="Normal 5 3 4 2 3 4" xfId="17901" xr:uid="{B24BD042-19E9-4026-969E-D048B8899DF5}"/>
    <cellStyle name="Normal 5 3 4 2 3 5" xfId="26346" xr:uid="{CB391DCB-C0AA-4BAF-AF3C-76FD43366822}"/>
    <cellStyle name="Normal 5 3 4 2 3 6" xfId="9460" xr:uid="{353146AB-679B-4773-AD09-592175C27543}"/>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24677" xr:uid="{827530BA-D983-4FB3-AB58-D01872390C26}"/>
    <cellStyle name="Normal 5 3 4 2 4 2 2 3" xfId="33123" xr:uid="{B6ACABE5-A0B3-405D-B683-851C443253AE}"/>
    <cellStyle name="Normal 5 3 4 2 4 2 2 4" xfId="16236" xr:uid="{F24E7277-BF50-46C2-8F51-F69159CE8FFF}"/>
    <cellStyle name="Normal 5 3 4 2 4 2 3" xfId="20459" xr:uid="{7DBC74F8-50D8-4507-8842-B0BFD18F72BA}"/>
    <cellStyle name="Normal 5 3 4 2 4 2 4" xfId="28906" xr:uid="{E04565B4-CBB0-4F12-A705-73E6F1E499AA}"/>
    <cellStyle name="Normal 5 3 4 2 4 2 5" xfId="12018" xr:uid="{A866280A-3356-478A-8B79-95AD31BF655C}"/>
    <cellStyle name="Normal 5 3 4 2 4 3" xfId="5649" xr:uid="{00000000-0005-0000-0000-0000311A0000}"/>
    <cellStyle name="Normal 5 3 4 2 4 3 2" xfId="22532" xr:uid="{05A31BE6-2F2F-49FC-9C3C-0B5028A047F4}"/>
    <cellStyle name="Normal 5 3 4 2 4 3 3" xfId="30978" xr:uid="{A420F3EF-99B6-4EB5-A844-602413BC976F}"/>
    <cellStyle name="Normal 5 3 4 2 4 3 4" xfId="14091" xr:uid="{D0D6B3C7-AA4D-4AD1-8BDD-43C58AAAE8EF}"/>
    <cellStyle name="Normal 5 3 4 2 4 4" xfId="18314" xr:uid="{3B9CE8F4-8819-4883-BAF0-57D3896CD4F8}"/>
    <cellStyle name="Normal 5 3 4 2 4 5" xfId="26759" xr:uid="{E057FC6B-606E-4C35-93F4-B724D17D2138}"/>
    <cellStyle name="Normal 5 3 4 2 4 6" xfId="9873" xr:uid="{3EB594A5-99AD-4246-8C37-C39E8C730C89}"/>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25090" xr:uid="{127D0EA7-F514-4D2A-B324-C3D68DD3ED0F}"/>
    <cellStyle name="Normal 5 3 4 2 5 2 2 3" xfId="33536" xr:uid="{5943286C-7A11-4393-93E1-669AB0A8D1BA}"/>
    <cellStyle name="Normal 5 3 4 2 5 2 2 4" xfId="16649" xr:uid="{E1F74763-B8BA-400F-82E9-84635E0B80BF}"/>
    <cellStyle name="Normal 5 3 4 2 5 2 3" xfId="20872" xr:uid="{3DC02722-7958-410F-BC11-9F93C9FFCAE1}"/>
    <cellStyle name="Normal 5 3 4 2 5 2 4" xfId="29319" xr:uid="{6EAC1073-A622-4808-80F7-20E217034646}"/>
    <cellStyle name="Normal 5 3 4 2 5 2 5" xfId="12431" xr:uid="{46202442-9825-4D9A-A31E-602EC9B549BB}"/>
    <cellStyle name="Normal 5 3 4 2 5 3" xfId="6062" xr:uid="{00000000-0005-0000-0000-0000351A0000}"/>
    <cellStyle name="Normal 5 3 4 2 5 3 2" xfId="22945" xr:uid="{31612A77-D167-4462-AA01-4D005F5BA762}"/>
    <cellStyle name="Normal 5 3 4 2 5 3 3" xfId="31391" xr:uid="{BE3124B6-9255-40B4-ADBC-7F1434A807C2}"/>
    <cellStyle name="Normal 5 3 4 2 5 3 4" xfId="14504" xr:uid="{5D93935B-E530-47B2-A1A1-D857BB681CF7}"/>
    <cellStyle name="Normal 5 3 4 2 5 4" xfId="18727" xr:uid="{44E965C1-7FDF-42FF-93A9-69DD842022F4}"/>
    <cellStyle name="Normal 5 3 4 2 5 5" xfId="27172" xr:uid="{5D8A9D8F-274C-4433-A882-3A0041607786}"/>
    <cellStyle name="Normal 5 3 4 2 5 6" xfId="10286" xr:uid="{4EC28DF9-E63D-4610-B3FE-E4605AE45FA9}"/>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25503" xr:uid="{0110D0CB-0AA5-4766-A736-52409841AED1}"/>
    <cellStyle name="Normal 5 3 4 2 6 2 2 3" xfId="33949" xr:uid="{B1783299-CCD1-4CFC-832D-E23AC5053319}"/>
    <cellStyle name="Normal 5 3 4 2 6 2 2 4" xfId="17062" xr:uid="{0518E915-0F27-4B35-AD18-02356C40AEAC}"/>
    <cellStyle name="Normal 5 3 4 2 6 2 3" xfId="21285" xr:uid="{131271D1-B038-4552-AF27-CE8023D174C3}"/>
    <cellStyle name="Normal 5 3 4 2 6 2 4" xfId="29732" xr:uid="{1BE5CA6F-1B3E-4864-9C94-D028AF227855}"/>
    <cellStyle name="Normal 5 3 4 2 6 2 5" xfId="12844" xr:uid="{36EFA8F4-6DEC-4FC0-A302-2FA50F0C5739}"/>
    <cellStyle name="Normal 5 3 4 2 6 3" xfId="6475" xr:uid="{00000000-0005-0000-0000-0000391A0000}"/>
    <cellStyle name="Normal 5 3 4 2 6 3 2" xfId="23358" xr:uid="{BA1717BC-9D3E-4012-BB90-872D58B1724E}"/>
    <cellStyle name="Normal 5 3 4 2 6 3 3" xfId="31804" xr:uid="{222D86CA-6316-446A-B364-97B20EBABBD4}"/>
    <cellStyle name="Normal 5 3 4 2 6 3 4" xfId="14917" xr:uid="{5877A1D8-A193-4F05-BE7F-AFC5D7306EBB}"/>
    <cellStyle name="Normal 5 3 4 2 6 4" xfId="19140" xr:uid="{A4A1CA09-AE21-443F-8CE6-73DF4EAEC392}"/>
    <cellStyle name="Normal 5 3 4 2 6 5" xfId="27585" xr:uid="{B2FEB049-BE41-4B77-94C2-03DD1F73AC6B}"/>
    <cellStyle name="Normal 5 3 4 2 6 6" xfId="10699" xr:uid="{91D721F0-E7F7-4F0A-89AA-309336B69E38}"/>
    <cellStyle name="Normal 5 3 4 2 7" xfId="2604" xr:uid="{00000000-0005-0000-0000-00003A1A0000}"/>
    <cellStyle name="Normal 5 3 4 2 7 2" xfId="6888" xr:uid="{00000000-0005-0000-0000-00003B1A0000}"/>
    <cellStyle name="Normal 5 3 4 2 7 2 2" xfId="23771" xr:uid="{4044C47D-E401-4A94-8972-038B86B251D5}"/>
    <cellStyle name="Normal 5 3 4 2 7 2 3" xfId="32217" xr:uid="{2084C3FB-15D0-4513-9ED8-013C1BA49E83}"/>
    <cellStyle name="Normal 5 3 4 2 7 2 4" xfId="15330" xr:uid="{81C5FFE5-E98E-4FC7-8806-D61B44AF2B82}"/>
    <cellStyle name="Normal 5 3 4 2 7 3" xfId="19553" xr:uid="{6A963E3A-C843-465A-8A7B-AF9591A7A3D8}"/>
    <cellStyle name="Normal 5 3 4 2 7 4" xfId="27998" xr:uid="{53C15BC8-FCB8-4DED-8FE4-A46DE10F38D2}"/>
    <cellStyle name="Normal 5 3 4 2 7 5" xfId="11112" xr:uid="{351C516F-A76E-4B1F-88A9-772369E65BE3}"/>
    <cellStyle name="Normal 5 3 4 2 8" xfId="4823" xr:uid="{00000000-0005-0000-0000-00003C1A0000}"/>
    <cellStyle name="Normal 5 3 4 2 8 2" xfId="21706" xr:uid="{35A29930-EBCF-4156-9CB0-F6C29E811427}"/>
    <cellStyle name="Normal 5 3 4 2 8 3" xfId="30152" xr:uid="{564FC260-5D60-40AF-8E08-96FD68701AFB}"/>
    <cellStyle name="Normal 5 3 4 2 8 4" xfId="13265" xr:uid="{CE1ACAC3-435D-4572-BC23-6D1C9315E283}"/>
    <cellStyle name="Normal 5 3 4 2 9" xfId="17488" xr:uid="{648E21AB-B0A5-472D-88FD-978111D43F6F}"/>
    <cellStyle name="Normal 5 3 4 3" xfId="452" xr:uid="{00000000-0005-0000-0000-00003D1A0000}"/>
    <cellStyle name="Normal 5 3 4 3 10" xfId="9049" xr:uid="{EDD514A2-7A6B-4D91-8CF3-2547CE057927}"/>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24266" xr:uid="{5F72D298-8EF9-4E0B-B78F-90D65EC791C8}"/>
    <cellStyle name="Normal 5 3 4 3 2 2 2 3" xfId="32712" xr:uid="{07688D6C-00F7-46AC-ADEC-84E8E6A1D35E}"/>
    <cellStyle name="Normal 5 3 4 3 2 2 2 4" xfId="15825" xr:uid="{8B354503-ECBB-4E16-A39A-F730DBA66018}"/>
    <cellStyle name="Normal 5 3 4 3 2 2 3" xfId="20048" xr:uid="{38FD39DB-F00B-46B8-900F-D1E815B69CDD}"/>
    <cellStyle name="Normal 5 3 4 3 2 2 4" xfId="28495" xr:uid="{22086D95-9444-4353-A31D-D5C213D1B932}"/>
    <cellStyle name="Normal 5 3 4 3 2 2 5" xfId="11607" xr:uid="{8EC9C770-5883-4A9D-ACD6-2C8AD283A564}"/>
    <cellStyle name="Normal 5 3 4 3 2 3" xfId="5238" xr:uid="{00000000-0005-0000-0000-0000411A0000}"/>
    <cellStyle name="Normal 5 3 4 3 2 3 2" xfId="22121" xr:uid="{0419D2A2-5423-49D5-996A-06159311685A}"/>
    <cellStyle name="Normal 5 3 4 3 2 3 3" xfId="30567" xr:uid="{700B8C47-54F3-4E06-AD63-16130A369E79}"/>
    <cellStyle name="Normal 5 3 4 3 2 3 4" xfId="13680" xr:uid="{98E0B0DE-2A5B-4DF2-BC93-FD8C53F8CEDB}"/>
    <cellStyle name="Normal 5 3 4 3 2 4" xfId="17903" xr:uid="{8B367624-0108-40D7-B5F5-3184765651B6}"/>
    <cellStyle name="Normal 5 3 4 3 2 5" xfId="26348" xr:uid="{0F4FD15B-DC91-444E-B1B5-229858BEB209}"/>
    <cellStyle name="Normal 5 3 4 3 2 6" xfId="9462" xr:uid="{3D918756-FEB4-4CB5-8185-FA1B32AF0575}"/>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24679" xr:uid="{1DACEBBA-C1F5-47D8-AACC-5A9ADE9190BA}"/>
    <cellStyle name="Normal 5 3 4 3 3 2 2 3" xfId="33125" xr:uid="{968E9ACA-ACA0-4890-AF55-FEF89979B52F}"/>
    <cellStyle name="Normal 5 3 4 3 3 2 2 4" xfId="16238" xr:uid="{EA1B9B82-F910-4FCD-A0A5-B864E40B3513}"/>
    <cellStyle name="Normal 5 3 4 3 3 2 3" xfId="20461" xr:uid="{0BA5DECA-921A-4E71-B597-80B48C8C75C8}"/>
    <cellStyle name="Normal 5 3 4 3 3 2 4" xfId="28908" xr:uid="{87D0BDA2-1EDD-49C9-A09B-6A96B316F08F}"/>
    <cellStyle name="Normal 5 3 4 3 3 2 5" xfId="12020" xr:uid="{AF1A78A1-5EDF-4688-901C-077F7EA5676F}"/>
    <cellStyle name="Normal 5 3 4 3 3 3" xfId="5651" xr:uid="{00000000-0005-0000-0000-0000451A0000}"/>
    <cellStyle name="Normal 5 3 4 3 3 3 2" xfId="22534" xr:uid="{D028AE5D-AEBF-4041-99AF-07649D469618}"/>
    <cellStyle name="Normal 5 3 4 3 3 3 3" xfId="30980" xr:uid="{D949CB46-A298-42D1-A9B9-B08AF310DDCF}"/>
    <cellStyle name="Normal 5 3 4 3 3 3 4" xfId="14093" xr:uid="{766FE33A-E85A-4DDD-A0BE-8000C010FD5E}"/>
    <cellStyle name="Normal 5 3 4 3 3 4" xfId="18316" xr:uid="{48BCABDA-8B27-4D5E-910C-15F485D5B805}"/>
    <cellStyle name="Normal 5 3 4 3 3 5" xfId="26761" xr:uid="{C312286D-9BA6-43F0-AD85-B32111A33D82}"/>
    <cellStyle name="Normal 5 3 4 3 3 6" xfId="9875" xr:uid="{6AD1EC89-CB99-4CBD-A2E6-124D8661AFD3}"/>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25092" xr:uid="{B4D61CF7-0A6E-4409-A3D1-CDB9B4A922A1}"/>
    <cellStyle name="Normal 5 3 4 3 4 2 2 3" xfId="33538" xr:uid="{BAD13DB5-495C-4496-9890-C301D24AF60A}"/>
    <cellStyle name="Normal 5 3 4 3 4 2 2 4" xfId="16651" xr:uid="{C1B9D7FA-C7A1-4128-AEDD-82F6FE9B5D8A}"/>
    <cellStyle name="Normal 5 3 4 3 4 2 3" xfId="20874" xr:uid="{CB15799E-AF92-489E-AB2A-B666A1754A66}"/>
    <cellStyle name="Normal 5 3 4 3 4 2 4" xfId="29321" xr:uid="{FEA59996-A633-489C-8A78-B9928E9A34EB}"/>
    <cellStyle name="Normal 5 3 4 3 4 2 5" xfId="12433" xr:uid="{BF15D00D-076C-4679-83C5-E4F9CCBEA9E3}"/>
    <cellStyle name="Normal 5 3 4 3 4 3" xfId="6064" xr:uid="{00000000-0005-0000-0000-0000491A0000}"/>
    <cellStyle name="Normal 5 3 4 3 4 3 2" xfId="22947" xr:uid="{3A42EBA9-B10D-4064-9C62-6DD3ACEF9FA2}"/>
    <cellStyle name="Normal 5 3 4 3 4 3 3" xfId="31393" xr:uid="{17308E21-5E52-42DE-B090-5A62B901D9D1}"/>
    <cellStyle name="Normal 5 3 4 3 4 3 4" xfId="14506" xr:uid="{2D7986FD-B04E-4E76-9959-8ADF0B28A039}"/>
    <cellStyle name="Normal 5 3 4 3 4 4" xfId="18729" xr:uid="{890295EC-E05E-4546-8676-6D2DD97DBDEF}"/>
    <cellStyle name="Normal 5 3 4 3 4 5" xfId="27174" xr:uid="{5D25EFC8-E6C5-413E-8707-95AFBFFB5A80}"/>
    <cellStyle name="Normal 5 3 4 3 4 6" xfId="10288" xr:uid="{5CFCA526-B1FF-439D-A9F4-8FADBA5F81F0}"/>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25505" xr:uid="{F6582109-A2CE-41FB-9E81-72174CAB76A3}"/>
    <cellStyle name="Normal 5 3 4 3 5 2 2 3" xfId="33951" xr:uid="{BD987764-7E4B-4B81-8352-95042CDF4B8F}"/>
    <cellStyle name="Normal 5 3 4 3 5 2 2 4" xfId="17064" xr:uid="{2B923809-7E12-4BEA-B4C4-ED1EF8997524}"/>
    <cellStyle name="Normal 5 3 4 3 5 2 3" xfId="21287" xr:uid="{52119E43-BE31-4C58-AF53-6EAE021E6C00}"/>
    <cellStyle name="Normal 5 3 4 3 5 2 4" xfId="29734" xr:uid="{B91B1D17-F2A4-4386-8170-F6B4A8C7D09C}"/>
    <cellStyle name="Normal 5 3 4 3 5 2 5" xfId="12846" xr:uid="{AA5AB1D3-FC19-4CB3-A74A-A33FDC3F5703}"/>
    <cellStyle name="Normal 5 3 4 3 5 3" xfId="6477" xr:uid="{00000000-0005-0000-0000-00004D1A0000}"/>
    <cellStyle name="Normal 5 3 4 3 5 3 2" xfId="23360" xr:uid="{1DE62BC5-FB1E-48D8-AC9B-A68F7C47DE64}"/>
    <cellStyle name="Normal 5 3 4 3 5 3 3" xfId="31806" xr:uid="{73794B5C-A377-4500-94F8-B478F1C79127}"/>
    <cellStyle name="Normal 5 3 4 3 5 3 4" xfId="14919" xr:uid="{ACE5D1AA-7F1F-44C5-94D0-787EA03C3231}"/>
    <cellStyle name="Normal 5 3 4 3 5 4" xfId="19142" xr:uid="{0303A313-DC2C-475C-A8E8-A6BA267E7F27}"/>
    <cellStyle name="Normal 5 3 4 3 5 5" xfId="27587" xr:uid="{21788410-4D62-4ACB-A974-4445ADC791B1}"/>
    <cellStyle name="Normal 5 3 4 3 5 6" xfId="10701" xr:uid="{9D7AD689-24A0-4134-81CE-08409AECB5F5}"/>
    <cellStyle name="Normal 5 3 4 3 6" xfId="2606" xr:uid="{00000000-0005-0000-0000-00004E1A0000}"/>
    <cellStyle name="Normal 5 3 4 3 6 2" xfId="6890" xr:uid="{00000000-0005-0000-0000-00004F1A0000}"/>
    <cellStyle name="Normal 5 3 4 3 6 2 2" xfId="23773" xr:uid="{29FFA6B6-AE2F-439C-8166-410B3886B82A}"/>
    <cellStyle name="Normal 5 3 4 3 6 2 3" xfId="32219" xr:uid="{42D225C2-9F2B-4FB3-B5B9-C679D6296E54}"/>
    <cellStyle name="Normal 5 3 4 3 6 2 4" xfId="15332" xr:uid="{387D3F91-8FFD-41E6-B091-3BD0FCAB6593}"/>
    <cellStyle name="Normal 5 3 4 3 6 3" xfId="19555" xr:uid="{2F8B85EB-9B5D-4056-B796-C22D49FA1743}"/>
    <cellStyle name="Normal 5 3 4 3 6 4" xfId="28000" xr:uid="{8A24CDB1-334D-40EA-A5ED-993A9EBF0312}"/>
    <cellStyle name="Normal 5 3 4 3 6 5" xfId="11114" xr:uid="{51191E12-8DBC-4C69-88C8-73E50FA55FE1}"/>
    <cellStyle name="Normal 5 3 4 3 7" xfId="4825" xr:uid="{00000000-0005-0000-0000-0000501A0000}"/>
    <cellStyle name="Normal 5 3 4 3 7 2" xfId="21708" xr:uid="{794EE181-05CC-42C8-9193-845D11AF71D3}"/>
    <cellStyle name="Normal 5 3 4 3 7 3" xfId="30154" xr:uid="{5144CB6E-60E3-4AB4-9559-180B156D9085}"/>
    <cellStyle name="Normal 5 3 4 3 7 4" xfId="13267" xr:uid="{3B225EFB-0C7E-4441-87CA-9B2001B880E9}"/>
    <cellStyle name="Normal 5 3 4 3 8" xfId="17490" xr:uid="{611D9A54-C99C-4158-9223-7FD86AD17DC8}"/>
    <cellStyle name="Normal 5 3 4 3 9" xfId="25934" xr:uid="{4B2C70DD-4CC0-4A6F-BC92-98A58E9A87B9}"/>
    <cellStyle name="Normal 5 3 4 4" xfId="923" xr:uid="{00000000-0005-0000-0000-0000511A0000}"/>
    <cellStyle name="Normal 5 3 4 4 2" xfId="3157" xr:uid="{00000000-0005-0000-0000-0000521A0000}"/>
    <cellStyle name="Normal 5 3 4 4 2 2" xfId="7380" xr:uid="{00000000-0005-0000-0000-0000531A0000}"/>
    <cellStyle name="Normal 5 3 4 4 2 2 2" xfId="24263" xr:uid="{57DC530C-86E9-4066-B4C5-3EECA1F31E51}"/>
    <cellStyle name="Normal 5 3 4 4 2 2 3" xfId="32709" xr:uid="{2A62DF64-022D-40F1-8862-BBC3CA44139D}"/>
    <cellStyle name="Normal 5 3 4 4 2 2 4" xfId="15822" xr:uid="{1298120C-3BF4-4344-95BB-A6867BE78713}"/>
    <cellStyle name="Normal 5 3 4 4 2 3" xfId="20045" xr:uid="{72106468-DAD1-4E8F-B736-0F37C547C6DB}"/>
    <cellStyle name="Normal 5 3 4 4 2 4" xfId="28492" xr:uid="{4F64AB73-0F44-4378-9207-49961BD5C894}"/>
    <cellStyle name="Normal 5 3 4 4 2 5" xfId="11604" xr:uid="{D512F0BB-8A40-4821-9C55-B3A96C44390E}"/>
    <cellStyle name="Normal 5 3 4 4 3" xfId="5235" xr:uid="{00000000-0005-0000-0000-0000541A0000}"/>
    <cellStyle name="Normal 5 3 4 4 3 2" xfId="22118" xr:uid="{EB2E7965-86FD-4329-B12B-93C303C95823}"/>
    <cellStyle name="Normal 5 3 4 4 3 3" xfId="30564" xr:uid="{6BE11197-7FBA-4BCB-99F3-A41FBD097B5B}"/>
    <cellStyle name="Normal 5 3 4 4 3 4" xfId="13677" xr:uid="{B2DB422A-3C5F-4892-8C9D-EB83552BC8B3}"/>
    <cellStyle name="Normal 5 3 4 4 4" xfId="17900" xr:uid="{571F08AC-DD25-4F61-B5DA-A490B2A4DB74}"/>
    <cellStyle name="Normal 5 3 4 4 5" xfId="26345" xr:uid="{85BCA28D-70C8-4D3A-B443-ECC53F515B89}"/>
    <cellStyle name="Normal 5 3 4 4 6" xfId="9459" xr:uid="{C24ED5CA-A2BA-4614-8AF0-CD92B9612366}"/>
    <cellStyle name="Normal 5 3 4 5" xfId="1340" xr:uid="{00000000-0005-0000-0000-0000551A0000}"/>
    <cellStyle name="Normal 5 3 4 5 2" xfId="3570" xr:uid="{00000000-0005-0000-0000-0000561A0000}"/>
    <cellStyle name="Normal 5 3 4 5 2 2" xfId="7793" xr:uid="{00000000-0005-0000-0000-0000571A0000}"/>
    <cellStyle name="Normal 5 3 4 5 2 2 2" xfId="24676" xr:uid="{1B5BD3E6-ACB0-4609-AA2B-F5BCCD6095A0}"/>
    <cellStyle name="Normal 5 3 4 5 2 2 3" xfId="33122" xr:uid="{7E389782-C687-4A8D-B282-5E93641977F1}"/>
    <cellStyle name="Normal 5 3 4 5 2 2 4" xfId="16235" xr:uid="{07B6FEE1-9BFE-4B5E-9510-CDBD7F5F1D1E}"/>
    <cellStyle name="Normal 5 3 4 5 2 3" xfId="20458" xr:uid="{56CC5654-AA52-4343-9739-E160CFCFF1ED}"/>
    <cellStyle name="Normal 5 3 4 5 2 4" xfId="28905" xr:uid="{54485870-7AA0-4C93-877F-AA009E12802C}"/>
    <cellStyle name="Normal 5 3 4 5 2 5" xfId="12017" xr:uid="{55DB4EBE-99D6-4251-A8B8-DA91DD6065D7}"/>
    <cellStyle name="Normal 5 3 4 5 3" xfId="5648" xr:uid="{00000000-0005-0000-0000-0000581A0000}"/>
    <cellStyle name="Normal 5 3 4 5 3 2" xfId="22531" xr:uid="{CFFB70C8-9F95-46A5-B23A-E96F9AA9E37C}"/>
    <cellStyle name="Normal 5 3 4 5 3 3" xfId="30977" xr:uid="{702F1E02-0185-413D-8CE3-96404B2EBBB8}"/>
    <cellStyle name="Normal 5 3 4 5 3 4" xfId="14090" xr:uid="{145C31F2-A0E9-4C18-99F6-A5A4DF342C0A}"/>
    <cellStyle name="Normal 5 3 4 5 4" xfId="18313" xr:uid="{5F77DA1D-A534-4F90-BBDD-1D8BDD993D7B}"/>
    <cellStyle name="Normal 5 3 4 5 5" xfId="26758" xr:uid="{896BCBC4-5141-4A2D-B470-3434D1AA9C14}"/>
    <cellStyle name="Normal 5 3 4 5 6" xfId="9872" xr:uid="{90FB6AAD-7761-4C5C-899E-B04ED9845DDF}"/>
    <cellStyle name="Normal 5 3 4 6" xfId="1753" xr:uid="{00000000-0005-0000-0000-0000591A0000}"/>
    <cellStyle name="Normal 5 3 4 6 2" xfId="3983" xr:uid="{00000000-0005-0000-0000-00005A1A0000}"/>
    <cellStyle name="Normal 5 3 4 6 2 2" xfId="8206" xr:uid="{00000000-0005-0000-0000-00005B1A0000}"/>
    <cellStyle name="Normal 5 3 4 6 2 2 2" xfId="25089" xr:uid="{6AADCE01-C06C-4D16-A918-D4925660F16B}"/>
    <cellStyle name="Normal 5 3 4 6 2 2 3" xfId="33535" xr:uid="{46A60299-C1CB-4B87-96A0-F5E8123D9249}"/>
    <cellStyle name="Normal 5 3 4 6 2 2 4" xfId="16648" xr:uid="{BBC4A21F-42CF-4C1F-B8B3-012C2C483307}"/>
    <cellStyle name="Normal 5 3 4 6 2 3" xfId="20871" xr:uid="{FBF7389B-B48B-4521-8B91-29A407D6009E}"/>
    <cellStyle name="Normal 5 3 4 6 2 4" xfId="29318" xr:uid="{653F6589-CEB5-4090-BAE7-C798B4BCD331}"/>
    <cellStyle name="Normal 5 3 4 6 2 5" xfId="12430" xr:uid="{07B52E56-31B1-4BDC-80E1-96093AC960D4}"/>
    <cellStyle name="Normal 5 3 4 6 3" xfId="6061" xr:uid="{00000000-0005-0000-0000-00005C1A0000}"/>
    <cellStyle name="Normal 5 3 4 6 3 2" xfId="22944" xr:uid="{5DE995E8-DD5B-4BE9-A26A-D74C01F8EC07}"/>
    <cellStyle name="Normal 5 3 4 6 3 3" xfId="31390" xr:uid="{8E1277A7-7301-4A4E-BD0B-B66EE635F8D4}"/>
    <cellStyle name="Normal 5 3 4 6 3 4" xfId="14503" xr:uid="{91A40F70-DF28-4532-B346-BCF674A0FBDC}"/>
    <cellStyle name="Normal 5 3 4 6 4" xfId="18726" xr:uid="{12E8614C-BCF0-4D43-A952-3B4F41A28342}"/>
    <cellStyle name="Normal 5 3 4 6 5" xfId="27171" xr:uid="{B6E1EC48-C196-41B7-ACF9-14BC00C5C721}"/>
    <cellStyle name="Normal 5 3 4 6 6" xfId="10285" xr:uid="{595D9569-12CF-49D3-A313-283DD3A9F4A5}"/>
    <cellStyle name="Normal 5 3 4 7" xfId="2167" xr:uid="{00000000-0005-0000-0000-00005D1A0000}"/>
    <cellStyle name="Normal 5 3 4 7 2" xfId="4396" xr:uid="{00000000-0005-0000-0000-00005E1A0000}"/>
    <cellStyle name="Normal 5 3 4 7 2 2" xfId="8619" xr:uid="{00000000-0005-0000-0000-00005F1A0000}"/>
    <cellStyle name="Normal 5 3 4 7 2 2 2" xfId="25502" xr:uid="{25FF51BF-7D5B-4C23-95DB-D53F4B2C51CE}"/>
    <cellStyle name="Normal 5 3 4 7 2 2 3" xfId="33948" xr:uid="{1A79E61C-62B2-45AE-8705-033002E78BA4}"/>
    <cellStyle name="Normal 5 3 4 7 2 2 4" xfId="17061" xr:uid="{5A57EC6E-F4C0-44DE-859F-CAA2D7C94F25}"/>
    <cellStyle name="Normal 5 3 4 7 2 3" xfId="21284" xr:uid="{093C180D-0013-464B-8417-441EB6B0BA95}"/>
    <cellStyle name="Normal 5 3 4 7 2 4" xfId="29731" xr:uid="{F0D22236-6583-42C8-ABFB-AEC1C44278EF}"/>
    <cellStyle name="Normal 5 3 4 7 2 5" xfId="12843" xr:uid="{BBCA50CA-2F9B-49BF-8C66-CAEAF6E55F70}"/>
    <cellStyle name="Normal 5 3 4 7 3" xfId="6474" xr:uid="{00000000-0005-0000-0000-0000601A0000}"/>
    <cellStyle name="Normal 5 3 4 7 3 2" xfId="23357" xr:uid="{703D8C39-3880-474B-AB51-6C7A234D285F}"/>
    <cellStyle name="Normal 5 3 4 7 3 3" xfId="31803" xr:uid="{A748016E-AD9A-45A5-8309-B5ABA332E67B}"/>
    <cellStyle name="Normal 5 3 4 7 3 4" xfId="14916" xr:uid="{BC18062D-7216-4383-8AF4-C25D5EF90B85}"/>
    <cellStyle name="Normal 5 3 4 7 4" xfId="19139" xr:uid="{571F7F56-B82E-49DE-ACEC-7FB63961235D}"/>
    <cellStyle name="Normal 5 3 4 7 5" xfId="27584" xr:uid="{A2988E48-3484-4F8A-B755-01B060D89419}"/>
    <cellStyle name="Normal 5 3 4 7 6" xfId="10698" xr:uid="{EF270936-5119-4ACD-8AAD-C0072BCF4796}"/>
    <cellStyle name="Normal 5 3 4 8" xfId="2603" xr:uid="{00000000-0005-0000-0000-0000611A0000}"/>
    <cellStyle name="Normal 5 3 4 8 2" xfId="6887" xr:uid="{00000000-0005-0000-0000-0000621A0000}"/>
    <cellStyle name="Normal 5 3 4 8 2 2" xfId="23770" xr:uid="{B32B87BE-23AB-4F8E-BEF1-18812C3864C0}"/>
    <cellStyle name="Normal 5 3 4 8 2 3" xfId="32216" xr:uid="{03D322B5-4186-4928-838D-3C2FDD7BD651}"/>
    <cellStyle name="Normal 5 3 4 8 2 4" xfId="15329" xr:uid="{660C3275-A97C-4510-9D9B-447C6B59BCD5}"/>
    <cellStyle name="Normal 5 3 4 8 3" xfId="19552" xr:uid="{E5055F39-964D-4FBF-B9CB-8724D25EBD1F}"/>
    <cellStyle name="Normal 5 3 4 8 4" xfId="27997" xr:uid="{D25B8973-C627-4F09-862D-E3A66B8C5E57}"/>
    <cellStyle name="Normal 5 3 4 8 5" xfId="11111" xr:uid="{853CB5FB-ACB2-4409-A85F-DBB37528D646}"/>
    <cellStyle name="Normal 5 3 4 9" xfId="4822" xr:uid="{00000000-0005-0000-0000-0000631A0000}"/>
    <cellStyle name="Normal 5 3 4 9 2" xfId="21705" xr:uid="{3EF3A594-46D7-4AD2-A790-A6E9EEA92E55}"/>
    <cellStyle name="Normal 5 3 4 9 3" xfId="30151" xr:uid="{22A690C1-17A1-45F2-91B6-2911F386CFB9}"/>
    <cellStyle name="Normal 5 3 4 9 4" xfId="13264" xr:uid="{ECC9AAB7-EC9D-4CB2-8CC4-3345D4F473D6}"/>
    <cellStyle name="Normal 5 3 5" xfId="453" xr:uid="{00000000-0005-0000-0000-0000641A0000}"/>
    <cellStyle name="Normal 5 3 5 10" xfId="25935" xr:uid="{B957239A-4384-4C94-9A63-7613360E2D19}"/>
    <cellStyle name="Normal 5 3 5 11" xfId="9050" xr:uid="{9D04F966-75A6-4B4C-9E0A-C265D45A0018}"/>
    <cellStyle name="Normal 5 3 5 2" xfId="454" xr:uid="{00000000-0005-0000-0000-0000651A0000}"/>
    <cellStyle name="Normal 5 3 5 2 10" xfId="9051" xr:uid="{CD360F52-BAB4-430E-83A9-C657C30B50F3}"/>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24268" xr:uid="{1AA1D15B-D87A-4515-8721-2AD7CB085814}"/>
    <cellStyle name="Normal 5 3 5 2 2 2 2 3" xfId="32714" xr:uid="{952BD754-2509-4B17-86C4-3BEA9E7D620B}"/>
    <cellStyle name="Normal 5 3 5 2 2 2 2 4" xfId="15827" xr:uid="{F2D59DF8-0953-44D5-9BDE-C4BA8BA3943F}"/>
    <cellStyle name="Normal 5 3 5 2 2 2 3" xfId="20050" xr:uid="{AEBFA463-6FE0-4171-B0E7-42AEB82BE198}"/>
    <cellStyle name="Normal 5 3 5 2 2 2 4" xfId="28497" xr:uid="{E7A80B19-5DC1-405D-862F-05FFE1C2C5E2}"/>
    <cellStyle name="Normal 5 3 5 2 2 2 5" xfId="11609" xr:uid="{43BD15DB-BC14-4E9A-ADDA-B3F5A8591FE4}"/>
    <cellStyle name="Normal 5 3 5 2 2 3" xfId="5240" xr:uid="{00000000-0005-0000-0000-0000691A0000}"/>
    <cellStyle name="Normal 5 3 5 2 2 3 2" xfId="22123" xr:uid="{C05F5444-DAED-4CA0-898D-E11161F74DC8}"/>
    <cellStyle name="Normal 5 3 5 2 2 3 3" xfId="30569" xr:uid="{F8E35F8A-B6E2-425D-9803-C46302CE8BB1}"/>
    <cellStyle name="Normal 5 3 5 2 2 3 4" xfId="13682" xr:uid="{1B612F69-B7FB-4EBC-BB2B-281833716154}"/>
    <cellStyle name="Normal 5 3 5 2 2 4" xfId="17905" xr:uid="{3F5CE708-5C02-45F8-9BED-BBF76153A81A}"/>
    <cellStyle name="Normal 5 3 5 2 2 5" xfId="26350" xr:uid="{A247351C-24AB-453E-8152-96D71734DC8F}"/>
    <cellStyle name="Normal 5 3 5 2 2 6" xfId="9464" xr:uid="{A143A441-BF11-403D-84F9-D3BCC453223F}"/>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24681" xr:uid="{479F394D-28D8-4468-9661-9B5A2E610B84}"/>
    <cellStyle name="Normal 5 3 5 2 3 2 2 3" xfId="33127" xr:uid="{C450824B-8D9C-4EE8-ACEF-A9C85F3EE66F}"/>
    <cellStyle name="Normal 5 3 5 2 3 2 2 4" xfId="16240" xr:uid="{C16A64C7-E422-4B06-857B-7AEEF7F57C7B}"/>
    <cellStyle name="Normal 5 3 5 2 3 2 3" xfId="20463" xr:uid="{B93E7788-0C3E-41C1-AFE6-894AD48B5E54}"/>
    <cellStyle name="Normal 5 3 5 2 3 2 4" xfId="28910" xr:uid="{0560B5FA-2ECC-4095-8BB3-BB6233DEB74F}"/>
    <cellStyle name="Normal 5 3 5 2 3 2 5" xfId="12022" xr:uid="{D888BF31-1EE7-417B-B359-D13252BD2B18}"/>
    <cellStyle name="Normal 5 3 5 2 3 3" xfId="5653" xr:uid="{00000000-0005-0000-0000-00006D1A0000}"/>
    <cellStyle name="Normal 5 3 5 2 3 3 2" xfId="22536" xr:uid="{BA5F6ECA-9035-48AA-962A-7358BADAAAD5}"/>
    <cellStyle name="Normal 5 3 5 2 3 3 3" xfId="30982" xr:uid="{EC2016AC-6CFA-45DD-8E1E-2BC2DEA4EF52}"/>
    <cellStyle name="Normal 5 3 5 2 3 3 4" xfId="14095" xr:uid="{E6897F9B-4AC9-4551-9801-10EF80623D15}"/>
    <cellStyle name="Normal 5 3 5 2 3 4" xfId="18318" xr:uid="{2D906229-C078-4C30-BA5F-81B7BD14A228}"/>
    <cellStyle name="Normal 5 3 5 2 3 5" xfId="26763" xr:uid="{07CAFDB7-4D4E-4212-B7E8-45235FF6C193}"/>
    <cellStyle name="Normal 5 3 5 2 3 6" xfId="9877" xr:uid="{2965C30C-7284-4AC8-B246-67CD60AB2E89}"/>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25094" xr:uid="{C8775084-D139-4B22-9542-DEF765A4A89E}"/>
    <cellStyle name="Normal 5 3 5 2 4 2 2 3" xfId="33540" xr:uid="{5B0FB775-7A09-4F17-992D-295393B3861A}"/>
    <cellStyle name="Normal 5 3 5 2 4 2 2 4" xfId="16653" xr:uid="{0D02FE99-8807-4926-8BA0-C748B1347D8F}"/>
    <cellStyle name="Normal 5 3 5 2 4 2 3" xfId="20876" xr:uid="{F5B64DE4-9018-40B0-904B-79DF297C4B5F}"/>
    <cellStyle name="Normal 5 3 5 2 4 2 4" xfId="29323" xr:uid="{6EDE6F68-46AC-49E2-B79F-D866D405F927}"/>
    <cellStyle name="Normal 5 3 5 2 4 2 5" xfId="12435" xr:uid="{2B0DD39B-08C8-4B52-99CD-58795E06A0C4}"/>
    <cellStyle name="Normal 5 3 5 2 4 3" xfId="6066" xr:uid="{00000000-0005-0000-0000-0000711A0000}"/>
    <cellStyle name="Normal 5 3 5 2 4 3 2" xfId="22949" xr:uid="{AEB2FF3B-CFA6-4D7C-BE96-136BE07B05DA}"/>
    <cellStyle name="Normal 5 3 5 2 4 3 3" xfId="31395" xr:uid="{DF0BE7C1-45BA-42F7-A657-012E054975B0}"/>
    <cellStyle name="Normal 5 3 5 2 4 3 4" xfId="14508" xr:uid="{D2AFA6EB-16F5-47AB-B26D-D54A072F43DA}"/>
    <cellStyle name="Normal 5 3 5 2 4 4" xfId="18731" xr:uid="{33DFAA60-4AC2-48DE-A041-21EC95748F4A}"/>
    <cellStyle name="Normal 5 3 5 2 4 5" xfId="27176" xr:uid="{5DDA4F4B-E6C4-4C18-83F7-AB247AE2129F}"/>
    <cellStyle name="Normal 5 3 5 2 4 6" xfId="10290" xr:uid="{D88F5CE3-72CB-4D94-992F-BAD2152CED3A}"/>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25507" xr:uid="{80D864BE-8856-4B4D-B992-18532280D017}"/>
    <cellStyle name="Normal 5 3 5 2 5 2 2 3" xfId="33953" xr:uid="{E77F0E32-2D11-4ACD-AF5E-E5242024E644}"/>
    <cellStyle name="Normal 5 3 5 2 5 2 2 4" xfId="17066" xr:uid="{BA9D3292-113D-460E-966A-EC00AAAFF16E}"/>
    <cellStyle name="Normal 5 3 5 2 5 2 3" xfId="21289" xr:uid="{EC0C3E07-1B3B-4B60-96BA-178E87541CD1}"/>
    <cellStyle name="Normal 5 3 5 2 5 2 4" xfId="29736" xr:uid="{7E0A87E7-2981-4F27-8A38-F5893C43B65C}"/>
    <cellStyle name="Normal 5 3 5 2 5 2 5" xfId="12848" xr:uid="{8F493577-0E35-4603-A465-604F756605FB}"/>
    <cellStyle name="Normal 5 3 5 2 5 3" xfId="6479" xr:uid="{00000000-0005-0000-0000-0000751A0000}"/>
    <cellStyle name="Normal 5 3 5 2 5 3 2" xfId="23362" xr:uid="{2999C2BC-BF02-4811-89CA-04BD3C25BB0A}"/>
    <cellStyle name="Normal 5 3 5 2 5 3 3" xfId="31808" xr:uid="{99A2D074-73CC-4C7D-9860-EB5B07552E10}"/>
    <cellStyle name="Normal 5 3 5 2 5 3 4" xfId="14921" xr:uid="{F138CC95-D5F4-4134-A22A-95181F89A4E5}"/>
    <cellStyle name="Normal 5 3 5 2 5 4" xfId="19144" xr:uid="{9AF1F6E5-C30E-4BE1-83E8-CB5DE9976C2A}"/>
    <cellStyle name="Normal 5 3 5 2 5 5" xfId="27589" xr:uid="{439160C7-7683-4994-AFE9-92D42A86FCFC}"/>
    <cellStyle name="Normal 5 3 5 2 5 6" xfId="10703" xr:uid="{F1A6A30C-BC5A-407B-B446-0518BB2D4A6A}"/>
    <cellStyle name="Normal 5 3 5 2 6" xfId="2608" xr:uid="{00000000-0005-0000-0000-0000761A0000}"/>
    <cellStyle name="Normal 5 3 5 2 6 2" xfId="6892" xr:uid="{00000000-0005-0000-0000-0000771A0000}"/>
    <cellStyle name="Normal 5 3 5 2 6 2 2" xfId="23775" xr:uid="{8FC6157B-EADE-4F0B-95A5-66EF99C5D345}"/>
    <cellStyle name="Normal 5 3 5 2 6 2 3" xfId="32221" xr:uid="{A3659F54-AFB3-4397-9BF4-9C004343D8C7}"/>
    <cellStyle name="Normal 5 3 5 2 6 2 4" xfId="15334" xr:uid="{55489230-46B2-485C-BC84-92A827CD4197}"/>
    <cellStyle name="Normal 5 3 5 2 6 3" xfId="19557" xr:uid="{9E7AACCC-A139-4138-AA93-1CC8442C7666}"/>
    <cellStyle name="Normal 5 3 5 2 6 4" xfId="28002" xr:uid="{7BF5CF37-A08E-4E2B-B170-34DA02B2B2A3}"/>
    <cellStyle name="Normal 5 3 5 2 6 5" xfId="11116" xr:uid="{732AE722-FEB0-4A37-9FED-998F13B23D55}"/>
    <cellStyle name="Normal 5 3 5 2 7" xfId="4827" xr:uid="{00000000-0005-0000-0000-0000781A0000}"/>
    <cellStyle name="Normal 5 3 5 2 7 2" xfId="21710" xr:uid="{66E2C6BC-3561-4BB5-BEE9-CF077972C01B}"/>
    <cellStyle name="Normal 5 3 5 2 7 3" xfId="30156" xr:uid="{C8BD3B3C-CC30-4019-ABDB-7189DD2897DE}"/>
    <cellStyle name="Normal 5 3 5 2 7 4" xfId="13269" xr:uid="{E17342FE-6987-4CAF-B065-CC669E098554}"/>
    <cellStyle name="Normal 5 3 5 2 8" xfId="17492" xr:uid="{1D94782F-3539-4F73-9FBC-A3C89AFA40B4}"/>
    <cellStyle name="Normal 5 3 5 2 9" xfId="25936" xr:uid="{6E6E0445-7CBB-4865-A44A-C0AF5A87F129}"/>
    <cellStyle name="Normal 5 3 5 3" xfId="927" xr:uid="{00000000-0005-0000-0000-0000791A0000}"/>
    <cellStyle name="Normal 5 3 5 3 2" xfId="3161" xr:uid="{00000000-0005-0000-0000-00007A1A0000}"/>
    <cellStyle name="Normal 5 3 5 3 2 2" xfId="7384" xr:uid="{00000000-0005-0000-0000-00007B1A0000}"/>
    <cellStyle name="Normal 5 3 5 3 2 2 2" xfId="24267" xr:uid="{106C3181-75E5-43A4-9CCE-A48FF3C5AF50}"/>
    <cellStyle name="Normal 5 3 5 3 2 2 3" xfId="32713" xr:uid="{ECEBEA62-1F35-412B-8610-C025A0921D0C}"/>
    <cellStyle name="Normal 5 3 5 3 2 2 4" xfId="15826" xr:uid="{6D4118DF-D481-486A-82DD-711DAB15EF75}"/>
    <cellStyle name="Normal 5 3 5 3 2 3" xfId="20049" xr:uid="{C76194CF-DA62-4BF2-8914-29595F85C721}"/>
    <cellStyle name="Normal 5 3 5 3 2 4" xfId="28496" xr:uid="{3CF0814D-3E33-4305-BD23-260667F5B3EA}"/>
    <cellStyle name="Normal 5 3 5 3 2 5" xfId="11608" xr:uid="{E297CCE7-B608-4064-B501-4AE6D8752D59}"/>
    <cellStyle name="Normal 5 3 5 3 3" xfId="5239" xr:uid="{00000000-0005-0000-0000-00007C1A0000}"/>
    <cellStyle name="Normal 5 3 5 3 3 2" xfId="22122" xr:uid="{22D96B56-9F9E-4080-994C-4D3B617FA455}"/>
    <cellStyle name="Normal 5 3 5 3 3 3" xfId="30568" xr:uid="{2AFF4CB4-8FAD-4DB8-B270-A7D039158363}"/>
    <cellStyle name="Normal 5 3 5 3 3 4" xfId="13681" xr:uid="{BD630F1A-6346-4D0C-8332-EBEAB62C9C0C}"/>
    <cellStyle name="Normal 5 3 5 3 4" xfId="17904" xr:uid="{C819513D-108C-4E72-9A30-AA0D5ABC2CCD}"/>
    <cellStyle name="Normal 5 3 5 3 5" xfId="26349" xr:uid="{CDF565A3-0B40-4DA4-9AE9-07184CF5C07E}"/>
    <cellStyle name="Normal 5 3 5 3 6" xfId="9463" xr:uid="{95BD5839-2D74-4BD8-AB0E-78E81F52E4F9}"/>
    <cellStyle name="Normal 5 3 5 4" xfId="1344" xr:uid="{00000000-0005-0000-0000-00007D1A0000}"/>
    <cellStyle name="Normal 5 3 5 4 2" xfId="3574" xr:uid="{00000000-0005-0000-0000-00007E1A0000}"/>
    <cellStyle name="Normal 5 3 5 4 2 2" xfId="7797" xr:uid="{00000000-0005-0000-0000-00007F1A0000}"/>
    <cellStyle name="Normal 5 3 5 4 2 2 2" xfId="24680" xr:uid="{764DBC94-02BC-4153-A024-232B43EAB633}"/>
    <cellStyle name="Normal 5 3 5 4 2 2 3" xfId="33126" xr:uid="{D11E3A79-528C-4B13-9A61-5E308C1508BC}"/>
    <cellStyle name="Normal 5 3 5 4 2 2 4" xfId="16239" xr:uid="{426FDF43-3DD7-42B7-81B5-87B85DBB2A98}"/>
    <cellStyle name="Normal 5 3 5 4 2 3" xfId="20462" xr:uid="{D44920D7-BDAD-43B0-8DEA-D5C83876B486}"/>
    <cellStyle name="Normal 5 3 5 4 2 4" xfId="28909" xr:uid="{5E6D627F-6AA6-4051-A23A-E87D71D564BF}"/>
    <cellStyle name="Normal 5 3 5 4 2 5" xfId="12021" xr:uid="{7E16F904-8A9B-4A02-8286-C86D5FEA181B}"/>
    <cellStyle name="Normal 5 3 5 4 3" xfId="5652" xr:uid="{00000000-0005-0000-0000-0000801A0000}"/>
    <cellStyle name="Normal 5 3 5 4 3 2" xfId="22535" xr:uid="{EB070F39-0498-41A7-B7A8-ECCA28B82C20}"/>
    <cellStyle name="Normal 5 3 5 4 3 3" xfId="30981" xr:uid="{68E8ED42-25EA-4AEC-88C8-6DDF3637D1FC}"/>
    <cellStyle name="Normal 5 3 5 4 3 4" xfId="14094" xr:uid="{EDA3AA5B-DD9F-473B-AB1F-CA4D3975A7D3}"/>
    <cellStyle name="Normal 5 3 5 4 4" xfId="18317" xr:uid="{F1048B68-E2E0-470B-A0E9-8CE7FB725537}"/>
    <cellStyle name="Normal 5 3 5 4 5" xfId="26762" xr:uid="{2B224EED-CF34-4C21-B657-E751319D9887}"/>
    <cellStyle name="Normal 5 3 5 4 6" xfId="9876" xr:uid="{75A990F9-C4F9-4FB1-8CB7-772FA0BFA5F1}"/>
    <cellStyle name="Normal 5 3 5 5" xfId="1757" xr:uid="{00000000-0005-0000-0000-0000811A0000}"/>
    <cellStyle name="Normal 5 3 5 5 2" xfId="3987" xr:uid="{00000000-0005-0000-0000-0000821A0000}"/>
    <cellStyle name="Normal 5 3 5 5 2 2" xfId="8210" xr:uid="{00000000-0005-0000-0000-0000831A0000}"/>
    <cellStyle name="Normal 5 3 5 5 2 2 2" xfId="25093" xr:uid="{432F8D89-2169-40C4-98AE-D98C689A5513}"/>
    <cellStyle name="Normal 5 3 5 5 2 2 3" xfId="33539" xr:uid="{641EDD03-A8FA-4F09-91B7-A17A24E2D119}"/>
    <cellStyle name="Normal 5 3 5 5 2 2 4" xfId="16652" xr:uid="{7033C896-F555-4A0E-8D77-CBD8A73D4114}"/>
    <cellStyle name="Normal 5 3 5 5 2 3" xfId="20875" xr:uid="{4B0BF3A4-A329-4206-A06A-AC566CAA14E2}"/>
    <cellStyle name="Normal 5 3 5 5 2 4" xfId="29322" xr:uid="{BFE2B43D-9946-4CD8-BB58-AEC45EF31FB8}"/>
    <cellStyle name="Normal 5 3 5 5 2 5" xfId="12434" xr:uid="{D221F1FD-1FA8-46CF-BA92-792785B0DD16}"/>
    <cellStyle name="Normal 5 3 5 5 3" xfId="6065" xr:uid="{00000000-0005-0000-0000-0000841A0000}"/>
    <cellStyle name="Normal 5 3 5 5 3 2" xfId="22948" xr:uid="{82583AC8-DBFA-4442-B138-9D458FEF2FCB}"/>
    <cellStyle name="Normal 5 3 5 5 3 3" xfId="31394" xr:uid="{60C14D8D-3493-4301-893A-1FEB3233BDC6}"/>
    <cellStyle name="Normal 5 3 5 5 3 4" xfId="14507" xr:uid="{1767FEB0-6601-4A48-8A5A-F504FD69F936}"/>
    <cellStyle name="Normal 5 3 5 5 4" xfId="18730" xr:uid="{81829950-E606-478C-BD52-32E0D8B9C3CD}"/>
    <cellStyle name="Normal 5 3 5 5 5" xfId="27175" xr:uid="{5AC02D66-030B-4855-8D99-EBE8D3673AB7}"/>
    <cellStyle name="Normal 5 3 5 5 6" xfId="10289" xr:uid="{CCB4774A-BE26-4662-AEF3-597CBFFEDCA5}"/>
    <cellStyle name="Normal 5 3 5 6" xfId="2171" xr:uid="{00000000-0005-0000-0000-0000851A0000}"/>
    <cellStyle name="Normal 5 3 5 6 2" xfId="4400" xr:uid="{00000000-0005-0000-0000-0000861A0000}"/>
    <cellStyle name="Normal 5 3 5 6 2 2" xfId="8623" xr:uid="{00000000-0005-0000-0000-0000871A0000}"/>
    <cellStyle name="Normal 5 3 5 6 2 2 2" xfId="25506" xr:uid="{CA25FC35-6E92-49EC-8BEF-E686F3520DE7}"/>
    <cellStyle name="Normal 5 3 5 6 2 2 3" xfId="33952" xr:uid="{BC523625-CC8E-4E75-9D22-29EE987167D7}"/>
    <cellStyle name="Normal 5 3 5 6 2 2 4" xfId="17065" xr:uid="{0AD5A1AD-4483-4CFA-88EA-FB632771AD13}"/>
    <cellStyle name="Normal 5 3 5 6 2 3" xfId="21288" xr:uid="{5C77681B-485D-49B8-A15C-4755E4D844A6}"/>
    <cellStyle name="Normal 5 3 5 6 2 4" xfId="29735" xr:uid="{9F432760-0796-4A9B-A6D5-0D31AC5E0175}"/>
    <cellStyle name="Normal 5 3 5 6 2 5" xfId="12847" xr:uid="{7176AF6A-B988-4A5B-A925-30F78428D375}"/>
    <cellStyle name="Normal 5 3 5 6 3" xfId="6478" xr:uid="{00000000-0005-0000-0000-0000881A0000}"/>
    <cellStyle name="Normal 5 3 5 6 3 2" xfId="23361" xr:uid="{F3F92867-931B-4959-824E-575059A9E2B8}"/>
    <cellStyle name="Normal 5 3 5 6 3 3" xfId="31807" xr:uid="{83248A93-7237-412C-9E4A-C841737B591A}"/>
    <cellStyle name="Normal 5 3 5 6 3 4" xfId="14920" xr:uid="{70E54917-6DC3-49DB-A6AE-5A751668E977}"/>
    <cellStyle name="Normal 5 3 5 6 4" xfId="19143" xr:uid="{B126D9B1-32A4-4D02-92B1-2AC8284A1AFC}"/>
    <cellStyle name="Normal 5 3 5 6 5" xfId="27588" xr:uid="{08605A45-566B-49EF-B263-872C936A32A0}"/>
    <cellStyle name="Normal 5 3 5 6 6" xfId="10702" xr:uid="{773BE468-8C4C-4B9D-86B6-75CCD6AAD2AB}"/>
    <cellStyle name="Normal 5 3 5 7" xfId="2607" xr:uid="{00000000-0005-0000-0000-0000891A0000}"/>
    <cellStyle name="Normal 5 3 5 7 2" xfId="6891" xr:uid="{00000000-0005-0000-0000-00008A1A0000}"/>
    <cellStyle name="Normal 5 3 5 7 2 2" xfId="23774" xr:uid="{BC3A0F70-A77D-4C86-A6E5-0DE812D875E1}"/>
    <cellStyle name="Normal 5 3 5 7 2 3" xfId="32220" xr:uid="{CDE70D37-9C6F-4E71-AE9F-D940CCA27CC9}"/>
    <cellStyle name="Normal 5 3 5 7 2 4" xfId="15333" xr:uid="{055BC02B-6D0E-48F9-8C57-C40F7C9BD557}"/>
    <cellStyle name="Normal 5 3 5 7 3" xfId="19556" xr:uid="{DC6BF548-0FAB-4AAC-AA7E-2E212472635B}"/>
    <cellStyle name="Normal 5 3 5 7 4" xfId="28001" xr:uid="{66993190-B9FA-43FA-A602-8AF26E2329F4}"/>
    <cellStyle name="Normal 5 3 5 7 5" xfId="11115" xr:uid="{7C25201A-D606-47FB-9A9F-6698FD0DE50C}"/>
    <cellStyle name="Normal 5 3 5 8" xfId="4826" xr:uid="{00000000-0005-0000-0000-00008B1A0000}"/>
    <cellStyle name="Normal 5 3 5 8 2" xfId="21709" xr:uid="{A427E429-F325-41F6-8189-5261B9C8CFF3}"/>
    <cellStyle name="Normal 5 3 5 8 3" xfId="30155" xr:uid="{61FD17D0-0DEA-474B-ADD9-48812EED05D3}"/>
    <cellStyle name="Normal 5 3 5 8 4" xfId="13268" xr:uid="{C3522A13-7CE6-4D85-9A08-8CDBF6141054}"/>
    <cellStyle name="Normal 5 3 5 9" xfId="17491" xr:uid="{1FCE66E6-7090-4719-9D52-751EAC21AB42}"/>
    <cellStyle name="Normal 5 3 6" xfId="455" xr:uid="{00000000-0005-0000-0000-00008C1A0000}"/>
    <cellStyle name="Normal 5 3 6 10" xfId="9052" xr:uid="{1D910B84-477C-4F40-BA1F-8CA857F291E0}"/>
    <cellStyle name="Normal 5 3 6 2" xfId="929" xr:uid="{00000000-0005-0000-0000-00008D1A0000}"/>
    <cellStyle name="Normal 5 3 6 2 2" xfId="3163" xr:uid="{00000000-0005-0000-0000-00008E1A0000}"/>
    <cellStyle name="Normal 5 3 6 2 2 2" xfId="7386" xr:uid="{00000000-0005-0000-0000-00008F1A0000}"/>
    <cellStyle name="Normal 5 3 6 2 2 2 2" xfId="24269" xr:uid="{E169A497-7D09-4608-83DD-F3E9E66341FA}"/>
    <cellStyle name="Normal 5 3 6 2 2 2 3" xfId="32715" xr:uid="{B1290928-4744-4E5E-AF33-93C8C9905B3E}"/>
    <cellStyle name="Normal 5 3 6 2 2 2 4" xfId="15828" xr:uid="{2DE7F9E4-3AD5-4F2B-95F0-AB5DED2F5DDE}"/>
    <cellStyle name="Normal 5 3 6 2 2 3" xfId="20051" xr:uid="{2D841CCD-AF0E-48A7-9407-E7C0048B65C8}"/>
    <cellStyle name="Normal 5 3 6 2 2 4" xfId="28498" xr:uid="{9661B8F9-AB0F-44CB-8DEC-2C4817D3E9E6}"/>
    <cellStyle name="Normal 5 3 6 2 2 5" xfId="11610" xr:uid="{A02774BC-93C0-4F1F-9EAA-4327EDADE856}"/>
    <cellStyle name="Normal 5 3 6 2 3" xfId="5241" xr:uid="{00000000-0005-0000-0000-0000901A0000}"/>
    <cellStyle name="Normal 5 3 6 2 3 2" xfId="22124" xr:uid="{A2514048-4D88-4144-8423-98A454E21042}"/>
    <cellStyle name="Normal 5 3 6 2 3 3" xfId="30570" xr:uid="{6D376A70-D43A-42BD-93DD-1FAC80F90F25}"/>
    <cellStyle name="Normal 5 3 6 2 3 4" xfId="13683" xr:uid="{C74A08EC-AC12-4224-9137-1E122A6BA6E3}"/>
    <cellStyle name="Normal 5 3 6 2 4" xfId="17906" xr:uid="{E9574FAC-0E49-4FD5-BECE-3369E10F40C0}"/>
    <cellStyle name="Normal 5 3 6 2 5" xfId="26351" xr:uid="{D746B6CA-ABD1-41E8-848F-541D4433F226}"/>
    <cellStyle name="Normal 5 3 6 2 6" xfId="9465" xr:uid="{B3834A4A-EC24-4779-8D68-219F19995600}"/>
    <cellStyle name="Normal 5 3 6 3" xfId="1346" xr:uid="{00000000-0005-0000-0000-0000911A0000}"/>
    <cellStyle name="Normal 5 3 6 3 2" xfId="3576" xr:uid="{00000000-0005-0000-0000-0000921A0000}"/>
    <cellStyle name="Normal 5 3 6 3 2 2" xfId="7799" xr:uid="{00000000-0005-0000-0000-0000931A0000}"/>
    <cellStyle name="Normal 5 3 6 3 2 2 2" xfId="24682" xr:uid="{E4A61851-370E-4EEA-9FEA-A918B55C489D}"/>
    <cellStyle name="Normal 5 3 6 3 2 2 3" xfId="33128" xr:uid="{902E1B83-9FB5-49C9-BEDA-7070FEA8A59D}"/>
    <cellStyle name="Normal 5 3 6 3 2 2 4" xfId="16241" xr:uid="{5F78F701-0952-4068-80D7-66F1BC9367FC}"/>
    <cellStyle name="Normal 5 3 6 3 2 3" xfId="20464" xr:uid="{AC4B9B12-389E-48BB-948A-D3E5F4648E7D}"/>
    <cellStyle name="Normal 5 3 6 3 2 4" xfId="28911" xr:uid="{84395F12-2A53-4538-B2F9-F73CEBBD8268}"/>
    <cellStyle name="Normal 5 3 6 3 2 5" xfId="12023" xr:uid="{7F334897-4AB0-4D5B-AD6E-42CCDF54126E}"/>
    <cellStyle name="Normal 5 3 6 3 3" xfId="5654" xr:uid="{00000000-0005-0000-0000-0000941A0000}"/>
    <cellStyle name="Normal 5 3 6 3 3 2" xfId="22537" xr:uid="{3BB76833-D101-4542-AB92-FB0A5BFB401B}"/>
    <cellStyle name="Normal 5 3 6 3 3 3" xfId="30983" xr:uid="{B8722BEB-F902-40F3-A724-915BBF103932}"/>
    <cellStyle name="Normal 5 3 6 3 3 4" xfId="14096" xr:uid="{6292AAFD-7CCB-4BDC-A3BA-E538C6CACB87}"/>
    <cellStyle name="Normal 5 3 6 3 4" xfId="18319" xr:uid="{50B0D2AE-8928-4ED8-A4AB-1761EEEBF544}"/>
    <cellStyle name="Normal 5 3 6 3 5" xfId="26764" xr:uid="{FAFFE1CB-B621-4BE8-898A-5A0AF2F1596D}"/>
    <cellStyle name="Normal 5 3 6 3 6" xfId="9878" xr:uid="{1B97D2A3-355E-4853-B623-D64CFE04C54E}"/>
    <cellStyle name="Normal 5 3 6 4" xfId="1759" xr:uid="{00000000-0005-0000-0000-0000951A0000}"/>
    <cellStyle name="Normal 5 3 6 4 2" xfId="3989" xr:uid="{00000000-0005-0000-0000-0000961A0000}"/>
    <cellStyle name="Normal 5 3 6 4 2 2" xfId="8212" xr:uid="{00000000-0005-0000-0000-0000971A0000}"/>
    <cellStyle name="Normal 5 3 6 4 2 2 2" xfId="25095" xr:uid="{6F266A4C-ED2C-4A62-91F4-6A300E75C2CB}"/>
    <cellStyle name="Normal 5 3 6 4 2 2 3" xfId="33541" xr:uid="{79F4F978-46BB-4E1F-BE2B-A8D5B3B607C0}"/>
    <cellStyle name="Normal 5 3 6 4 2 2 4" xfId="16654" xr:uid="{BD7D0960-CB4E-4F75-9163-2972F475D6AE}"/>
    <cellStyle name="Normal 5 3 6 4 2 3" xfId="20877" xr:uid="{D3A5A2CB-E858-49B2-8194-65E5725A11F3}"/>
    <cellStyle name="Normal 5 3 6 4 2 4" xfId="29324" xr:uid="{40C4A357-BE8A-4050-B591-237B98E13369}"/>
    <cellStyle name="Normal 5 3 6 4 2 5" xfId="12436" xr:uid="{7D5E00F0-9FB5-4B33-AAA3-80AA282441D1}"/>
    <cellStyle name="Normal 5 3 6 4 3" xfId="6067" xr:uid="{00000000-0005-0000-0000-0000981A0000}"/>
    <cellStyle name="Normal 5 3 6 4 3 2" xfId="22950" xr:uid="{E7C090AE-DE4C-4B24-B694-F77CA8A7E215}"/>
    <cellStyle name="Normal 5 3 6 4 3 3" xfId="31396" xr:uid="{7F320CE1-0477-4FDA-B466-19CC91FD79FA}"/>
    <cellStyle name="Normal 5 3 6 4 3 4" xfId="14509" xr:uid="{1097604E-1020-4D4C-BD3D-9AB9E30041A1}"/>
    <cellStyle name="Normal 5 3 6 4 4" xfId="18732" xr:uid="{FDC1971F-B72F-444A-8227-293003BFBF78}"/>
    <cellStyle name="Normal 5 3 6 4 5" xfId="27177" xr:uid="{E0DE5ABC-AC77-4E95-BDAB-CFA06DA8865B}"/>
    <cellStyle name="Normal 5 3 6 4 6" xfId="10291" xr:uid="{607C0284-52E5-4586-A668-1550FA6713E6}"/>
    <cellStyle name="Normal 5 3 6 5" xfId="2173" xr:uid="{00000000-0005-0000-0000-0000991A0000}"/>
    <cellStyle name="Normal 5 3 6 5 2" xfId="4402" xr:uid="{00000000-0005-0000-0000-00009A1A0000}"/>
    <cellStyle name="Normal 5 3 6 5 2 2" xfId="8625" xr:uid="{00000000-0005-0000-0000-00009B1A0000}"/>
    <cellStyle name="Normal 5 3 6 5 2 2 2" xfId="25508" xr:uid="{5CA14610-9ACC-4941-8811-A9DD1E3238AF}"/>
    <cellStyle name="Normal 5 3 6 5 2 2 3" xfId="33954" xr:uid="{D0F087CB-40D4-4477-A62C-D4F2F3E5850B}"/>
    <cellStyle name="Normal 5 3 6 5 2 2 4" xfId="17067" xr:uid="{37F87C8D-8EE7-40DF-95D3-702064A8218C}"/>
    <cellStyle name="Normal 5 3 6 5 2 3" xfId="21290" xr:uid="{32C24C6E-C699-4314-9B89-EFDF6E4D68E6}"/>
    <cellStyle name="Normal 5 3 6 5 2 4" xfId="29737" xr:uid="{E26B8A0D-BDCD-45E6-83D4-E749A22111B9}"/>
    <cellStyle name="Normal 5 3 6 5 2 5" xfId="12849" xr:uid="{43A6B0CF-588E-4AE1-B69A-6B2DC8D806DA}"/>
    <cellStyle name="Normal 5 3 6 5 3" xfId="6480" xr:uid="{00000000-0005-0000-0000-00009C1A0000}"/>
    <cellStyle name="Normal 5 3 6 5 3 2" xfId="23363" xr:uid="{79AF6058-E64E-4FEE-B5BE-F06A88E7430F}"/>
    <cellStyle name="Normal 5 3 6 5 3 3" xfId="31809" xr:uid="{77F71EC7-4D95-4912-88B7-97CCE56C9C0A}"/>
    <cellStyle name="Normal 5 3 6 5 3 4" xfId="14922" xr:uid="{5B2F9565-E80A-40DB-9840-9974F21D64B7}"/>
    <cellStyle name="Normal 5 3 6 5 4" xfId="19145" xr:uid="{51CB90B5-F1EA-429E-8252-0FF67C5691AA}"/>
    <cellStyle name="Normal 5 3 6 5 5" xfId="27590" xr:uid="{A7C96EAE-130E-4D8C-BC86-6D513103F350}"/>
    <cellStyle name="Normal 5 3 6 5 6" xfId="10704" xr:uid="{AD301624-D9F7-4F7C-BBAB-3FEB359C673A}"/>
    <cellStyle name="Normal 5 3 6 6" xfId="2609" xr:uid="{00000000-0005-0000-0000-00009D1A0000}"/>
    <cellStyle name="Normal 5 3 6 6 2" xfId="6893" xr:uid="{00000000-0005-0000-0000-00009E1A0000}"/>
    <cellStyle name="Normal 5 3 6 6 2 2" xfId="23776" xr:uid="{7A0EEAFB-92CA-4AD8-B284-39A0B5AC3037}"/>
    <cellStyle name="Normal 5 3 6 6 2 3" xfId="32222" xr:uid="{8F444DFF-132F-4F67-806A-2A1A5A8F308B}"/>
    <cellStyle name="Normal 5 3 6 6 2 4" xfId="15335" xr:uid="{253854FF-D5F8-49EA-9D2B-67E97384620D}"/>
    <cellStyle name="Normal 5 3 6 6 3" xfId="19558" xr:uid="{F0CD6DD1-7A88-424F-A885-D06CBCD8D977}"/>
    <cellStyle name="Normal 5 3 6 6 4" xfId="28003" xr:uid="{1991DCE1-09EF-4FDC-BE12-2AFD5043041C}"/>
    <cellStyle name="Normal 5 3 6 6 5" xfId="11117" xr:uid="{54F41223-1A3F-4B98-B90B-E5CBC41099AB}"/>
    <cellStyle name="Normal 5 3 6 7" xfId="4828" xr:uid="{00000000-0005-0000-0000-00009F1A0000}"/>
    <cellStyle name="Normal 5 3 6 7 2" xfId="21711" xr:uid="{7830CE69-A2F2-475F-8821-6C20ED75E219}"/>
    <cellStyle name="Normal 5 3 6 7 3" xfId="30157" xr:uid="{5D48DECA-B257-43F5-A6C4-DE9A5121A3A5}"/>
    <cellStyle name="Normal 5 3 6 7 4" xfId="13270" xr:uid="{64ADA136-2492-46E0-8C8B-BCA72A1EFB47}"/>
    <cellStyle name="Normal 5 3 6 8" xfId="17493" xr:uid="{1868630D-801A-48C7-BD88-11A8C6938B8D}"/>
    <cellStyle name="Normal 5 3 6 9" xfId="25937" xr:uid="{F57CC2F2-F401-4DA0-8882-BC1F727017A6}"/>
    <cellStyle name="Normal 5 3 7" xfId="913" xr:uid="{00000000-0005-0000-0000-0000A01A0000}"/>
    <cellStyle name="Normal 5 3 7 2" xfId="3148" xr:uid="{00000000-0005-0000-0000-0000A11A0000}"/>
    <cellStyle name="Normal 5 3 7 2 2" xfId="7371" xr:uid="{00000000-0005-0000-0000-0000A21A0000}"/>
    <cellStyle name="Normal 5 3 7 2 2 2" xfId="24254" xr:uid="{7B4A78BD-D593-4B37-9D2E-245927997558}"/>
    <cellStyle name="Normal 5 3 7 2 2 3" xfId="32700" xr:uid="{76A4A02D-45BD-4CCA-A888-B5786369F6E4}"/>
    <cellStyle name="Normal 5 3 7 2 2 4" xfId="15813" xr:uid="{1519D3F3-03B8-4719-81D3-F67E8A7B8C88}"/>
    <cellStyle name="Normal 5 3 7 2 3" xfId="20036" xr:uid="{1DB9472A-E4A6-4969-9406-5212AAF3A5B4}"/>
    <cellStyle name="Normal 5 3 7 2 4" xfId="28483" xr:uid="{08F4E46F-C765-4B4C-A86E-A5DE1D221C70}"/>
    <cellStyle name="Normal 5 3 7 2 5" xfId="11595" xr:uid="{179AAE43-527A-4CB8-ABA0-02A8470F4C1A}"/>
    <cellStyle name="Normal 5 3 7 3" xfId="5226" xr:uid="{00000000-0005-0000-0000-0000A31A0000}"/>
    <cellStyle name="Normal 5 3 7 3 2" xfId="22109" xr:uid="{52F274BF-31B2-415C-A8BE-A487101971CA}"/>
    <cellStyle name="Normal 5 3 7 3 3" xfId="30555" xr:uid="{8317A7D9-0338-4174-A271-BC869032FC0A}"/>
    <cellStyle name="Normal 5 3 7 3 4" xfId="13668" xr:uid="{FDEB238B-51F4-437E-9279-4F8914FDBA53}"/>
    <cellStyle name="Normal 5 3 7 4" xfId="17891" xr:uid="{84276DA9-4890-40D6-8B67-F0E66581958E}"/>
    <cellStyle name="Normal 5 3 7 5" xfId="26336" xr:uid="{14FDE8A1-EF9F-41A4-9956-024160B12209}"/>
    <cellStyle name="Normal 5 3 7 6" xfId="9450" xr:uid="{5252F8A8-DA2B-4531-8AC4-A0BF5377A1A8}"/>
    <cellStyle name="Normal 5 3 8" xfId="1331" xr:uid="{00000000-0005-0000-0000-0000A41A0000}"/>
    <cellStyle name="Normal 5 3 8 2" xfId="3561" xr:uid="{00000000-0005-0000-0000-0000A51A0000}"/>
    <cellStyle name="Normal 5 3 8 2 2" xfId="7784" xr:uid="{00000000-0005-0000-0000-0000A61A0000}"/>
    <cellStyle name="Normal 5 3 8 2 2 2" xfId="24667" xr:uid="{A3D92833-FEE0-4466-B5C0-CF920D69438F}"/>
    <cellStyle name="Normal 5 3 8 2 2 3" xfId="33113" xr:uid="{7CF5006D-C118-4300-92AA-49C11193DDFE}"/>
    <cellStyle name="Normal 5 3 8 2 2 4" xfId="16226" xr:uid="{EC69ACCC-9EE1-40EB-9547-DA5CDA59CA6F}"/>
    <cellStyle name="Normal 5 3 8 2 3" xfId="20449" xr:uid="{3452A799-6CE6-44D6-B7D3-89F1C28C41F1}"/>
    <cellStyle name="Normal 5 3 8 2 4" xfId="28896" xr:uid="{4A52E4D2-C7E4-4FD9-BFF9-C09358B15DD9}"/>
    <cellStyle name="Normal 5 3 8 2 5" xfId="12008" xr:uid="{B2782223-4BEA-4971-B0BA-63E805AE8719}"/>
    <cellStyle name="Normal 5 3 8 3" xfId="5639" xr:uid="{00000000-0005-0000-0000-0000A71A0000}"/>
    <cellStyle name="Normal 5 3 8 3 2" xfId="22522" xr:uid="{0087C167-38A7-4F80-86C6-F4733A1BEF87}"/>
    <cellStyle name="Normal 5 3 8 3 3" xfId="30968" xr:uid="{6FF3251D-6A1D-4F0C-82E0-F470A17499D7}"/>
    <cellStyle name="Normal 5 3 8 3 4" xfId="14081" xr:uid="{0471FE6D-5415-4C08-BD77-720EFFAFCEEA}"/>
    <cellStyle name="Normal 5 3 8 4" xfId="18304" xr:uid="{DB67753D-8542-4526-B12F-1FA30DF8F85A}"/>
    <cellStyle name="Normal 5 3 8 5" xfId="26749" xr:uid="{4C0656B6-F6D1-4C0F-84FE-973587238BF0}"/>
    <cellStyle name="Normal 5 3 8 6" xfId="9863" xr:uid="{7F1D7951-B5E9-45C8-A342-63BE514934D6}"/>
    <cellStyle name="Normal 5 3 9" xfId="1744" xr:uid="{00000000-0005-0000-0000-0000A81A0000}"/>
    <cellStyle name="Normal 5 3 9 2" xfId="3974" xr:uid="{00000000-0005-0000-0000-0000A91A0000}"/>
    <cellStyle name="Normal 5 3 9 2 2" xfId="8197" xr:uid="{00000000-0005-0000-0000-0000AA1A0000}"/>
    <cellStyle name="Normal 5 3 9 2 2 2" xfId="25080" xr:uid="{DD397006-BA4F-481F-B1B5-D94124D34E72}"/>
    <cellStyle name="Normal 5 3 9 2 2 3" xfId="33526" xr:uid="{BF2AFE9E-31CA-4DA2-8665-8D1200D88912}"/>
    <cellStyle name="Normal 5 3 9 2 2 4" xfId="16639" xr:uid="{AC0B8010-4BE7-4B4E-A744-2A64F7D8EEAA}"/>
    <cellStyle name="Normal 5 3 9 2 3" xfId="20862" xr:uid="{2773748F-6ACD-46EB-B5D2-BC44ECAF1C22}"/>
    <cellStyle name="Normal 5 3 9 2 4" xfId="29309" xr:uid="{5FCDD6FE-AB4C-4940-87BE-23577F611022}"/>
    <cellStyle name="Normal 5 3 9 2 5" xfId="12421" xr:uid="{F0C34FD1-467B-4F22-8004-65ABAD4F91EE}"/>
    <cellStyle name="Normal 5 3 9 3" xfId="6052" xr:uid="{00000000-0005-0000-0000-0000AB1A0000}"/>
    <cellStyle name="Normal 5 3 9 3 2" xfId="22935" xr:uid="{DA3BD4E6-38C3-4ECC-B12C-4383FB572D98}"/>
    <cellStyle name="Normal 5 3 9 3 3" xfId="31381" xr:uid="{B55FE950-B272-4841-9876-DC32E24BD7D9}"/>
    <cellStyle name="Normal 5 3 9 3 4" xfId="14494" xr:uid="{4DB980F1-5025-4BF5-AF7E-8A74E0630B74}"/>
    <cellStyle name="Normal 5 3 9 4" xfId="18717" xr:uid="{07929945-FDDE-450D-A89A-51547D798AA7}"/>
    <cellStyle name="Normal 5 3 9 5" xfId="27162" xr:uid="{5BD86770-CCA4-4F45-991B-F56146B8F164}"/>
    <cellStyle name="Normal 5 3 9 6" xfId="10276" xr:uid="{02993CE8-A535-4AFB-BC7C-B1E80377731F}"/>
    <cellStyle name="Normal 5 4" xfId="456" xr:uid="{00000000-0005-0000-0000-0000AC1A0000}"/>
    <cellStyle name="Normal 5 4 10" xfId="4829" xr:uid="{00000000-0005-0000-0000-0000AD1A0000}"/>
    <cellStyle name="Normal 5 4 10 2" xfId="21712" xr:uid="{E411B4E9-0A0F-4BEB-90F7-4ACD20E66289}"/>
    <cellStyle name="Normal 5 4 10 3" xfId="30158" xr:uid="{8C4981BE-E605-4FB5-924E-73EEB4EE1584}"/>
    <cellStyle name="Normal 5 4 10 4" xfId="13271" xr:uid="{08647FC4-FE32-4526-8ADF-AC586A9EA182}"/>
    <cellStyle name="Normal 5 4 11" xfId="17494" xr:uid="{924AD5CD-5EFA-4A61-AC60-E547A5B2D750}"/>
    <cellStyle name="Normal 5 4 12" xfId="25938" xr:uid="{FC17DAB7-9FB9-4E7D-BF32-7B485DA7D511}"/>
    <cellStyle name="Normal 5 4 13" xfId="34108" xr:uid="{2052DAAB-2671-4A81-93C4-3219CB29E9ED}"/>
    <cellStyle name="Normal 5 4 14" xfId="9053" xr:uid="{E1F84A0C-DC5F-458C-BFA7-A520DF2ADD13}"/>
    <cellStyle name="Normal 5 4 2" xfId="457" xr:uid="{00000000-0005-0000-0000-0000AE1A0000}"/>
    <cellStyle name="Normal 5 4 2 10" xfId="17495" xr:uid="{EEA2C33F-8D1F-4782-B3C6-A7FA1EC4C376}"/>
    <cellStyle name="Normal 5 4 2 11" xfId="25939" xr:uid="{87D23680-3728-446E-9A3F-AA630244470A}"/>
    <cellStyle name="Normal 5 4 2 12" xfId="9054" xr:uid="{FC091A5B-C20D-43DB-8679-26022CA74F89}"/>
    <cellStyle name="Normal 5 4 2 2" xfId="458" xr:uid="{00000000-0005-0000-0000-0000AF1A0000}"/>
    <cellStyle name="Normal 5 4 2 2 10" xfId="25940" xr:uid="{E0105ABA-3ADC-4F87-A9C8-756A5CC5EF27}"/>
    <cellStyle name="Normal 5 4 2 2 11" xfId="9055" xr:uid="{296C5648-C6C0-4E33-9F00-E74E17F44916}"/>
    <cellStyle name="Normal 5 4 2 2 2" xfId="459" xr:uid="{00000000-0005-0000-0000-0000B01A0000}"/>
    <cellStyle name="Normal 5 4 2 2 2 10" xfId="9056" xr:uid="{E552060E-D77E-4670-8351-6E0BD1A8687C}"/>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24273" xr:uid="{0720104E-A502-4BAA-B4DB-5C2C3FA64DD4}"/>
    <cellStyle name="Normal 5 4 2 2 2 2 2 2 3" xfId="32719" xr:uid="{A036212F-C854-4FED-BAE3-2217725EF5A7}"/>
    <cellStyle name="Normal 5 4 2 2 2 2 2 2 4" xfId="15832" xr:uid="{298952C8-6433-4968-A713-B42491EAD9EB}"/>
    <cellStyle name="Normal 5 4 2 2 2 2 2 3" xfId="20055" xr:uid="{1C2E92AA-54C0-4BAA-991A-33BCD8684FCA}"/>
    <cellStyle name="Normal 5 4 2 2 2 2 2 4" xfId="28502" xr:uid="{B4968690-8B61-4402-BC6C-969E36655F0C}"/>
    <cellStyle name="Normal 5 4 2 2 2 2 2 5" xfId="11614" xr:uid="{9E389936-F06B-4991-94F9-4ADB4FF51148}"/>
    <cellStyle name="Normal 5 4 2 2 2 2 3" xfId="5245" xr:uid="{00000000-0005-0000-0000-0000B41A0000}"/>
    <cellStyle name="Normal 5 4 2 2 2 2 3 2" xfId="22128" xr:uid="{00723E78-5F25-450E-B3CF-29FB01FD81BB}"/>
    <cellStyle name="Normal 5 4 2 2 2 2 3 3" xfId="30574" xr:uid="{A14BB9DE-8AFA-412A-AD1E-FDB357995977}"/>
    <cellStyle name="Normal 5 4 2 2 2 2 3 4" xfId="13687" xr:uid="{C0BBA47B-8F62-4A96-B71D-F9AB02F37052}"/>
    <cellStyle name="Normal 5 4 2 2 2 2 4" xfId="17910" xr:uid="{3ADAF204-F9B5-45F2-97F8-76A622942E8A}"/>
    <cellStyle name="Normal 5 4 2 2 2 2 5" xfId="26355" xr:uid="{6070EF38-240F-42FD-90D0-7E5ED18A3474}"/>
    <cellStyle name="Normal 5 4 2 2 2 2 6" xfId="9469" xr:uid="{1DF6A409-77ED-4F9A-A8CD-82755A81FD3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24686" xr:uid="{E1E6D816-D1B1-458C-B056-2C12263A7AB6}"/>
    <cellStyle name="Normal 5 4 2 2 2 3 2 2 3" xfId="33132" xr:uid="{905EACB0-3757-4EAF-ADDB-A7CEA9093DBD}"/>
    <cellStyle name="Normal 5 4 2 2 2 3 2 2 4" xfId="16245" xr:uid="{0ED87F55-6B2D-4AF2-A725-502968B96D2D}"/>
    <cellStyle name="Normal 5 4 2 2 2 3 2 3" xfId="20468" xr:uid="{4434FB8C-C10A-49A2-8A1A-0B3C51D18D41}"/>
    <cellStyle name="Normal 5 4 2 2 2 3 2 4" xfId="28915" xr:uid="{0CC266F6-A041-432A-9D73-649C83208EDF}"/>
    <cellStyle name="Normal 5 4 2 2 2 3 2 5" xfId="12027" xr:uid="{A13EF8A4-B11A-44BC-B0F0-9A9708698F5F}"/>
    <cellStyle name="Normal 5 4 2 2 2 3 3" xfId="5658" xr:uid="{00000000-0005-0000-0000-0000B81A0000}"/>
    <cellStyle name="Normal 5 4 2 2 2 3 3 2" xfId="22541" xr:uid="{1A90F0AF-6661-431F-8B6E-5ABDB47DA1F1}"/>
    <cellStyle name="Normal 5 4 2 2 2 3 3 3" xfId="30987" xr:uid="{F5C89AAC-D239-4B48-8502-A4B4075C5DE7}"/>
    <cellStyle name="Normal 5 4 2 2 2 3 3 4" xfId="14100" xr:uid="{0C05D097-F1DB-482F-8FAB-CFB78CD088C9}"/>
    <cellStyle name="Normal 5 4 2 2 2 3 4" xfId="18323" xr:uid="{379C86C5-12CD-4C55-BB29-8C8B03FBC7FE}"/>
    <cellStyle name="Normal 5 4 2 2 2 3 5" xfId="26768" xr:uid="{1720FBFC-8F85-4F65-8E36-FD7BC4BF37AE}"/>
    <cellStyle name="Normal 5 4 2 2 2 3 6" xfId="9882" xr:uid="{1316D40D-2A80-44BA-A06A-CE6AA063B6C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25099" xr:uid="{69F87F6A-CB0D-4759-A32C-AE238E24F9BD}"/>
    <cellStyle name="Normal 5 4 2 2 2 4 2 2 3" xfId="33545" xr:uid="{50DE1ED9-1A21-49F6-92CA-AB85E72491FA}"/>
    <cellStyle name="Normal 5 4 2 2 2 4 2 2 4" xfId="16658" xr:uid="{D4CE5ABE-F8B3-4773-9E46-0E8FF3B2C427}"/>
    <cellStyle name="Normal 5 4 2 2 2 4 2 3" xfId="20881" xr:uid="{F195ED66-5D5F-48F5-8719-C13E14068F6A}"/>
    <cellStyle name="Normal 5 4 2 2 2 4 2 4" xfId="29328" xr:uid="{71063CAF-6A0B-48C6-9A9C-EA55EB98911C}"/>
    <cellStyle name="Normal 5 4 2 2 2 4 2 5" xfId="12440" xr:uid="{5000A56B-0EC4-4080-BB5F-A81AF9C3FB1E}"/>
    <cellStyle name="Normal 5 4 2 2 2 4 3" xfId="6071" xr:uid="{00000000-0005-0000-0000-0000BC1A0000}"/>
    <cellStyle name="Normal 5 4 2 2 2 4 3 2" xfId="22954" xr:uid="{0AFCF3FB-8D6D-4B3B-943E-FC19B58EE45E}"/>
    <cellStyle name="Normal 5 4 2 2 2 4 3 3" xfId="31400" xr:uid="{60705A64-27C8-441E-AEFA-55C0AAA1FF57}"/>
    <cellStyle name="Normal 5 4 2 2 2 4 3 4" xfId="14513" xr:uid="{52EF686E-A0B0-4BC4-A2FB-D685FC92A8E0}"/>
    <cellStyle name="Normal 5 4 2 2 2 4 4" xfId="18736" xr:uid="{8D088EBE-DEFE-47E8-A1EC-410C700C8D32}"/>
    <cellStyle name="Normal 5 4 2 2 2 4 5" xfId="27181" xr:uid="{4105A0E9-819E-406E-8454-510FE480C26B}"/>
    <cellStyle name="Normal 5 4 2 2 2 4 6" xfId="10295" xr:uid="{05D0B21E-17E8-4833-9CEB-24784B497C7F}"/>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25512" xr:uid="{0A996692-59BF-491E-89C1-9B697EDB3C37}"/>
    <cellStyle name="Normal 5 4 2 2 2 5 2 2 3" xfId="33958" xr:uid="{0A060311-25C2-49D4-B760-D92693D7EE28}"/>
    <cellStyle name="Normal 5 4 2 2 2 5 2 2 4" xfId="17071" xr:uid="{B85C000D-4AA8-4D6C-8391-2FCAF61E6875}"/>
    <cellStyle name="Normal 5 4 2 2 2 5 2 3" xfId="21294" xr:uid="{3A5F88A7-FE1E-4DC8-B1CB-A493CD82DE03}"/>
    <cellStyle name="Normal 5 4 2 2 2 5 2 4" xfId="29741" xr:uid="{DE7C6F6D-B127-4302-A627-8A0D20DDAFD0}"/>
    <cellStyle name="Normal 5 4 2 2 2 5 2 5" xfId="12853" xr:uid="{A3E42569-4E0F-42F4-AD0A-D1E9781E3F2C}"/>
    <cellStyle name="Normal 5 4 2 2 2 5 3" xfId="6484" xr:uid="{00000000-0005-0000-0000-0000C01A0000}"/>
    <cellStyle name="Normal 5 4 2 2 2 5 3 2" xfId="23367" xr:uid="{5D5037D2-78F4-410E-8C95-7BBD72BB5A13}"/>
    <cellStyle name="Normal 5 4 2 2 2 5 3 3" xfId="31813" xr:uid="{2EFD564E-D3D0-4080-83C0-72FAC81664F5}"/>
    <cellStyle name="Normal 5 4 2 2 2 5 3 4" xfId="14926" xr:uid="{527E8DC4-8002-49D6-A0A5-93989B4093FC}"/>
    <cellStyle name="Normal 5 4 2 2 2 5 4" xfId="19149" xr:uid="{BB165FCA-2D40-488C-B5DA-8D3C04237DB8}"/>
    <cellStyle name="Normal 5 4 2 2 2 5 5" xfId="27594" xr:uid="{8BD267D8-F51C-4DBD-8145-B684151E2B47}"/>
    <cellStyle name="Normal 5 4 2 2 2 5 6" xfId="10708" xr:uid="{99238668-5AC5-4C96-A59B-D94544DC0224}"/>
    <cellStyle name="Normal 5 4 2 2 2 6" xfId="2613" xr:uid="{00000000-0005-0000-0000-0000C11A0000}"/>
    <cellStyle name="Normal 5 4 2 2 2 6 2" xfId="6897" xr:uid="{00000000-0005-0000-0000-0000C21A0000}"/>
    <cellStyle name="Normal 5 4 2 2 2 6 2 2" xfId="23780" xr:uid="{2FD95437-8314-430B-AB7B-F328EF475D60}"/>
    <cellStyle name="Normal 5 4 2 2 2 6 2 3" xfId="32226" xr:uid="{23D879F6-8181-422D-8602-B1718F68BC00}"/>
    <cellStyle name="Normal 5 4 2 2 2 6 2 4" xfId="15339" xr:uid="{97CC8995-1D48-4C97-B595-681A77205E54}"/>
    <cellStyle name="Normal 5 4 2 2 2 6 3" xfId="19562" xr:uid="{17418A93-14A5-44E4-9DF3-FD02D03536C6}"/>
    <cellStyle name="Normal 5 4 2 2 2 6 4" xfId="28007" xr:uid="{2F64AAF6-7425-4F38-840F-E31CC82B3D7B}"/>
    <cellStyle name="Normal 5 4 2 2 2 6 5" xfId="11121" xr:uid="{59C84EC8-9B1D-4131-A724-90572A46AA53}"/>
    <cellStyle name="Normal 5 4 2 2 2 7" xfId="4832" xr:uid="{00000000-0005-0000-0000-0000C31A0000}"/>
    <cellStyle name="Normal 5 4 2 2 2 7 2" xfId="21715" xr:uid="{C10AE473-CB72-43A5-9F20-13AF3C190305}"/>
    <cellStyle name="Normal 5 4 2 2 2 7 3" xfId="30161" xr:uid="{60BBF913-1CBD-45CC-8B9A-1A80B7ADDB9E}"/>
    <cellStyle name="Normal 5 4 2 2 2 7 4" xfId="13274" xr:uid="{F3A84B22-E2AA-4BCC-BC55-FC06217A2A3E}"/>
    <cellStyle name="Normal 5 4 2 2 2 8" xfId="17497" xr:uid="{DBFB2190-F40C-4B2F-A99F-EA3F1D8D5B2D}"/>
    <cellStyle name="Normal 5 4 2 2 2 9" xfId="25941" xr:uid="{CD4D99A7-551E-4DFC-B75C-DD53E51C3FE8}"/>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24272" xr:uid="{4410211C-3297-4711-8CCD-24998C54E261}"/>
    <cellStyle name="Normal 5 4 2 2 3 2 2 3" xfId="32718" xr:uid="{7710F5BB-607B-46CF-9655-E6F211B6D056}"/>
    <cellStyle name="Normal 5 4 2 2 3 2 2 4" xfId="15831" xr:uid="{DC127EAA-5F9D-4755-A741-708725963A21}"/>
    <cellStyle name="Normal 5 4 2 2 3 2 3" xfId="20054" xr:uid="{8FC6F655-DFAB-41C6-9480-3805AE34E4E2}"/>
    <cellStyle name="Normal 5 4 2 2 3 2 4" xfId="28501" xr:uid="{E7D743A5-E1FF-4118-92FE-56DA36E3009B}"/>
    <cellStyle name="Normal 5 4 2 2 3 2 5" xfId="11613" xr:uid="{08B8C967-A06C-41BE-8153-A75754FB9FD0}"/>
    <cellStyle name="Normal 5 4 2 2 3 3" xfId="5244" xr:uid="{00000000-0005-0000-0000-0000C71A0000}"/>
    <cellStyle name="Normal 5 4 2 2 3 3 2" xfId="22127" xr:uid="{88CB81C7-E29F-4C16-8EAA-FF9FF6F4822C}"/>
    <cellStyle name="Normal 5 4 2 2 3 3 3" xfId="30573" xr:uid="{4A71AF91-6851-4602-AFA5-84CFC1AFF374}"/>
    <cellStyle name="Normal 5 4 2 2 3 3 4" xfId="13686" xr:uid="{28C88281-E3AB-4A7B-A6B9-656B687FF1D8}"/>
    <cellStyle name="Normal 5 4 2 2 3 4" xfId="17909" xr:uid="{4CD5C18B-B112-4841-970D-97C047DA09F6}"/>
    <cellStyle name="Normal 5 4 2 2 3 5" xfId="26354" xr:uid="{45E700D9-247D-45AB-BA15-5DEF286F25D5}"/>
    <cellStyle name="Normal 5 4 2 2 3 6" xfId="9468" xr:uid="{3C67B2A3-A9E4-4A1B-BAAB-9773EDAE90D4}"/>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24685" xr:uid="{B5BA1914-4D58-49C8-9781-DF869250D588}"/>
    <cellStyle name="Normal 5 4 2 2 4 2 2 3" xfId="33131" xr:uid="{BA84AED0-BD11-4E05-9454-F8601CFAEDBC}"/>
    <cellStyle name="Normal 5 4 2 2 4 2 2 4" xfId="16244" xr:uid="{68A90104-1A5E-4613-BEE3-F9A96042CE5C}"/>
    <cellStyle name="Normal 5 4 2 2 4 2 3" xfId="20467" xr:uid="{FFC4FE71-B0C6-42D3-8BE0-B3205A69E397}"/>
    <cellStyle name="Normal 5 4 2 2 4 2 4" xfId="28914" xr:uid="{B3B8465F-0DBA-4F8A-8756-49ADEE9E9F01}"/>
    <cellStyle name="Normal 5 4 2 2 4 2 5" xfId="12026" xr:uid="{B5756F5E-85D5-4CEC-AC11-BA6FADB300F4}"/>
    <cellStyle name="Normal 5 4 2 2 4 3" xfId="5657" xr:uid="{00000000-0005-0000-0000-0000CB1A0000}"/>
    <cellStyle name="Normal 5 4 2 2 4 3 2" xfId="22540" xr:uid="{BC8D7500-0C15-4245-9AD9-292BD077AC32}"/>
    <cellStyle name="Normal 5 4 2 2 4 3 3" xfId="30986" xr:uid="{176D7FEF-362A-4631-AA47-6327C36E67CC}"/>
    <cellStyle name="Normal 5 4 2 2 4 3 4" xfId="14099" xr:uid="{F3E32596-4E01-4C5D-9F50-D6B92EA0E631}"/>
    <cellStyle name="Normal 5 4 2 2 4 4" xfId="18322" xr:uid="{A8EED0A1-6784-4713-A373-35A0252B91D3}"/>
    <cellStyle name="Normal 5 4 2 2 4 5" xfId="26767" xr:uid="{93177B11-1F65-4316-B1F1-189E9DB2BB88}"/>
    <cellStyle name="Normal 5 4 2 2 4 6" xfId="9881" xr:uid="{117D4621-276E-4549-A7B3-6C329EB82711}"/>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25098" xr:uid="{53AC6DAD-81CB-43F4-8EC3-260219C8D5DE}"/>
    <cellStyle name="Normal 5 4 2 2 5 2 2 3" xfId="33544" xr:uid="{3B15B6A5-69D6-421D-8C22-CEFD53ACB640}"/>
    <cellStyle name="Normal 5 4 2 2 5 2 2 4" xfId="16657" xr:uid="{5B4BD43B-139F-4D8E-B76F-8BED31B635EB}"/>
    <cellStyle name="Normal 5 4 2 2 5 2 3" xfId="20880" xr:uid="{C5FA957C-9A89-4000-891E-AFACA0AD6871}"/>
    <cellStyle name="Normal 5 4 2 2 5 2 4" xfId="29327" xr:uid="{FB0F881E-0A03-4C90-BB75-13EEADAC0CE9}"/>
    <cellStyle name="Normal 5 4 2 2 5 2 5" xfId="12439" xr:uid="{53FDE782-E636-4C5F-A9E4-A474CA0DB00A}"/>
    <cellStyle name="Normal 5 4 2 2 5 3" xfId="6070" xr:uid="{00000000-0005-0000-0000-0000CF1A0000}"/>
    <cellStyle name="Normal 5 4 2 2 5 3 2" xfId="22953" xr:uid="{058063E2-B0F8-4647-A513-8AF9E3EBC230}"/>
    <cellStyle name="Normal 5 4 2 2 5 3 3" xfId="31399" xr:uid="{99C155B5-95DA-4CFC-AAC6-12D4F596A9B9}"/>
    <cellStyle name="Normal 5 4 2 2 5 3 4" xfId="14512" xr:uid="{6BCA3F31-1E64-4B21-AA90-6DC12971F7AB}"/>
    <cellStyle name="Normal 5 4 2 2 5 4" xfId="18735" xr:uid="{E7F80940-5B92-40A8-842C-4A193E90FE32}"/>
    <cellStyle name="Normal 5 4 2 2 5 5" xfId="27180" xr:uid="{9E012E74-B5A6-42C3-AB7A-1BAC062C1806}"/>
    <cellStyle name="Normal 5 4 2 2 5 6" xfId="10294" xr:uid="{AC8BD7F1-B9FF-4372-AD3F-03CFAF29CB98}"/>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25511" xr:uid="{EC867F5A-DA8A-43A5-A576-3AAA9901E500}"/>
    <cellStyle name="Normal 5 4 2 2 6 2 2 3" xfId="33957" xr:uid="{F1C361D3-51F9-4228-AA57-D37F061F4BA4}"/>
    <cellStyle name="Normal 5 4 2 2 6 2 2 4" xfId="17070" xr:uid="{3556F94F-618C-4EF2-8255-B325876E7611}"/>
    <cellStyle name="Normal 5 4 2 2 6 2 3" xfId="21293" xr:uid="{7DED0BDC-5733-4C2E-ABF6-C29E7BF69F32}"/>
    <cellStyle name="Normal 5 4 2 2 6 2 4" xfId="29740" xr:uid="{729B8D6B-F42F-4A25-9C8D-A538AC90F349}"/>
    <cellStyle name="Normal 5 4 2 2 6 2 5" xfId="12852" xr:uid="{45E05914-4740-4F06-8A3D-6E3B10AD41C7}"/>
    <cellStyle name="Normal 5 4 2 2 6 3" xfId="6483" xr:uid="{00000000-0005-0000-0000-0000D31A0000}"/>
    <cellStyle name="Normal 5 4 2 2 6 3 2" xfId="23366" xr:uid="{67C37C61-BCA9-41C5-B544-F407423E8304}"/>
    <cellStyle name="Normal 5 4 2 2 6 3 3" xfId="31812" xr:uid="{DC068A7D-C6A9-44B2-93CB-54ED46373E86}"/>
    <cellStyle name="Normal 5 4 2 2 6 3 4" xfId="14925" xr:uid="{85120579-73F4-40EE-BAB9-FEAB871A2882}"/>
    <cellStyle name="Normal 5 4 2 2 6 4" xfId="19148" xr:uid="{3F5E1FFA-27AD-4620-97FF-784485C45F49}"/>
    <cellStyle name="Normal 5 4 2 2 6 5" xfId="27593" xr:uid="{1CDC0DE3-B51B-437A-8C8F-9DC531822EFC}"/>
    <cellStyle name="Normal 5 4 2 2 6 6" xfId="10707" xr:uid="{983F197F-3C81-4D54-9118-6A15C4FB0D43}"/>
    <cellStyle name="Normal 5 4 2 2 7" xfId="2612" xr:uid="{00000000-0005-0000-0000-0000D41A0000}"/>
    <cellStyle name="Normal 5 4 2 2 7 2" xfId="6896" xr:uid="{00000000-0005-0000-0000-0000D51A0000}"/>
    <cellStyle name="Normal 5 4 2 2 7 2 2" xfId="23779" xr:uid="{E6221742-8045-4C3C-BF6B-EDD092B4F56F}"/>
    <cellStyle name="Normal 5 4 2 2 7 2 3" xfId="32225" xr:uid="{70D8585B-FB24-4D5B-8C6C-1265504DEED6}"/>
    <cellStyle name="Normal 5 4 2 2 7 2 4" xfId="15338" xr:uid="{0B37B28A-7214-4E66-92A4-02923829C01D}"/>
    <cellStyle name="Normal 5 4 2 2 7 3" xfId="19561" xr:uid="{18857AE3-CC97-4A5F-984B-006C741283D6}"/>
    <cellStyle name="Normal 5 4 2 2 7 4" xfId="28006" xr:uid="{F333A68E-657D-4D41-A9A5-1C919F957115}"/>
    <cellStyle name="Normal 5 4 2 2 7 5" xfId="11120" xr:uid="{51DD027A-21E0-495A-B093-57B51C2B48A9}"/>
    <cellStyle name="Normal 5 4 2 2 8" xfId="4831" xr:uid="{00000000-0005-0000-0000-0000D61A0000}"/>
    <cellStyle name="Normal 5 4 2 2 8 2" xfId="21714" xr:uid="{842A389A-C290-4EEB-AC4C-070A5F372B4A}"/>
    <cellStyle name="Normal 5 4 2 2 8 3" xfId="30160" xr:uid="{E8300B7C-FC04-4AF1-AD7D-19ECFEAFC519}"/>
    <cellStyle name="Normal 5 4 2 2 8 4" xfId="13273" xr:uid="{BAA8497E-F224-46C7-AF76-2E1013700C1E}"/>
    <cellStyle name="Normal 5 4 2 2 9" xfId="17496" xr:uid="{3ABAD162-7D18-44E2-BA58-C828ED2F5495}"/>
    <cellStyle name="Normal 5 4 2 3" xfId="460" xr:uid="{00000000-0005-0000-0000-0000D71A0000}"/>
    <cellStyle name="Normal 5 4 2 3 10" xfId="9057" xr:uid="{15DF0334-6CCE-42CB-BB26-C4D2A41726B2}"/>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24274" xr:uid="{11B63965-D216-4995-8F37-9611F074B664}"/>
    <cellStyle name="Normal 5 4 2 3 2 2 2 3" xfId="32720" xr:uid="{ED9C792F-0261-4ABF-9B33-781792DAF863}"/>
    <cellStyle name="Normal 5 4 2 3 2 2 2 4" xfId="15833" xr:uid="{556BC6ED-1CFE-49EB-B52C-D5814F8221BB}"/>
    <cellStyle name="Normal 5 4 2 3 2 2 3" xfId="20056" xr:uid="{7E30818B-7672-4474-B59D-F4813EF8697F}"/>
    <cellStyle name="Normal 5 4 2 3 2 2 4" xfId="28503" xr:uid="{C6616116-BA51-44F2-B088-F9361020F96E}"/>
    <cellStyle name="Normal 5 4 2 3 2 2 5" xfId="11615" xr:uid="{C9DC4419-10EB-4795-8DBF-11C19929219F}"/>
    <cellStyle name="Normal 5 4 2 3 2 3" xfId="5246" xr:uid="{00000000-0005-0000-0000-0000DB1A0000}"/>
    <cellStyle name="Normal 5 4 2 3 2 3 2" xfId="22129" xr:uid="{12306B3E-7577-489C-8305-31223D000342}"/>
    <cellStyle name="Normal 5 4 2 3 2 3 3" xfId="30575" xr:uid="{AF8ED81F-8A68-4B28-9BCE-C2C49FEF79EB}"/>
    <cellStyle name="Normal 5 4 2 3 2 3 4" xfId="13688" xr:uid="{E2CA0F42-6DC8-4351-A285-BB41793FADBA}"/>
    <cellStyle name="Normal 5 4 2 3 2 4" xfId="17911" xr:uid="{047535C1-F30B-497B-A090-C738A5C1B1CE}"/>
    <cellStyle name="Normal 5 4 2 3 2 5" xfId="26356" xr:uid="{30467F2D-74B0-4488-B5D1-47990C4F8981}"/>
    <cellStyle name="Normal 5 4 2 3 2 6" xfId="9470" xr:uid="{2C7A24D5-3AD7-42F6-BBF8-DC2B2EF28D64}"/>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24687" xr:uid="{B4D9FE75-5644-497E-9DAD-C8FD9D92E250}"/>
    <cellStyle name="Normal 5 4 2 3 3 2 2 3" xfId="33133" xr:uid="{A5FFE34F-6D5C-489F-83E7-266E2C0C1EED}"/>
    <cellStyle name="Normal 5 4 2 3 3 2 2 4" xfId="16246" xr:uid="{D3990204-0BE1-47B3-9DDA-017F7CBD6C21}"/>
    <cellStyle name="Normal 5 4 2 3 3 2 3" xfId="20469" xr:uid="{D035A118-6CEE-4671-8259-D64DD49E6892}"/>
    <cellStyle name="Normal 5 4 2 3 3 2 4" xfId="28916" xr:uid="{3ADBABE2-2CD6-46CB-A340-68C43F742678}"/>
    <cellStyle name="Normal 5 4 2 3 3 2 5" xfId="12028" xr:uid="{EFA2B130-9130-4B66-A2AE-3F0F3A693AC9}"/>
    <cellStyle name="Normal 5 4 2 3 3 3" xfId="5659" xr:uid="{00000000-0005-0000-0000-0000DF1A0000}"/>
    <cellStyle name="Normal 5 4 2 3 3 3 2" xfId="22542" xr:uid="{1966F0C5-48A3-48B3-9459-A22CD763B262}"/>
    <cellStyle name="Normal 5 4 2 3 3 3 3" xfId="30988" xr:uid="{9DD93836-C08F-4A7A-84B6-A7D981FBBA99}"/>
    <cellStyle name="Normal 5 4 2 3 3 3 4" xfId="14101" xr:uid="{7B22196B-791D-47C0-A664-48415730DBA1}"/>
    <cellStyle name="Normal 5 4 2 3 3 4" xfId="18324" xr:uid="{34AB9599-900B-4B3D-8F8E-B07BEA984BFE}"/>
    <cellStyle name="Normal 5 4 2 3 3 5" xfId="26769" xr:uid="{0B89BDA7-FAC6-4628-94DF-F84624E4DC19}"/>
    <cellStyle name="Normal 5 4 2 3 3 6" xfId="9883" xr:uid="{D5E80762-49D5-4499-81BE-74F9861DF13C}"/>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25100" xr:uid="{C52ED423-31B5-45A6-8EC3-BECE9ABD6B0E}"/>
    <cellStyle name="Normal 5 4 2 3 4 2 2 3" xfId="33546" xr:uid="{6CD897E5-55DD-4BFC-A2B8-338207396675}"/>
    <cellStyle name="Normal 5 4 2 3 4 2 2 4" xfId="16659" xr:uid="{E5CC4D41-694E-4208-B2F8-E252D984D97B}"/>
    <cellStyle name="Normal 5 4 2 3 4 2 3" xfId="20882" xr:uid="{0DD58A7A-A281-4D1F-84E0-61881D1DAB9D}"/>
    <cellStyle name="Normal 5 4 2 3 4 2 4" xfId="29329" xr:uid="{B21A8199-B77D-4F3D-B38F-279D5A2E6DBF}"/>
    <cellStyle name="Normal 5 4 2 3 4 2 5" xfId="12441" xr:uid="{5C6D9FE6-33CB-4092-B5E0-CDD79E00263D}"/>
    <cellStyle name="Normal 5 4 2 3 4 3" xfId="6072" xr:uid="{00000000-0005-0000-0000-0000E31A0000}"/>
    <cellStyle name="Normal 5 4 2 3 4 3 2" xfId="22955" xr:uid="{7788A6B6-0A15-4937-B238-D567230382B6}"/>
    <cellStyle name="Normal 5 4 2 3 4 3 3" xfId="31401" xr:uid="{EA22EFFF-16B0-437F-B1F3-8AD41419B854}"/>
    <cellStyle name="Normal 5 4 2 3 4 3 4" xfId="14514" xr:uid="{F67C98D3-3A3D-4CF2-847A-D8C7DF3DED3A}"/>
    <cellStyle name="Normal 5 4 2 3 4 4" xfId="18737" xr:uid="{D7387169-356C-4386-A9AE-EA9BA50D38C1}"/>
    <cellStyle name="Normal 5 4 2 3 4 5" xfId="27182" xr:uid="{99009E26-5AA4-4F5A-A2A3-2B6F5BFC773F}"/>
    <cellStyle name="Normal 5 4 2 3 4 6" xfId="10296" xr:uid="{35BE6137-36F8-4844-BDFF-D31636716528}"/>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25513" xr:uid="{C0C6707D-50ED-4C9D-AD2A-CBE0965B6B9C}"/>
    <cellStyle name="Normal 5 4 2 3 5 2 2 3" xfId="33959" xr:uid="{CF2E80E3-CAE3-4617-BE8B-8B7D6F953475}"/>
    <cellStyle name="Normal 5 4 2 3 5 2 2 4" xfId="17072" xr:uid="{53FB7893-F976-48D1-A6DD-C89B12301961}"/>
    <cellStyle name="Normal 5 4 2 3 5 2 3" xfId="21295" xr:uid="{B363CCE1-172B-42F6-96B7-6136D6A624BC}"/>
    <cellStyle name="Normal 5 4 2 3 5 2 4" xfId="29742" xr:uid="{4FC3C41C-9D4C-49BF-9EF5-700C5E057227}"/>
    <cellStyle name="Normal 5 4 2 3 5 2 5" xfId="12854" xr:uid="{54D4EA1D-1887-4923-A83C-3E9F6684FC3B}"/>
    <cellStyle name="Normal 5 4 2 3 5 3" xfId="6485" xr:uid="{00000000-0005-0000-0000-0000E71A0000}"/>
    <cellStyle name="Normal 5 4 2 3 5 3 2" xfId="23368" xr:uid="{A7B8F812-1072-4ED1-9FB0-739324F469C8}"/>
    <cellStyle name="Normal 5 4 2 3 5 3 3" xfId="31814" xr:uid="{0D344C65-8639-4EA0-924B-9E2A0F99721D}"/>
    <cellStyle name="Normal 5 4 2 3 5 3 4" xfId="14927" xr:uid="{01EC5C5E-E82C-4916-A715-05AA902E1EB8}"/>
    <cellStyle name="Normal 5 4 2 3 5 4" xfId="19150" xr:uid="{EE87DB18-9E2B-454D-ADB3-8268793E2F34}"/>
    <cellStyle name="Normal 5 4 2 3 5 5" xfId="27595" xr:uid="{6BBF6A90-23C7-43C7-BA0F-730CCF820309}"/>
    <cellStyle name="Normal 5 4 2 3 5 6" xfId="10709" xr:uid="{A45A0B61-01AA-4C82-839B-4362F24AF0DF}"/>
    <cellStyle name="Normal 5 4 2 3 6" xfId="2614" xr:uid="{00000000-0005-0000-0000-0000E81A0000}"/>
    <cellStyle name="Normal 5 4 2 3 6 2" xfId="6898" xr:uid="{00000000-0005-0000-0000-0000E91A0000}"/>
    <cellStyle name="Normal 5 4 2 3 6 2 2" xfId="23781" xr:uid="{CC2EC939-3645-457D-8BE6-06CC90AF67BB}"/>
    <cellStyle name="Normal 5 4 2 3 6 2 3" xfId="32227" xr:uid="{63E85F2E-7982-4380-802F-F0D6644F4B7A}"/>
    <cellStyle name="Normal 5 4 2 3 6 2 4" xfId="15340" xr:uid="{DF9EC437-AE22-46BD-B8DD-6D9BF6646388}"/>
    <cellStyle name="Normal 5 4 2 3 6 3" xfId="19563" xr:uid="{CFE12532-6030-4C97-91C8-E4E582FCA3C8}"/>
    <cellStyle name="Normal 5 4 2 3 6 4" xfId="28008" xr:uid="{21EE4BFB-66CA-4077-B1CC-F4A636F99C4B}"/>
    <cellStyle name="Normal 5 4 2 3 6 5" xfId="11122" xr:uid="{9FD108F6-3F74-41B0-A791-639B7F198847}"/>
    <cellStyle name="Normal 5 4 2 3 7" xfId="4833" xr:uid="{00000000-0005-0000-0000-0000EA1A0000}"/>
    <cellStyle name="Normal 5 4 2 3 7 2" xfId="21716" xr:uid="{0A0DA6C3-B0E8-4BD1-8173-7023D6399D59}"/>
    <cellStyle name="Normal 5 4 2 3 7 3" xfId="30162" xr:uid="{DFBF26BF-BAAC-4C88-8C94-E8AE98E4EDDB}"/>
    <cellStyle name="Normal 5 4 2 3 7 4" xfId="13275" xr:uid="{177A5DB3-1B0F-428C-B41D-4F80BAFBDB8B}"/>
    <cellStyle name="Normal 5 4 2 3 8" xfId="17498" xr:uid="{A22BBF30-D6D3-4354-8631-FE809BC22C44}"/>
    <cellStyle name="Normal 5 4 2 3 9" xfId="25942" xr:uid="{0B9E9C28-7A5E-452F-BE6A-F269AD912854}"/>
    <cellStyle name="Normal 5 4 2 4" xfId="931" xr:uid="{00000000-0005-0000-0000-0000EB1A0000}"/>
    <cellStyle name="Normal 5 4 2 4 2" xfId="3165" xr:uid="{00000000-0005-0000-0000-0000EC1A0000}"/>
    <cellStyle name="Normal 5 4 2 4 2 2" xfId="7388" xr:uid="{00000000-0005-0000-0000-0000ED1A0000}"/>
    <cellStyle name="Normal 5 4 2 4 2 2 2" xfId="24271" xr:uid="{BD224ABC-21F9-4E98-AD56-1474DC0AF464}"/>
    <cellStyle name="Normal 5 4 2 4 2 2 3" xfId="32717" xr:uid="{A5B5F335-28DE-4878-934C-5221102042D7}"/>
    <cellStyle name="Normal 5 4 2 4 2 2 4" xfId="15830" xr:uid="{FCA8AB7C-F0EC-4D8A-95C3-782D80364553}"/>
    <cellStyle name="Normal 5 4 2 4 2 3" xfId="20053" xr:uid="{D65BDCBA-54F2-4B3E-8A4F-DAFC8740F755}"/>
    <cellStyle name="Normal 5 4 2 4 2 4" xfId="28500" xr:uid="{DC8AEB7C-EA0F-4CBF-B925-9BBDA9A07B30}"/>
    <cellStyle name="Normal 5 4 2 4 2 5" xfId="11612" xr:uid="{00AC696E-E418-4CDA-9BD4-F07B0291740B}"/>
    <cellStyle name="Normal 5 4 2 4 3" xfId="5243" xr:uid="{00000000-0005-0000-0000-0000EE1A0000}"/>
    <cellStyle name="Normal 5 4 2 4 3 2" xfId="22126" xr:uid="{06C7EB48-D3FA-415D-886C-1F028D2022CD}"/>
    <cellStyle name="Normal 5 4 2 4 3 3" xfId="30572" xr:uid="{84A8453B-991D-4FF1-8CB3-8DE57112E9A6}"/>
    <cellStyle name="Normal 5 4 2 4 3 4" xfId="13685" xr:uid="{C4CD5464-0BBA-4721-86CC-2F61421FC4D0}"/>
    <cellStyle name="Normal 5 4 2 4 4" xfId="17908" xr:uid="{E0F76A67-6824-4F50-BB03-22AF382A6090}"/>
    <cellStyle name="Normal 5 4 2 4 5" xfId="26353" xr:uid="{E43D0B2F-FFAC-4F97-B7AE-FA946E8A8CBF}"/>
    <cellStyle name="Normal 5 4 2 4 6" xfId="9467" xr:uid="{BD6ACABF-7BF6-41B3-B244-B58F492F9191}"/>
    <cellStyle name="Normal 5 4 2 5" xfId="1348" xr:uid="{00000000-0005-0000-0000-0000EF1A0000}"/>
    <cellStyle name="Normal 5 4 2 5 2" xfId="3578" xr:uid="{00000000-0005-0000-0000-0000F01A0000}"/>
    <cellStyle name="Normal 5 4 2 5 2 2" xfId="7801" xr:uid="{00000000-0005-0000-0000-0000F11A0000}"/>
    <cellStyle name="Normal 5 4 2 5 2 2 2" xfId="24684" xr:uid="{56326737-E4E4-4886-ADF3-2689EF233F48}"/>
    <cellStyle name="Normal 5 4 2 5 2 2 3" xfId="33130" xr:uid="{5753EF32-723F-4222-9922-EC2463EC3141}"/>
    <cellStyle name="Normal 5 4 2 5 2 2 4" xfId="16243" xr:uid="{3F733DFA-9D4E-4BC1-9419-DC8E8D850B81}"/>
    <cellStyle name="Normal 5 4 2 5 2 3" xfId="20466" xr:uid="{1A14FBE5-B429-45C3-8ED3-3C41CA7342F6}"/>
    <cellStyle name="Normal 5 4 2 5 2 4" xfId="28913" xr:uid="{0006FBE0-68DC-4425-8BA1-87F07FE04C2A}"/>
    <cellStyle name="Normal 5 4 2 5 2 5" xfId="12025" xr:uid="{C40597B6-423D-4C87-8B91-4E774662B9CA}"/>
    <cellStyle name="Normal 5 4 2 5 3" xfId="5656" xr:uid="{00000000-0005-0000-0000-0000F21A0000}"/>
    <cellStyle name="Normal 5 4 2 5 3 2" xfId="22539" xr:uid="{00DD5D1C-117C-45C6-8DE6-F8825EAACC43}"/>
    <cellStyle name="Normal 5 4 2 5 3 3" xfId="30985" xr:uid="{3F05C960-8778-477F-8745-3009C91F5D3A}"/>
    <cellStyle name="Normal 5 4 2 5 3 4" xfId="14098" xr:uid="{5C9C4DD9-6514-462E-A6CB-88B896199896}"/>
    <cellStyle name="Normal 5 4 2 5 4" xfId="18321" xr:uid="{FFD90658-8154-411A-9035-778D7C04602E}"/>
    <cellStyle name="Normal 5 4 2 5 5" xfId="26766" xr:uid="{5F29037E-A5DE-4489-8BF3-E692044807C9}"/>
    <cellStyle name="Normal 5 4 2 5 6" xfId="9880" xr:uid="{FB3519E5-D07E-40FC-A8D8-4F3EF49A5326}"/>
    <cellStyle name="Normal 5 4 2 6" xfId="1761" xr:uid="{00000000-0005-0000-0000-0000F31A0000}"/>
    <cellStyle name="Normal 5 4 2 6 2" xfId="3991" xr:uid="{00000000-0005-0000-0000-0000F41A0000}"/>
    <cellStyle name="Normal 5 4 2 6 2 2" xfId="8214" xr:uid="{00000000-0005-0000-0000-0000F51A0000}"/>
    <cellStyle name="Normal 5 4 2 6 2 2 2" xfId="25097" xr:uid="{3032B8D9-26A5-44CF-9A27-049245A71F20}"/>
    <cellStyle name="Normal 5 4 2 6 2 2 3" xfId="33543" xr:uid="{C80D0F0B-2CCF-42F2-828A-996DFF1122D8}"/>
    <cellStyle name="Normal 5 4 2 6 2 2 4" xfId="16656" xr:uid="{36C37018-3AF9-4165-A6A5-8EC9738E5196}"/>
    <cellStyle name="Normal 5 4 2 6 2 3" xfId="20879" xr:uid="{4B8B71F9-B5C7-4BA2-BC19-87812DD7699E}"/>
    <cellStyle name="Normal 5 4 2 6 2 4" xfId="29326" xr:uid="{DE273D5A-6133-4CE0-B59A-1FBA344BD915}"/>
    <cellStyle name="Normal 5 4 2 6 2 5" xfId="12438" xr:uid="{4FB315E4-6FB6-4A2E-8F1D-B69BD4DA7788}"/>
    <cellStyle name="Normal 5 4 2 6 3" xfId="6069" xr:uid="{00000000-0005-0000-0000-0000F61A0000}"/>
    <cellStyle name="Normal 5 4 2 6 3 2" xfId="22952" xr:uid="{B1256078-40BF-42E6-AFC1-4F4B542A1815}"/>
    <cellStyle name="Normal 5 4 2 6 3 3" xfId="31398" xr:uid="{EC070641-441E-42DE-9357-C66950795D12}"/>
    <cellStyle name="Normal 5 4 2 6 3 4" xfId="14511" xr:uid="{537EACD5-7597-4D59-AEB4-5A56574D6835}"/>
    <cellStyle name="Normal 5 4 2 6 4" xfId="18734" xr:uid="{E874311A-C94A-4E82-B54A-7D3C94AF7921}"/>
    <cellStyle name="Normal 5 4 2 6 5" xfId="27179" xr:uid="{B69B8761-3C9F-40B1-BB89-D6AB382A4C72}"/>
    <cellStyle name="Normal 5 4 2 6 6" xfId="10293" xr:uid="{25F79ECA-AD72-4D25-A85F-0286F3166B56}"/>
    <cellStyle name="Normal 5 4 2 7" xfId="2175" xr:uid="{00000000-0005-0000-0000-0000F71A0000}"/>
    <cellStyle name="Normal 5 4 2 7 2" xfId="4404" xr:uid="{00000000-0005-0000-0000-0000F81A0000}"/>
    <cellStyle name="Normal 5 4 2 7 2 2" xfId="8627" xr:uid="{00000000-0005-0000-0000-0000F91A0000}"/>
    <cellStyle name="Normal 5 4 2 7 2 2 2" xfId="25510" xr:uid="{C4D09947-35F5-48EB-A8CE-E9CE5758B090}"/>
    <cellStyle name="Normal 5 4 2 7 2 2 3" xfId="33956" xr:uid="{F92698D7-89A0-45EF-96EB-64A51C5C6E91}"/>
    <cellStyle name="Normal 5 4 2 7 2 2 4" xfId="17069" xr:uid="{4E71F1FF-00C0-4DD9-8B57-DFB58F60B2AB}"/>
    <cellStyle name="Normal 5 4 2 7 2 3" xfId="21292" xr:uid="{17A79F0D-AED4-4DA6-87E2-3DBD8ACEB5E5}"/>
    <cellStyle name="Normal 5 4 2 7 2 4" xfId="29739" xr:uid="{200D5088-2560-4C3F-8BCA-B3ADC3675729}"/>
    <cellStyle name="Normal 5 4 2 7 2 5" xfId="12851" xr:uid="{A4F721A4-E067-45FC-B9C3-FA76201E2C08}"/>
    <cellStyle name="Normal 5 4 2 7 3" xfId="6482" xr:uid="{00000000-0005-0000-0000-0000FA1A0000}"/>
    <cellStyle name="Normal 5 4 2 7 3 2" xfId="23365" xr:uid="{60657166-635A-4603-95D7-68D7A816C16D}"/>
    <cellStyle name="Normal 5 4 2 7 3 3" xfId="31811" xr:uid="{41853F98-4D56-4CB0-8EDD-7E911CEC1CF4}"/>
    <cellStyle name="Normal 5 4 2 7 3 4" xfId="14924" xr:uid="{41A16EE3-8E56-40AB-843C-2CF969528E36}"/>
    <cellStyle name="Normal 5 4 2 7 4" xfId="19147" xr:uid="{F5B390C5-00DB-4E59-A3C0-6B3950C9E66D}"/>
    <cellStyle name="Normal 5 4 2 7 5" xfId="27592" xr:uid="{052B459D-9D82-4C2F-8ADD-F9CE1091E541}"/>
    <cellStyle name="Normal 5 4 2 7 6" xfId="10706" xr:uid="{30C113BF-2B0D-49E1-9793-08D43EB310B0}"/>
    <cellStyle name="Normal 5 4 2 8" xfId="2611" xr:uid="{00000000-0005-0000-0000-0000FB1A0000}"/>
    <cellStyle name="Normal 5 4 2 8 2" xfId="6895" xr:uid="{00000000-0005-0000-0000-0000FC1A0000}"/>
    <cellStyle name="Normal 5 4 2 8 2 2" xfId="23778" xr:uid="{110B1C4C-10C3-48C9-A873-BA633F18DC2F}"/>
    <cellStyle name="Normal 5 4 2 8 2 3" xfId="32224" xr:uid="{7291D807-24D5-484A-8104-BEECF7C10070}"/>
    <cellStyle name="Normal 5 4 2 8 2 4" xfId="15337" xr:uid="{64CF2BCD-5AA4-4EE4-88F4-36CD494F43BB}"/>
    <cellStyle name="Normal 5 4 2 8 3" xfId="19560" xr:uid="{865A6FB1-1FCA-47B8-8E8C-488E7969BA02}"/>
    <cellStyle name="Normal 5 4 2 8 4" xfId="28005" xr:uid="{D6DDC7C8-A12E-48D8-8561-BFF1D8E6A7EE}"/>
    <cellStyle name="Normal 5 4 2 8 5" xfId="11119" xr:uid="{0AF497BF-456D-4511-B264-6479D55464FE}"/>
    <cellStyle name="Normal 5 4 2 9" xfId="4830" xr:uid="{00000000-0005-0000-0000-0000FD1A0000}"/>
    <cellStyle name="Normal 5 4 2 9 2" xfId="21713" xr:uid="{25E44658-787D-408E-A2C3-5AF83C1D9948}"/>
    <cellStyle name="Normal 5 4 2 9 3" xfId="30159" xr:uid="{5C09EE9C-4A1D-4153-9793-4427520418BF}"/>
    <cellStyle name="Normal 5 4 2 9 4" xfId="13272" xr:uid="{E6EB4E44-B39B-4176-B371-2133D76A6914}"/>
    <cellStyle name="Normal 5 4 3" xfId="461" xr:uid="{00000000-0005-0000-0000-0000FE1A0000}"/>
    <cellStyle name="Normal 5 4 3 10" xfId="25943" xr:uid="{FBDA3E50-8E9C-432B-A147-ECC06EA7EC06}"/>
    <cellStyle name="Normal 5 4 3 11" xfId="9058" xr:uid="{DE3EFECD-55E5-4400-B204-79F220ED4D49}"/>
    <cellStyle name="Normal 5 4 3 2" xfId="462" xr:uid="{00000000-0005-0000-0000-0000FF1A0000}"/>
    <cellStyle name="Normal 5 4 3 2 10" xfId="9059" xr:uid="{D6CDA4A3-0EDA-4E0A-817B-7F11D820679A}"/>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24276" xr:uid="{2C833098-AAC1-413B-9C20-EF8DAA695853}"/>
    <cellStyle name="Normal 5 4 3 2 2 2 2 3" xfId="32722" xr:uid="{013371C1-E77B-41BD-8143-2172CDF97366}"/>
    <cellStyle name="Normal 5 4 3 2 2 2 2 4" xfId="15835" xr:uid="{75F820CE-86E1-46EB-BC65-5C78B42626A2}"/>
    <cellStyle name="Normal 5 4 3 2 2 2 3" xfId="20058" xr:uid="{D1DE8C8D-513F-428F-8DBF-669B5EEF55E0}"/>
    <cellStyle name="Normal 5 4 3 2 2 2 4" xfId="28505" xr:uid="{787A6432-4FB2-4E06-806F-D4A31C4E4E3F}"/>
    <cellStyle name="Normal 5 4 3 2 2 2 5" xfId="11617" xr:uid="{2B0CB14C-B3F2-4E18-BEF1-10A0104AB62A}"/>
    <cellStyle name="Normal 5 4 3 2 2 3" xfId="5248" xr:uid="{00000000-0005-0000-0000-0000031B0000}"/>
    <cellStyle name="Normal 5 4 3 2 2 3 2" xfId="22131" xr:uid="{55D4348B-AA23-45FA-9163-4CD677D2C463}"/>
    <cellStyle name="Normal 5 4 3 2 2 3 3" xfId="30577" xr:uid="{4BD1B73B-D0CB-4BAB-A05A-91C39B807B44}"/>
    <cellStyle name="Normal 5 4 3 2 2 3 4" xfId="13690" xr:uid="{3866B871-53FE-4196-9F87-634E0783E6D0}"/>
    <cellStyle name="Normal 5 4 3 2 2 4" xfId="17913" xr:uid="{8215B163-BF0A-4676-A901-24314B2155B4}"/>
    <cellStyle name="Normal 5 4 3 2 2 5" xfId="26358" xr:uid="{8F45377B-E3D3-40B4-BF05-647694C9C0B7}"/>
    <cellStyle name="Normal 5 4 3 2 2 6" xfId="9472" xr:uid="{B96CDB35-FA75-417D-8187-F5B8445591B9}"/>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24689" xr:uid="{075D974E-2D70-4B4B-A22C-FAB1DBB47296}"/>
    <cellStyle name="Normal 5 4 3 2 3 2 2 3" xfId="33135" xr:uid="{F026EB9F-E8E8-436F-8237-619352CCCC0F}"/>
    <cellStyle name="Normal 5 4 3 2 3 2 2 4" xfId="16248" xr:uid="{D36A5132-21C7-40A4-96BC-E83846986584}"/>
    <cellStyle name="Normal 5 4 3 2 3 2 3" xfId="20471" xr:uid="{1F9ACF21-9A09-4894-A6C4-54AE6E6D2388}"/>
    <cellStyle name="Normal 5 4 3 2 3 2 4" xfId="28918" xr:uid="{4A2BC1E9-0352-4193-8608-9E85C3409067}"/>
    <cellStyle name="Normal 5 4 3 2 3 2 5" xfId="12030" xr:uid="{92B6B522-25BD-49CB-9E65-019E25F649E7}"/>
    <cellStyle name="Normal 5 4 3 2 3 3" xfId="5661" xr:uid="{00000000-0005-0000-0000-0000071B0000}"/>
    <cellStyle name="Normal 5 4 3 2 3 3 2" xfId="22544" xr:uid="{0242CC94-FB64-43B7-9F69-E96A70497500}"/>
    <cellStyle name="Normal 5 4 3 2 3 3 3" xfId="30990" xr:uid="{81864891-A654-4948-81F0-214158C46E3A}"/>
    <cellStyle name="Normal 5 4 3 2 3 3 4" xfId="14103" xr:uid="{3551AF57-2049-438B-88F4-0BEC8E0A970E}"/>
    <cellStyle name="Normal 5 4 3 2 3 4" xfId="18326" xr:uid="{383586A2-DF8E-4E3B-8E48-354A781D2DB4}"/>
    <cellStyle name="Normal 5 4 3 2 3 5" xfId="26771" xr:uid="{4A8E037A-6DC4-48BE-B9F7-152C1A412414}"/>
    <cellStyle name="Normal 5 4 3 2 3 6" xfId="9885" xr:uid="{1B68C0EA-05AE-47C3-995A-530A1E230083}"/>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25102" xr:uid="{3D40FE6F-E203-427C-95E7-33943D745392}"/>
    <cellStyle name="Normal 5 4 3 2 4 2 2 3" xfId="33548" xr:uid="{78FD3650-86C7-40CC-AB37-C325BEE08DBC}"/>
    <cellStyle name="Normal 5 4 3 2 4 2 2 4" xfId="16661" xr:uid="{264052AB-45EB-4183-97E5-BF131C5CFAF8}"/>
    <cellStyle name="Normal 5 4 3 2 4 2 3" xfId="20884" xr:uid="{E7C37931-546C-44F5-AA64-678FEBDC5ED1}"/>
    <cellStyle name="Normal 5 4 3 2 4 2 4" xfId="29331" xr:uid="{09325F3D-6559-40C8-B03F-B4A9518E6AD4}"/>
    <cellStyle name="Normal 5 4 3 2 4 2 5" xfId="12443" xr:uid="{2805833C-F0F8-4D32-81D0-96BF62C726B8}"/>
    <cellStyle name="Normal 5 4 3 2 4 3" xfId="6074" xr:uid="{00000000-0005-0000-0000-00000B1B0000}"/>
    <cellStyle name="Normal 5 4 3 2 4 3 2" xfId="22957" xr:uid="{296AEA29-1E7A-44D0-A8F8-73C05980C5BF}"/>
    <cellStyle name="Normal 5 4 3 2 4 3 3" xfId="31403" xr:uid="{0BDB2401-5870-4FE6-AB38-F4DD45630481}"/>
    <cellStyle name="Normal 5 4 3 2 4 3 4" xfId="14516" xr:uid="{BCDE033C-CDF5-4342-996D-FF71119429DF}"/>
    <cellStyle name="Normal 5 4 3 2 4 4" xfId="18739" xr:uid="{E0F56131-010A-48B9-9A06-10E1AEC46B67}"/>
    <cellStyle name="Normal 5 4 3 2 4 5" xfId="27184" xr:uid="{C826FC11-D8EF-4434-A303-622F2876B2FA}"/>
    <cellStyle name="Normal 5 4 3 2 4 6" xfId="10298" xr:uid="{CA1E39AA-5748-48A9-87DE-3C3070D42B75}"/>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25515" xr:uid="{23858F49-383F-40BF-B6EA-0316E625E298}"/>
    <cellStyle name="Normal 5 4 3 2 5 2 2 3" xfId="33961" xr:uid="{43D4FD16-9F43-4D98-96FE-21BD04E73686}"/>
    <cellStyle name="Normal 5 4 3 2 5 2 2 4" xfId="17074" xr:uid="{A8E6212D-D040-4D90-A32A-8FF5139475AB}"/>
    <cellStyle name="Normal 5 4 3 2 5 2 3" xfId="21297" xr:uid="{7B8544E1-BCFE-40FF-A887-E3E83479F0B6}"/>
    <cellStyle name="Normal 5 4 3 2 5 2 4" xfId="29744" xr:uid="{0D3B9BF3-97F8-4B54-B286-7BBDEE21D463}"/>
    <cellStyle name="Normal 5 4 3 2 5 2 5" xfId="12856" xr:uid="{44D0A69E-1626-41D0-A434-C897D255243C}"/>
    <cellStyle name="Normal 5 4 3 2 5 3" xfId="6487" xr:uid="{00000000-0005-0000-0000-00000F1B0000}"/>
    <cellStyle name="Normal 5 4 3 2 5 3 2" xfId="23370" xr:uid="{2108779B-5119-4FF8-BDDB-457713C7B9EC}"/>
    <cellStyle name="Normal 5 4 3 2 5 3 3" xfId="31816" xr:uid="{B8C2C286-5081-4AE5-A00E-74895EF0DDAD}"/>
    <cellStyle name="Normal 5 4 3 2 5 3 4" xfId="14929" xr:uid="{71746D47-F749-468E-B7D4-672B871E0189}"/>
    <cellStyle name="Normal 5 4 3 2 5 4" xfId="19152" xr:uid="{E2EEB66C-F37E-451E-AB6C-AA77D586DE25}"/>
    <cellStyle name="Normal 5 4 3 2 5 5" xfId="27597" xr:uid="{D007D2B1-FD55-4222-B8C7-16CE955237B0}"/>
    <cellStyle name="Normal 5 4 3 2 5 6" xfId="10711" xr:uid="{3E7CB2D3-91B1-4914-91DE-1A48E29D1B32}"/>
    <cellStyle name="Normal 5 4 3 2 6" xfId="2616" xr:uid="{00000000-0005-0000-0000-0000101B0000}"/>
    <cellStyle name="Normal 5 4 3 2 6 2" xfId="6900" xr:uid="{00000000-0005-0000-0000-0000111B0000}"/>
    <cellStyle name="Normal 5 4 3 2 6 2 2" xfId="23783" xr:uid="{16BDD665-0DB0-473B-B1DE-8EDA68413038}"/>
    <cellStyle name="Normal 5 4 3 2 6 2 3" xfId="32229" xr:uid="{EB4F3471-C700-4F68-9340-973AE833F39E}"/>
    <cellStyle name="Normal 5 4 3 2 6 2 4" xfId="15342" xr:uid="{CCC43780-69CE-409B-91EF-3A21BB96DC4C}"/>
    <cellStyle name="Normal 5 4 3 2 6 3" xfId="19565" xr:uid="{6059BD04-48C1-4D5C-A4A1-0A64829338D3}"/>
    <cellStyle name="Normal 5 4 3 2 6 4" xfId="28010" xr:uid="{7D7BC52E-6E31-4B55-8A2D-96881140731F}"/>
    <cellStyle name="Normal 5 4 3 2 6 5" xfId="11124" xr:uid="{554E81A5-B207-49BB-9033-3A0DAC516C46}"/>
    <cellStyle name="Normal 5 4 3 2 7" xfId="4835" xr:uid="{00000000-0005-0000-0000-0000121B0000}"/>
    <cellStyle name="Normal 5 4 3 2 7 2" xfId="21718" xr:uid="{40D5AADE-A2FE-44F1-B93E-B8C741FBF579}"/>
    <cellStyle name="Normal 5 4 3 2 7 3" xfId="30164" xr:uid="{C0B58E71-2FB7-466E-A8AE-FF0370A3F66A}"/>
    <cellStyle name="Normal 5 4 3 2 7 4" xfId="13277" xr:uid="{8D70B9DA-4170-4990-82E3-173E584480F9}"/>
    <cellStyle name="Normal 5 4 3 2 8" xfId="17500" xr:uid="{1FB7C484-A498-4477-9700-4AA6764B46D1}"/>
    <cellStyle name="Normal 5 4 3 2 9" xfId="25944" xr:uid="{298AC6C1-171A-4137-884A-CC344CF9D4A8}"/>
    <cellStyle name="Normal 5 4 3 3" xfId="935" xr:uid="{00000000-0005-0000-0000-0000131B0000}"/>
    <cellStyle name="Normal 5 4 3 3 2" xfId="3169" xr:uid="{00000000-0005-0000-0000-0000141B0000}"/>
    <cellStyle name="Normal 5 4 3 3 2 2" xfId="7392" xr:uid="{00000000-0005-0000-0000-0000151B0000}"/>
    <cellStyle name="Normal 5 4 3 3 2 2 2" xfId="24275" xr:uid="{BF2ABE8D-0DFA-4178-86C3-438A1C2E42AF}"/>
    <cellStyle name="Normal 5 4 3 3 2 2 3" xfId="32721" xr:uid="{6ED30D44-A306-4BE6-9000-D313E08B32CB}"/>
    <cellStyle name="Normal 5 4 3 3 2 2 4" xfId="15834" xr:uid="{795FB317-51C6-493B-8BFD-F0FF2A63081D}"/>
    <cellStyle name="Normal 5 4 3 3 2 3" xfId="20057" xr:uid="{B4D16BC5-214B-4A2C-BA51-23E0E149FAA9}"/>
    <cellStyle name="Normal 5 4 3 3 2 4" xfId="28504" xr:uid="{B329581A-C306-4582-B335-E01DDB612F97}"/>
    <cellStyle name="Normal 5 4 3 3 2 5" xfId="11616" xr:uid="{90D4B3BB-A3AC-4EDB-B48C-2D758C7CDD15}"/>
    <cellStyle name="Normal 5 4 3 3 3" xfId="5247" xr:uid="{00000000-0005-0000-0000-0000161B0000}"/>
    <cellStyle name="Normal 5 4 3 3 3 2" xfId="22130" xr:uid="{5AD16338-EA2C-4A24-88CA-89E9E0BE63B4}"/>
    <cellStyle name="Normal 5 4 3 3 3 3" xfId="30576" xr:uid="{327EBEB8-2907-45FF-A200-37E77C38C0DA}"/>
    <cellStyle name="Normal 5 4 3 3 3 4" xfId="13689" xr:uid="{68845A1E-BD7B-4A72-BC35-AB65CA05119B}"/>
    <cellStyle name="Normal 5 4 3 3 4" xfId="17912" xr:uid="{18B7647A-1D7D-4B68-9BB9-98BB812A7212}"/>
    <cellStyle name="Normal 5 4 3 3 5" xfId="26357" xr:uid="{487F1DA1-E706-44D3-AC44-86DB474755B4}"/>
    <cellStyle name="Normal 5 4 3 3 6" xfId="9471" xr:uid="{D10506D0-C01A-436D-A94D-A847BD764EE9}"/>
    <cellStyle name="Normal 5 4 3 4" xfId="1352" xr:uid="{00000000-0005-0000-0000-0000171B0000}"/>
    <cellStyle name="Normal 5 4 3 4 2" xfId="3582" xr:uid="{00000000-0005-0000-0000-0000181B0000}"/>
    <cellStyle name="Normal 5 4 3 4 2 2" xfId="7805" xr:uid="{00000000-0005-0000-0000-0000191B0000}"/>
    <cellStyle name="Normal 5 4 3 4 2 2 2" xfId="24688" xr:uid="{25C9169C-427B-4711-8A28-A701AF964F5D}"/>
    <cellStyle name="Normal 5 4 3 4 2 2 3" xfId="33134" xr:uid="{217F044C-9625-4431-96C6-4A391F495A36}"/>
    <cellStyle name="Normal 5 4 3 4 2 2 4" xfId="16247" xr:uid="{93E5195D-7017-486E-BF67-738524C443F8}"/>
    <cellStyle name="Normal 5 4 3 4 2 3" xfId="20470" xr:uid="{68943013-3A06-4180-BA14-B879020E01C7}"/>
    <cellStyle name="Normal 5 4 3 4 2 4" xfId="28917" xr:uid="{410DCE81-FC9D-408E-9043-183105DA3921}"/>
    <cellStyle name="Normal 5 4 3 4 2 5" xfId="12029" xr:uid="{3E0E93C2-6EAA-4FF7-AB7D-5CE82BB6C980}"/>
    <cellStyle name="Normal 5 4 3 4 3" xfId="5660" xr:uid="{00000000-0005-0000-0000-00001A1B0000}"/>
    <cellStyle name="Normal 5 4 3 4 3 2" xfId="22543" xr:uid="{6C84F381-8E17-4612-BF15-372C67E0E572}"/>
    <cellStyle name="Normal 5 4 3 4 3 3" xfId="30989" xr:uid="{01E8AAA6-6119-443B-A45A-85495170C1D1}"/>
    <cellStyle name="Normal 5 4 3 4 3 4" xfId="14102" xr:uid="{ED5393BA-A803-41C8-818E-2DF4FAD5DD49}"/>
    <cellStyle name="Normal 5 4 3 4 4" xfId="18325" xr:uid="{9FB90A97-3F8B-4558-891F-8F8D55FE1B19}"/>
    <cellStyle name="Normal 5 4 3 4 5" xfId="26770" xr:uid="{54972502-CB2B-415E-8E7B-E365E1288880}"/>
    <cellStyle name="Normal 5 4 3 4 6" xfId="9884" xr:uid="{E8061FF1-342D-4810-9B92-E9017CF1B755}"/>
    <cellStyle name="Normal 5 4 3 5" xfId="1765" xr:uid="{00000000-0005-0000-0000-00001B1B0000}"/>
    <cellStyle name="Normal 5 4 3 5 2" xfId="3995" xr:uid="{00000000-0005-0000-0000-00001C1B0000}"/>
    <cellStyle name="Normal 5 4 3 5 2 2" xfId="8218" xr:uid="{00000000-0005-0000-0000-00001D1B0000}"/>
    <cellStyle name="Normal 5 4 3 5 2 2 2" xfId="25101" xr:uid="{4E6FC1E7-CF49-42FD-B0E2-7D7BA8C1CD80}"/>
    <cellStyle name="Normal 5 4 3 5 2 2 3" xfId="33547" xr:uid="{1CDDA146-34B2-436A-B2D2-463880B7F648}"/>
    <cellStyle name="Normal 5 4 3 5 2 2 4" xfId="16660" xr:uid="{6509E6A4-C6B2-4D05-A9A1-6297FF06AB0D}"/>
    <cellStyle name="Normal 5 4 3 5 2 3" xfId="20883" xr:uid="{DE853995-6744-4626-9075-4DD8B9D677D6}"/>
    <cellStyle name="Normal 5 4 3 5 2 4" xfId="29330" xr:uid="{EB473F53-43BE-4C36-834E-2AC7B5D52BA4}"/>
    <cellStyle name="Normal 5 4 3 5 2 5" xfId="12442" xr:uid="{D93C41DA-3197-4565-8E6B-2E15E8CCDB74}"/>
    <cellStyle name="Normal 5 4 3 5 3" xfId="6073" xr:uid="{00000000-0005-0000-0000-00001E1B0000}"/>
    <cellStyle name="Normal 5 4 3 5 3 2" xfId="22956" xr:uid="{20B4E442-3DFA-4C83-999D-1EAFFAD783F3}"/>
    <cellStyle name="Normal 5 4 3 5 3 3" xfId="31402" xr:uid="{6BE86A99-5A30-454C-AD12-11D398BEAD3D}"/>
    <cellStyle name="Normal 5 4 3 5 3 4" xfId="14515" xr:uid="{34F529E4-AF27-49FE-83A6-EC62676E91D3}"/>
    <cellStyle name="Normal 5 4 3 5 4" xfId="18738" xr:uid="{3ADB14E7-AE45-43F2-9828-A830BBF45670}"/>
    <cellStyle name="Normal 5 4 3 5 5" xfId="27183" xr:uid="{51136FF1-8D01-4DFF-BAB9-A02B5FF154C6}"/>
    <cellStyle name="Normal 5 4 3 5 6" xfId="10297" xr:uid="{58E4762F-0E8B-4371-B363-74A6E6CDC795}"/>
    <cellStyle name="Normal 5 4 3 6" xfId="2179" xr:uid="{00000000-0005-0000-0000-00001F1B0000}"/>
    <cellStyle name="Normal 5 4 3 6 2" xfId="4408" xr:uid="{00000000-0005-0000-0000-0000201B0000}"/>
    <cellStyle name="Normal 5 4 3 6 2 2" xfId="8631" xr:uid="{00000000-0005-0000-0000-0000211B0000}"/>
    <cellStyle name="Normal 5 4 3 6 2 2 2" xfId="25514" xr:uid="{71F7BBB9-5FAE-4A08-8234-C83BFCC9542F}"/>
    <cellStyle name="Normal 5 4 3 6 2 2 3" xfId="33960" xr:uid="{8BD5B0C2-EF40-4401-819D-013639AC85D1}"/>
    <cellStyle name="Normal 5 4 3 6 2 2 4" xfId="17073" xr:uid="{FF736913-8E5D-472A-B2E7-AFDA93E9EF1B}"/>
    <cellStyle name="Normal 5 4 3 6 2 3" xfId="21296" xr:uid="{B1B287F8-730B-4DAA-A200-2AE0CD0C1532}"/>
    <cellStyle name="Normal 5 4 3 6 2 4" xfId="29743" xr:uid="{C44ADAA8-1415-4CBE-9C00-AA9055BAB64F}"/>
    <cellStyle name="Normal 5 4 3 6 2 5" xfId="12855" xr:uid="{8EEE8367-A0A3-4B12-8171-6A9497D10724}"/>
    <cellStyle name="Normal 5 4 3 6 3" xfId="6486" xr:uid="{00000000-0005-0000-0000-0000221B0000}"/>
    <cellStyle name="Normal 5 4 3 6 3 2" xfId="23369" xr:uid="{EE0FC304-C1D6-45B0-AF33-7D08B638A8C4}"/>
    <cellStyle name="Normal 5 4 3 6 3 3" xfId="31815" xr:uid="{BF1CAB55-4E5B-48DC-B6DD-74D812558735}"/>
    <cellStyle name="Normal 5 4 3 6 3 4" xfId="14928" xr:uid="{BBD53215-9695-4E4E-A2A7-5765478A8AA1}"/>
    <cellStyle name="Normal 5 4 3 6 4" xfId="19151" xr:uid="{99B237C8-F4A6-4F6B-A4B4-5BEFAF1FCCBB}"/>
    <cellStyle name="Normal 5 4 3 6 5" xfId="27596" xr:uid="{1AD22ECE-79D9-4010-B91B-6C73E6EA73C8}"/>
    <cellStyle name="Normal 5 4 3 6 6" xfId="10710" xr:uid="{6F2A2D8D-E718-4926-A33B-0B0428F526E0}"/>
    <cellStyle name="Normal 5 4 3 7" xfId="2615" xr:uid="{00000000-0005-0000-0000-0000231B0000}"/>
    <cellStyle name="Normal 5 4 3 7 2" xfId="6899" xr:uid="{00000000-0005-0000-0000-0000241B0000}"/>
    <cellStyle name="Normal 5 4 3 7 2 2" xfId="23782" xr:uid="{A2FCA0B0-E624-459C-B778-07A962114EE0}"/>
    <cellStyle name="Normal 5 4 3 7 2 3" xfId="32228" xr:uid="{D18BC33D-5F7C-48CA-B223-99B29D24EFF1}"/>
    <cellStyle name="Normal 5 4 3 7 2 4" xfId="15341" xr:uid="{B5518863-E227-4C6F-BE78-55FAF11D21CF}"/>
    <cellStyle name="Normal 5 4 3 7 3" xfId="19564" xr:uid="{BC165429-8544-4384-BD76-07038A502594}"/>
    <cellStyle name="Normal 5 4 3 7 4" xfId="28009" xr:uid="{71965899-C9AB-4D64-A82B-AD076C808228}"/>
    <cellStyle name="Normal 5 4 3 7 5" xfId="11123" xr:uid="{B01726DE-C250-425A-9B69-A17CD9C2AEF4}"/>
    <cellStyle name="Normal 5 4 3 8" xfId="4834" xr:uid="{00000000-0005-0000-0000-0000251B0000}"/>
    <cellStyle name="Normal 5 4 3 8 2" xfId="21717" xr:uid="{6CF3E9CE-B7AB-4A92-B0FB-B1115973C347}"/>
    <cellStyle name="Normal 5 4 3 8 3" xfId="30163" xr:uid="{3806732A-B903-4602-AD55-3C28ED27D5F5}"/>
    <cellStyle name="Normal 5 4 3 8 4" xfId="13276" xr:uid="{00564BD9-CFA4-4FCA-86E6-91413C8A18B3}"/>
    <cellStyle name="Normal 5 4 3 9" xfId="17499" xr:uid="{A6A1FC3A-E564-42F1-8EF7-7AEDF01A6AAF}"/>
    <cellStyle name="Normal 5 4 4" xfId="463" xr:uid="{00000000-0005-0000-0000-0000261B0000}"/>
    <cellStyle name="Normal 5 4 4 10" xfId="9060" xr:uid="{B3DD68F9-E2AD-44EE-B9EA-5B852AD788AF}"/>
    <cellStyle name="Normal 5 4 4 2" xfId="937" xr:uid="{00000000-0005-0000-0000-0000271B0000}"/>
    <cellStyle name="Normal 5 4 4 2 2" xfId="3171" xr:uid="{00000000-0005-0000-0000-0000281B0000}"/>
    <cellStyle name="Normal 5 4 4 2 2 2" xfId="7394" xr:uid="{00000000-0005-0000-0000-0000291B0000}"/>
    <cellStyle name="Normal 5 4 4 2 2 2 2" xfId="24277" xr:uid="{555DD13F-C8FD-4162-A696-6CFCA62C555F}"/>
    <cellStyle name="Normal 5 4 4 2 2 2 3" xfId="32723" xr:uid="{3599BC44-6854-4709-9652-156C350788FF}"/>
    <cellStyle name="Normal 5 4 4 2 2 2 4" xfId="15836" xr:uid="{CA1C9F12-E2AA-4940-8CE5-E9D4C4E63366}"/>
    <cellStyle name="Normal 5 4 4 2 2 3" xfId="20059" xr:uid="{C5EB052B-4D4F-4ACB-B1A9-AD990A4AC76A}"/>
    <cellStyle name="Normal 5 4 4 2 2 4" xfId="28506" xr:uid="{58111E22-42C4-4C2C-BFEF-DF7A517A2BE0}"/>
    <cellStyle name="Normal 5 4 4 2 2 5" xfId="11618" xr:uid="{5F91B211-93A8-4A43-90C7-11D4D08A9295}"/>
    <cellStyle name="Normal 5 4 4 2 3" xfId="5249" xr:uid="{00000000-0005-0000-0000-00002A1B0000}"/>
    <cellStyle name="Normal 5 4 4 2 3 2" xfId="22132" xr:uid="{852DF6ED-8970-4F86-9AA8-38EFEDCA9FF6}"/>
    <cellStyle name="Normal 5 4 4 2 3 3" xfId="30578" xr:uid="{86CF8EDE-E790-45C9-BC57-9A9FB3BBDB89}"/>
    <cellStyle name="Normal 5 4 4 2 3 4" xfId="13691" xr:uid="{A737F2C7-CCF9-4286-9B43-3EAD0883F869}"/>
    <cellStyle name="Normal 5 4 4 2 4" xfId="17914" xr:uid="{DF153834-BCD6-426C-AEAF-3E207CBB8F34}"/>
    <cellStyle name="Normal 5 4 4 2 5" xfId="26359" xr:uid="{3CE1BD4F-6CF2-4AB7-8E7B-6DE3322F08E5}"/>
    <cellStyle name="Normal 5 4 4 2 6" xfId="9473" xr:uid="{EE1EE920-377A-4BA2-82C8-80E107AEE1ED}"/>
    <cellStyle name="Normal 5 4 4 3" xfId="1354" xr:uid="{00000000-0005-0000-0000-00002B1B0000}"/>
    <cellStyle name="Normal 5 4 4 3 2" xfId="3584" xr:uid="{00000000-0005-0000-0000-00002C1B0000}"/>
    <cellStyle name="Normal 5 4 4 3 2 2" xfId="7807" xr:uid="{00000000-0005-0000-0000-00002D1B0000}"/>
    <cellStyle name="Normal 5 4 4 3 2 2 2" xfId="24690" xr:uid="{65E31EF9-4BA5-40A2-B174-EF51EEB9B1B4}"/>
    <cellStyle name="Normal 5 4 4 3 2 2 3" xfId="33136" xr:uid="{FD21BFF4-65D0-476E-818C-9FEDEF8D1396}"/>
    <cellStyle name="Normal 5 4 4 3 2 2 4" xfId="16249" xr:uid="{3BD56BC1-F5D3-4F91-88AC-173CF2C50465}"/>
    <cellStyle name="Normal 5 4 4 3 2 3" xfId="20472" xr:uid="{665537AD-AAA2-49AA-BCD9-3506DC3CCA1D}"/>
    <cellStyle name="Normal 5 4 4 3 2 4" xfId="28919" xr:uid="{EF73C118-BC1F-4C93-A72E-55A6F907DBCE}"/>
    <cellStyle name="Normal 5 4 4 3 2 5" xfId="12031" xr:uid="{6ED9AC22-B234-476D-BBE9-562E94308EE9}"/>
    <cellStyle name="Normal 5 4 4 3 3" xfId="5662" xr:uid="{00000000-0005-0000-0000-00002E1B0000}"/>
    <cellStyle name="Normal 5 4 4 3 3 2" xfId="22545" xr:uid="{3716DFFF-A7AD-4E56-8DBD-4CA7D231BA7B}"/>
    <cellStyle name="Normal 5 4 4 3 3 3" xfId="30991" xr:uid="{5F05B413-F22A-4E30-A141-63C2156405E3}"/>
    <cellStyle name="Normal 5 4 4 3 3 4" xfId="14104" xr:uid="{8B3A90C0-2470-4121-BF3D-506D2CD057FB}"/>
    <cellStyle name="Normal 5 4 4 3 4" xfId="18327" xr:uid="{8FF42CE3-2583-46A0-9A1B-70DB75D17B9F}"/>
    <cellStyle name="Normal 5 4 4 3 5" xfId="26772" xr:uid="{BCCD4BD8-FA8B-48E4-9EE5-379F0429A08A}"/>
    <cellStyle name="Normal 5 4 4 3 6" xfId="9886" xr:uid="{B3954A38-0390-4486-A97C-3F9352DD5ABB}"/>
    <cellStyle name="Normal 5 4 4 4" xfId="1767" xr:uid="{00000000-0005-0000-0000-00002F1B0000}"/>
    <cellStyle name="Normal 5 4 4 4 2" xfId="3997" xr:uid="{00000000-0005-0000-0000-0000301B0000}"/>
    <cellStyle name="Normal 5 4 4 4 2 2" xfId="8220" xr:uid="{00000000-0005-0000-0000-0000311B0000}"/>
    <cellStyle name="Normal 5 4 4 4 2 2 2" xfId="25103" xr:uid="{3B9398E5-0355-4FE0-8A5E-70B8995D2D10}"/>
    <cellStyle name="Normal 5 4 4 4 2 2 3" xfId="33549" xr:uid="{E818BFD3-5DD6-4AA6-9789-396D0DDDC6AA}"/>
    <cellStyle name="Normal 5 4 4 4 2 2 4" xfId="16662" xr:uid="{C06A58DA-1AF3-437A-9E52-E33F29F53F2B}"/>
    <cellStyle name="Normal 5 4 4 4 2 3" xfId="20885" xr:uid="{E30B5DAC-874F-499E-A199-06009BA1221A}"/>
    <cellStyle name="Normal 5 4 4 4 2 4" xfId="29332" xr:uid="{444B8E51-AD0C-425D-A920-4A24C58E4A1A}"/>
    <cellStyle name="Normal 5 4 4 4 2 5" xfId="12444" xr:uid="{B3C906FF-6ECD-4B1E-B387-8EDF095D470C}"/>
    <cellStyle name="Normal 5 4 4 4 3" xfId="6075" xr:uid="{00000000-0005-0000-0000-0000321B0000}"/>
    <cellStyle name="Normal 5 4 4 4 3 2" xfId="22958" xr:uid="{0E9E6FD0-951A-4159-8A59-32D18965886E}"/>
    <cellStyle name="Normal 5 4 4 4 3 3" xfId="31404" xr:uid="{F84AD584-E922-46CB-9668-D49276118832}"/>
    <cellStyle name="Normal 5 4 4 4 3 4" xfId="14517" xr:uid="{7581D57F-BBF6-4B78-B3A4-FF289E91D8F1}"/>
    <cellStyle name="Normal 5 4 4 4 4" xfId="18740" xr:uid="{58683E1E-BDAA-41FB-84E2-987039432953}"/>
    <cellStyle name="Normal 5 4 4 4 5" xfId="27185" xr:uid="{2A11DF12-11FC-4108-93F2-D05295BE776D}"/>
    <cellStyle name="Normal 5 4 4 4 6" xfId="10299" xr:uid="{9A4F1450-AB6A-46B8-8AA3-C310ECEF1AFB}"/>
    <cellStyle name="Normal 5 4 4 5" xfId="2181" xr:uid="{00000000-0005-0000-0000-0000331B0000}"/>
    <cellStyle name="Normal 5 4 4 5 2" xfId="4410" xr:uid="{00000000-0005-0000-0000-0000341B0000}"/>
    <cellStyle name="Normal 5 4 4 5 2 2" xfId="8633" xr:uid="{00000000-0005-0000-0000-0000351B0000}"/>
    <cellStyle name="Normal 5 4 4 5 2 2 2" xfId="25516" xr:uid="{93A39830-CA7C-4EDA-B19F-BBA56E3865E2}"/>
    <cellStyle name="Normal 5 4 4 5 2 2 3" xfId="33962" xr:uid="{C7DD31AE-C9F8-4C88-ADBE-F32EEA5E3CC5}"/>
    <cellStyle name="Normal 5 4 4 5 2 2 4" xfId="17075" xr:uid="{4D9111FB-91D0-4CA0-AEC6-49D6C69BCDF2}"/>
    <cellStyle name="Normal 5 4 4 5 2 3" xfId="21298" xr:uid="{C7FD4B07-1CFD-42E2-9BA4-54259BB96AB0}"/>
    <cellStyle name="Normal 5 4 4 5 2 4" xfId="29745" xr:uid="{5A6BDD7D-A654-4524-9EBA-1068B98C8388}"/>
    <cellStyle name="Normal 5 4 4 5 2 5" xfId="12857" xr:uid="{4DFDFDAC-037F-42EA-AF06-5E5B0680221D}"/>
    <cellStyle name="Normal 5 4 4 5 3" xfId="6488" xr:uid="{00000000-0005-0000-0000-0000361B0000}"/>
    <cellStyle name="Normal 5 4 4 5 3 2" xfId="23371" xr:uid="{AF44DBE9-E5AE-4210-A573-84F4D233B42E}"/>
    <cellStyle name="Normal 5 4 4 5 3 3" xfId="31817" xr:uid="{D6519352-02F9-4951-819E-5E622D8E8BE2}"/>
    <cellStyle name="Normal 5 4 4 5 3 4" xfId="14930" xr:uid="{DD980C42-C473-4B8A-AC04-EA8E27297F84}"/>
    <cellStyle name="Normal 5 4 4 5 4" xfId="19153" xr:uid="{C1D2EE19-63F7-45CA-A214-AE8E53ED628C}"/>
    <cellStyle name="Normal 5 4 4 5 5" xfId="27598" xr:uid="{CD24AA21-C656-41BD-B55A-3164EB62A1D9}"/>
    <cellStyle name="Normal 5 4 4 5 6" xfId="10712" xr:uid="{F715E404-BE70-4A93-B999-28AC98475494}"/>
    <cellStyle name="Normal 5 4 4 6" xfId="2617" xr:uid="{00000000-0005-0000-0000-0000371B0000}"/>
    <cellStyle name="Normal 5 4 4 6 2" xfId="6901" xr:uid="{00000000-0005-0000-0000-0000381B0000}"/>
    <cellStyle name="Normal 5 4 4 6 2 2" xfId="23784" xr:uid="{1064CAD4-D263-40FE-A0AC-931CE4891160}"/>
    <cellStyle name="Normal 5 4 4 6 2 3" xfId="32230" xr:uid="{E63D59F4-5322-4889-B70D-05AE831FA283}"/>
    <cellStyle name="Normal 5 4 4 6 2 4" xfId="15343" xr:uid="{7AAD53F5-F817-414B-AD0B-2683C77E7D85}"/>
    <cellStyle name="Normal 5 4 4 6 3" xfId="19566" xr:uid="{A13A3C7C-484B-4E00-ACCE-C3D26F43DA69}"/>
    <cellStyle name="Normal 5 4 4 6 4" xfId="28011" xr:uid="{FFDD90F8-09B0-4E01-8148-25549E6FA078}"/>
    <cellStyle name="Normal 5 4 4 6 5" xfId="11125" xr:uid="{9CD5EFD4-F2D8-4D1B-A377-07C9792C2DF5}"/>
    <cellStyle name="Normal 5 4 4 7" xfId="4836" xr:uid="{00000000-0005-0000-0000-0000391B0000}"/>
    <cellStyle name="Normal 5 4 4 7 2" xfId="21719" xr:uid="{FA0380E5-525E-49E3-9699-9871CCFFA57E}"/>
    <cellStyle name="Normal 5 4 4 7 3" xfId="30165" xr:uid="{F753FE54-C324-40FC-9AD7-D4D4057EA1CC}"/>
    <cellStyle name="Normal 5 4 4 7 4" xfId="13278" xr:uid="{114B217F-91B1-47A8-8205-E4259AF2C0FB}"/>
    <cellStyle name="Normal 5 4 4 8" xfId="17501" xr:uid="{E1D0B22D-379B-4B9E-807B-1405E2D47D2D}"/>
    <cellStyle name="Normal 5 4 4 9" xfId="25945" xr:uid="{9AEC966D-0F6D-42EA-AAD0-A37757EF73AC}"/>
    <cellStyle name="Normal 5 4 5" xfId="930" xr:uid="{00000000-0005-0000-0000-00003A1B0000}"/>
    <cellStyle name="Normal 5 4 5 2" xfId="3164" xr:uid="{00000000-0005-0000-0000-00003B1B0000}"/>
    <cellStyle name="Normal 5 4 5 2 2" xfId="7387" xr:uid="{00000000-0005-0000-0000-00003C1B0000}"/>
    <cellStyle name="Normal 5 4 5 2 2 2" xfId="24270" xr:uid="{C5237592-A791-4B9F-A430-F6486A5668E5}"/>
    <cellStyle name="Normal 5 4 5 2 2 3" xfId="32716" xr:uid="{A6880727-DA5D-4710-9D85-8599B2AC657B}"/>
    <cellStyle name="Normal 5 4 5 2 2 4" xfId="15829" xr:uid="{0C5F9B80-61F8-4C78-9674-7C7CE2C29CB6}"/>
    <cellStyle name="Normal 5 4 5 2 3" xfId="20052" xr:uid="{204B64DC-25B5-4DCA-934A-5B1C1D597FD7}"/>
    <cellStyle name="Normal 5 4 5 2 4" xfId="28499" xr:uid="{5D4DA8F4-CE76-4B02-B75F-9BCDEA5F64D7}"/>
    <cellStyle name="Normal 5 4 5 2 5" xfId="11611" xr:uid="{5B487A85-13C0-40CF-8162-DFF4DB3E818B}"/>
    <cellStyle name="Normal 5 4 5 3" xfId="5242" xr:uid="{00000000-0005-0000-0000-00003D1B0000}"/>
    <cellStyle name="Normal 5 4 5 3 2" xfId="22125" xr:uid="{6DF0C2B0-47E6-4897-9340-418329E5CAD3}"/>
    <cellStyle name="Normal 5 4 5 3 3" xfId="30571" xr:uid="{6F10DFBB-B7FB-4779-9AF5-7FE9CE23C26E}"/>
    <cellStyle name="Normal 5 4 5 3 4" xfId="13684" xr:uid="{7C39C723-13B4-4E85-B2F4-F79D027228E7}"/>
    <cellStyle name="Normal 5 4 5 4" xfId="17907" xr:uid="{029F7A9C-976D-46B7-87C6-272C45E00C7E}"/>
    <cellStyle name="Normal 5 4 5 5" xfId="26352" xr:uid="{DF290526-C8C3-4997-B22E-4BE803D383C8}"/>
    <cellStyle name="Normal 5 4 5 6" xfId="9466" xr:uid="{2336D5E7-56D7-4AFA-B771-8170C6E9A8B5}"/>
    <cellStyle name="Normal 5 4 6" xfId="1347" xr:uid="{00000000-0005-0000-0000-00003E1B0000}"/>
    <cellStyle name="Normal 5 4 6 2" xfId="3577" xr:uid="{00000000-0005-0000-0000-00003F1B0000}"/>
    <cellStyle name="Normal 5 4 6 2 2" xfId="7800" xr:uid="{00000000-0005-0000-0000-0000401B0000}"/>
    <cellStyle name="Normal 5 4 6 2 2 2" xfId="24683" xr:uid="{63FB3477-6665-41F4-8ECC-659FA5B0ADCE}"/>
    <cellStyle name="Normal 5 4 6 2 2 3" xfId="33129" xr:uid="{3C3E7E28-C045-4F9E-A3C6-6A40E6FE6926}"/>
    <cellStyle name="Normal 5 4 6 2 2 4" xfId="16242" xr:uid="{290388BA-AFF8-490D-AF60-1AC853198626}"/>
    <cellStyle name="Normal 5 4 6 2 3" xfId="20465" xr:uid="{98F55B2E-14D8-436F-B888-D5A855FC8DDD}"/>
    <cellStyle name="Normal 5 4 6 2 4" xfId="28912" xr:uid="{18801A1A-640C-43F4-B66A-73749C04B719}"/>
    <cellStyle name="Normal 5 4 6 2 5" xfId="12024" xr:uid="{9B99F3FC-C37F-434E-A2E5-68E533C5A46D}"/>
    <cellStyle name="Normal 5 4 6 3" xfId="5655" xr:uid="{00000000-0005-0000-0000-0000411B0000}"/>
    <cellStyle name="Normal 5 4 6 3 2" xfId="22538" xr:uid="{6A599DD1-20E4-4740-9F0A-4ED65A904F68}"/>
    <cellStyle name="Normal 5 4 6 3 3" xfId="30984" xr:uid="{21C4808E-C9B1-4C28-A257-B618EE748724}"/>
    <cellStyle name="Normal 5 4 6 3 4" xfId="14097" xr:uid="{58FD139C-D992-4ECF-A6B4-6DB6C276D096}"/>
    <cellStyle name="Normal 5 4 6 4" xfId="18320" xr:uid="{D986604F-46ED-4CFD-BC99-618D881DAB0B}"/>
    <cellStyle name="Normal 5 4 6 5" xfId="26765" xr:uid="{9DB40995-1990-4C2B-8FDD-6879148DED58}"/>
    <cellStyle name="Normal 5 4 6 6" xfId="9879" xr:uid="{2A8F690D-19DD-4D7C-9252-96309C30A0D5}"/>
    <cellStyle name="Normal 5 4 7" xfId="1760" xr:uid="{00000000-0005-0000-0000-0000421B0000}"/>
    <cellStyle name="Normal 5 4 7 2" xfId="3990" xr:uid="{00000000-0005-0000-0000-0000431B0000}"/>
    <cellStyle name="Normal 5 4 7 2 2" xfId="8213" xr:uid="{00000000-0005-0000-0000-0000441B0000}"/>
    <cellStyle name="Normal 5 4 7 2 2 2" xfId="25096" xr:uid="{4B1D2E87-BB2C-4F21-A694-FAD7D3A247FA}"/>
    <cellStyle name="Normal 5 4 7 2 2 3" xfId="33542" xr:uid="{C3801BAA-3D27-4638-90A1-6408B13DC3B7}"/>
    <cellStyle name="Normal 5 4 7 2 2 4" xfId="16655" xr:uid="{2F66763E-AC6D-415E-979F-3A6B126135D2}"/>
    <cellStyle name="Normal 5 4 7 2 3" xfId="20878" xr:uid="{C04135AE-955B-42BF-9053-B0BE627D9E3F}"/>
    <cellStyle name="Normal 5 4 7 2 4" xfId="29325" xr:uid="{4582E2DD-CB09-444A-8152-39CEB8BAFE05}"/>
    <cellStyle name="Normal 5 4 7 2 5" xfId="12437" xr:uid="{79E1566E-F9D2-4CEE-92EA-F4599D4D5B7D}"/>
    <cellStyle name="Normal 5 4 7 3" xfId="6068" xr:uid="{00000000-0005-0000-0000-0000451B0000}"/>
    <cellStyle name="Normal 5 4 7 3 2" xfId="22951" xr:uid="{DA082C82-57A4-40C6-8BFB-B5219EC2C8E5}"/>
    <cellStyle name="Normal 5 4 7 3 3" xfId="31397" xr:uid="{CB626967-3FD5-4151-9ED2-B3FA2F564CD1}"/>
    <cellStyle name="Normal 5 4 7 3 4" xfId="14510" xr:uid="{1BF2B849-69F9-4B82-AA19-DAE5197A279C}"/>
    <cellStyle name="Normal 5 4 7 4" xfId="18733" xr:uid="{A214672E-7F8D-493D-A59B-A8DE150749BE}"/>
    <cellStyle name="Normal 5 4 7 5" xfId="27178" xr:uid="{35120FA3-B76F-437B-A1AC-1BB4EEFF7A6E}"/>
    <cellStyle name="Normal 5 4 7 6" xfId="10292" xr:uid="{1F78EFBA-C33D-4300-8302-7EB0172F9B22}"/>
    <cellStyle name="Normal 5 4 8" xfId="2174" xr:uid="{00000000-0005-0000-0000-0000461B0000}"/>
    <cellStyle name="Normal 5 4 8 2" xfId="4403" xr:uid="{00000000-0005-0000-0000-0000471B0000}"/>
    <cellStyle name="Normal 5 4 8 2 2" xfId="8626" xr:uid="{00000000-0005-0000-0000-0000481B0000}"/>
    <cellStyle name="Normal 5 4 8 2 2 2" xfId="25509" xr:uid="{85F0E8CF-90E4-4336-8CF3-143B0E92FF05}"/>
    <cellStyle name="Normal 5 4 8 2 2 3" xfId="33955" xr:uid="{4C929B96-DBB5-475A-906E-B94701274847}"/>
    <cellStyle name="Normal 5 4 8 2 2 4" xfId="17068" xr:uid="{3429B2F1-C095-48C1-AAE6-2BF1088DF4A0}"/>
    <cellStyle name="Normal 5 4 8 2 3" xfId="21291" xr:uid="{4BDB419C-7811-472B-9A0D-836A232465CD}"/>
    <cellStyle name="Normal 5 4 8 2 4" xfId="29738" xr:uid="{89D95C6C-3B4D-4580-BE86-C0172E948149}"/>
    <cellStyle name="Normal 5 4 8 2 5" xfId="12850" xr:uid="{D9C02392-0B55-432C-A198-12975DB56C6A}"/>
    <cellStyle name="Normal 5 4 8 3" xfId="6481" xr:uid="{00000000-0005-0000-0000-0000491B0000}"/>
    <cellStyle name="Normal 5 4 8 3 2" xfId="23364" xr:uid="{EF819B57-A020-4796-9F29-DC9AA2A7B7BA}"/>
    <cellStyle name="Normal 5 4 8 3 3" xfId="31810" xr:uid="{6FE0D9CC-369A-4EF6-9A34-89A9FB702C28}"/>
    <cellStyle name="Normal 5 4 8 3 4" xfId="14923" xr:uid="{8C974EC5-8739-42DC-B459-41E3621FDA1D}"/>
    <cellStyle name="Normal 5 4 8 4" xfId="19146" xr:uid="{47A2BD43-9D3B-41E8-943E-FF7083FF46BD}"/>
    <cellStyle name="Normal 5 4 8 5" xfId="27591" xr:uid="{108EDE26-AF95-4BA3-8F82-1070B5ED2758}"/>
    <cellStyle name="Normal 5 4 8 6" xfId="10705" xr:uid="{FA0263CB-0BB3-43DC-9114-435FA5AB7CD3}"/>
    <cellStyle name="Normal 5 4 9" xfId="2610" xr:uid="{00000000-0005-0000-0000-00004A1B0000}"/>
    <cellStyle name="Normal 5 4 9 2" xfId="6894" xr:uid="{00000000-0005-0000-0000-00004B1B0000}"/>
    <cellStyle name="Normal 5 4 9 2 2" xfId="23777" xr:uid="{63166F6B-72F3-4161-9DDE-EBD6EC12D5A7}"/>
    <cellStyle name="Normal 5 4 9 2 3" xfId="32223" xr:uid="{A5E49D4F-3486-4503-A3A1-2985796F2772}"/>
    <cellStyle name="Normal 5 4 9 2 4" xfId="15336" xr:uid="{19E464B4-85B3-44DD-8A68-2264F3BD3117}"/>
    <cellStyle name="Normal 5 4 9 3" xfId="19559" xr:uid="{A96878D3-003B-454F-9B47-173B4473C380}"/>
    <cellStyle name="Normal 5 4 9 4" xfId="28004" xr:uid="{C13DFFDD-1DE0-47C4-8B04-BE4BE934DEBC}"/>
    <cellStyle name="Normal 5 4 9 5" xfId="11118" xr:uid="{F8865F0F-F50F-42FC-B654-83BAEF80A75B}"/>
    <cellStyle name="Normal 5 5" xfId="464" xr:uid="{00000000-0005-0000-0000-00004C1B0000}"/>
    <cellStyle name="Normal 5 5 10" xfId="17502" xr:uid="{8B333DA8-AEE2-4334-A085-549D11758135}"/>
    <cellStyle name="Normal 5 5 11" xfId="25946" xr:uid="{FD2CD590-0A45-40C9-833B-29667F66A28B}"/>
    <cellStyle name="Normal 5 5 12" xfId="9061" xr:uid="{7AA64121-93AD-4A46-857C-9ED350B9C1AE}"/>
    <cellStyle name="Normal 5 5 2" xfId="465" xr:uid="{00000000-0005-0000-0000-00004D1B0000}"/>
    <cellStyle name="Normal 5 5 2 10" xfId="25947" xr:uid="{E137ECE0-F44F-429F-B4C9-119894A4C6B4}"/>
    <cellStyle name="Normal 5 5 2 11" xfId="9062" xr:uid="{AD6C71A1-74A1-4F34-9AB5-2348A1428AEA}"/>
    <cellStyle name="Normal 5 5 2 2" xfId="466" xr:uid="{00000000-0005-0000-0000-00004E1B0000}"/>
    <cellStyle name="Normal 5 5 2 2 10" xfId="9063" xr:uid="{306CDC47-7F05-403E-9601-9384C5764C1A}"/>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24280" xr:uid="{C41D8733-085F-4243-8E55-1167A005C960}"/>
    <cellStyle name="Normal 5 5 2 2 2 2 2 3" xfId="32726" xr:uid="{AD2B242E-63FB-4AB7-9CA3-E9B4A5A61F5B}"/>
    <cellStyle name="Normal 5 5 2 2 2 2 2 4" xfId="15839" xr:uid="{0D6814A3-0723-4499-87C2-8BFBE5C311E8}"/>
    <cellStyle name="Normal 5 5 2 2 2 2 3" xfId="20062" xr:uid="{63DCF5A4-C0CD-406B-AFC7-11649A9AD337}"/>
    <cellStyle name="Normal 5 5 2 2 2 2 4" xfId="28509" xr:uid="{28B773CB-0E68-4EC8-A64B-D921D98698CC}"/>
    <cellStyle name="Normal 5 5 2 2 2 2 5" xfId="11621" xr:uid="{7B3E2792-8DA8-48CA-ABA9-8D401531D3F6}"/>
    <cellStyle name="Normal 5 5 2 2 2 3" xfId="5252" xr:uid="{00000000-0005-0000-0000-0000521B0000}"/>
    <cellStyle name="Normal 5 5 2 2 2 3 2" xfId="22135" xr:uid="{4DA85131-0149-4007-A6A7-FDCE9F5B341F}"/>
    <cellStyle name="Normal 5 5 2 2 2 3 3" xfId="30581" xr:uid="{7E6AD7F7-D148-482C-977C-D8FA466B2CA1}"/>
    <cellStyle name="Normal 5 5 2 2 2 3 4" xfId="13694" xr:uid="{D5305254-2417-43F4-8F06-D79A7E2BB29E}"/>
    <cellStyle name="Normal 5 5 2 2 2 4" xfId="17917" xr:uid="{988415E8-6706-48D2-8977-951182874069}"/>
    <cellStyle name="Normal 5 5 2 2 2 5" xfId="26362" xr:uid="{1197D622-99B8-403F-A960-B6A1D220EE5E}"/>
    <cellStyle name="Normal 5 5 2 2 2 6" xfId="9476" xr:uid="{E3D80DF8-6CDE-4A25-824E-A6CDFFD5C9BF}"/>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24693" xr:uid="{FC053573-2DF2-4247-9C58-B89FF323FCBA}"/>
    <cellStyle name="Normal 5 5 2 2 3 2 2 3" xfId="33139" xr:uid="{97F00C60-E528-4D08-9473-7340715ED88C}"/>
    <cellStyle name="Normal 5 5 2 2 3 2 2 4" xfId="16252" xr:uid="{AAB95405-5BCC-4FBE-A3F8-0185BB655BC8}"/>
    <cellStyle name="Normal 5 5 2 2 3 2 3" xfId="20475" xr:uid="{C6F4E8CC-048E-4962-8FD0-53F542A40347}"/>
    <cellStyle name="Normal 5 5 2 2 3 2 4" xfId="28922" xr:uid="{F158E841-DDAA-488F-A281-A63BB0035CCE}"/>
    <cellStyle name="Normal 5 5 2 2 3 2 5" xfId="12034" xr:uid="{C5982BF8-2653-4DA2-8247-969988AB4F47}"/>
    <cellStyle name="Normal 5 5 2 2 3 3" xfId="5665" xr:uid="{00000000-0005-0000-0000-0000561B0000}"/>
    <cellStyle name="Normal 5 5 2 2 3 3 2" xfId="22548" xr:uid="{6C30A822-8560-4B01-8EBE-4AB248EE5D80}"/>
    <cellStyle name="Normal 5 5 2 2 3 3 3" xfId="30994" xr:uid="{1A150A24-969D-4DE5-9AE8-43129D9AECD2}"/>
    <cellStyle name="Normal 5 5 2 2 3 3 4" xfId="14107" xr:uid="{D95CBE8B-FB73-45F6-84D8-335066DE2879}"/>
    <cellStyle name="Normal 5 5 2 2 3 4" xfId="18330" xr:uid="{3D354DEF-5BF2-49C0-B9F5-10C7EDBA52BD}"/>
    <cellStyle name="Normal 5 5 2 2 3 5" xfId="26775" xr:uid="{FCD7565E-BAE5-4891-B2D6-29CA4C3A6745}"/>
    <cellStyle name="Normal 5 5 2 2 3 6" xfId="9889" xr:uid="{87888CDB-7D43-42CB-810F-D35604489589}"/>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25106" xr:uid="{0AED493C-7FFB-4F12-9CAD-D05C888ADFCE}"/>
    <cellStyle name="Normal 5 5 2 2 4 2 2 3" xfId="33552" xr:uid="{A6A2AF1C-7821-4F6C-8463-686E8B9A6C43}"/>
    <cellStyle name="Normal 5 5 2 2 4 2 2 4" xfId="16665" xr:uid="{DE99877E-CD6B-4FA4-A092-2AC8DE32B627}"/>
    <cellStyle name="Normal 5 5 2 2 4 2 3" xfId="20888" xr:uid="{415F3D43-04A1-438B-8664-053E0A827C2F}"/>
    <cellStyle name="Normal 5 5 2 2 4 2 4" xfId="29335" xr:uid="{04AB4E49-9539-4775-BEB4-90B16EA632ED}"/>
    <cellStyle name="Normal 5 5 2 2 4 2 5" xfId="12447" xr:uid="{44457D6E-D2A4-4C41-BA96-3CD0C163513D}"/>
    <cellStyle name="Normal 5 5 2 2 4 3" xfId="6078" xr:uid="{00000000-0005-0000-0000-00005A1B0000}"/>
    <cellStyle name="Normal 5 5 2 2 4 3 2" xfId="22961" xr:uid="{5D0E13BB-8537-4CF2-9F97-1CCB9E5B2A2F}"/>
    <cellStyle name="Normal 5 5 2 2 4 3 3" xfId="31407" xr:uid="{F004B10D-410D-41CC-91F3-890C418B2296}"/>
    <cellStyle name="Normal 5 5 2 2 4 3 4" xfId="14520" xr:uid="{84B787E4-E2D4-413E-B4EB-5BF4EBB49B0F}"/>
    <cellStyle name="Normal 5 5 2 2 4 4" xfId="18743" xr:uid="{02541EDD-EBF8-4CA3-ACBF-97C370E10A28}"/>
    <cellStyle name="Normal 5 5 2 2 4 5" xfId="27188" xr:uid="{A51AE9A3-098F-48AD-A381-01F267618AE7}"/>
    <cellStyle name="Normal 5 5 2 2 4 6" xfId="10302" xr:uid="{EF21559E-464D-401E-A416-863DACB5527D}"/>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25519" xr:uid="{90F96EC0-5772-4193-93C1-1F0C5C7451F3}"/>
    <cellStyle name="Normal 5 5 2 2 5 2 2 3" xfId="33965" xr:uid="{016F11DD-0953-4B63-8D02-1F872C259167}"/>
    <cellStyle name="Normal 5 5 2 2 5 2 2 4" xfId="17078" xr:uid="{57C18E80-3712-49C6-A471-B2CCCC09CCC7}"/>
    <cellStyle name="Normal 5 5 2 2 5 2 3" xfId="21301" xr:uid="{7A5ED860-3CF9-44B8-9334-338859963A72}"/>
    <cellStyle name="Normal 5 5 2 2 5 2 4" xfId="29748" xr:uid="{71DD3428-C2A1-413B-8448-50214985636C}"/>
    <cellStyle name="Normal 5 5 2 2 5 2 5" xfId="12860" xr:uid="{CE84348F-BBD8-4A20-8EAD-3E30C05211EA}"/>
    <cellStyle name="Normal 5 5 2 2 5 3" xfId="6491" xr:uid="{00000000-0005-0000-0000-00005E1B0000}"/>
    <cellStyle name="Normal 5 5 2 2 5 3 2" xfId="23374" xr:uid="{031EA5E2-4997-4AB0-9908-4F4250801167}"/>
    <cellStyle name="Normal 5 5 2 2 5 3 3" xfId="31820" xr:uid="{58AC9D1E-2308-421E-A17E-B42790866EE3}"/>
    <cellStyle name="Normal 5 5 2 2 5 3 4" xfId="14933" xr:uid="{7C4605AC-E794-4023-84EA-5F59D96AABEC}"/>
    <cellStyle name="Normal 5 5 2 2 5 4" xfId="19156" xr:uid="{36C19810-3AAC-42E8-BA81-C87AC502988B}"/>
    <cellStyle name="Normal 5 5 2 2 5 5" xfId="27601" xr:uid="{5D3285E3-25E4-48EA-9256-548A3A441956}"/>
    <cellStyle name="Normal 5 5 2 2 5 6" xfId="10715" xr:uid="{07419FF7-647B-4766-827A-E90F9A9F1C48}"/>
    <cellStyle name="Normal 5 5 2 2 6" xfId="2620" xr:uid="{00000000-0005-0000-0000-00005F1B0000}"/>
    <cellStyle name="Normal 5 5 2 2 6 2" xfId="6904" xr:uid="{00000000-0005-0000-0000-0000601B0000}"/>
    <cellStyle name="Normal 5 5 2 2 6 2 2" xfId="23787" xr:uid="{C28D509A-01F7-418C-AD54-58E6A8955A1B}"/>
    <cellStyle name="Normal 5 5 2 2 6 2 3" xfId="32233" xr:uid="{14802FF1-C3AD-434F-8CEF-A280A4E6693F}"/>
    <cellStyle name="Normal 5 5 2 2 6 2 4" xfId="15346" xr:uid="{BC1B69D9-5796-46DE-B2F6-6CBA1791DC91}"/>
    <cellStyle name="Normal 5 5 2 2 6 3" xfId="19569" xr:uid="{5173DA64-A098-4635-A6F6-500697BA5983}"/>
    <cellStyle name="Normal 5 5 2 2 6 4" xfId="28014" xr:uid="{492F2A53-17BE-4702-9989-8ED5DB763591}"/>
    <cellStyle name="Normal 5 5 2 2 6 5" xfId="11128" xr:uid="{924807F6-20A1-4A55-AC19-A33F83220CB4}"/>
    <cellStyle name="Normal 5 5 2 2 7" xfId="4839" xr:uid="{00000000-0005-0000-0000-0000611B0000}"/>
    <cellStyle name="Normal 5 5 2 2 7 2" xfId="21722" xr:uid="{D7B1C36D-C92C-418A-9CED-3BF0F1A3CF6E}"/>
    <cellStyle name="Normal 5 5 2 2 7 3" xfId="30168" xr:uid="{A2B9D573-DE64-4CED-A116-E8395D4FBCB0}"/>
    <cellStyle name="Normal 5 5 2 2 7 4" xfId="13281" xr:uid="{CE101BFD-A44B-49D1-8BB5-5D41F558D151}"/>
    <cellStyle name="Normal 5 5 2 2 8" xfId="17504" xr:uid="{632B0E72-43D4-4E48-B1AD-656034641FDC}"/>
    <cellStyle name="Normal 5 5 2 2 9" xfId="25948" xr:uid="{FE7D85A5-D3FA-418B-B49D-1BCAD2C54280}"/>
    <cellStyle name="Normal 5 5 2 3" xfId="939" xr:uid="{00000000-0005-0000-0000-0000621B0000}"/>
    <cellStyle name="Normal 5 5 2 3 2" xfId="3173" xr:uid="{00000000-0005-0000-0000-0000631B0000}"/>
    <cellStyle name="Normal 5 5 2 3 2 2" xfId="7396" xr:uid="{00000000-0005-0000-0000-0000641B0000}"/>
    <cellStyle name="Normal 5 5 2 3 2 2 2" xfId="24279" xr:uid="{A0E341D3-A85E-4D97-A685-235EB1929678}"/>
    <cellStyle name="Normal 5 5 2 3 2 2 3" xfId="32725" xr:uid="{3F34486A-AFED-404A-88C8-517FCC92A04C}"/>
    <cellStyle name="Normal 5 5 2 3 2 2 4" xfId="15838" xr:uid="{ADB4C4EE-CD42-4C52-9BA3-4D1C3931D1B4}"/>
    <cellStyle name="Normal 5 5 2 3 2 3" xfId="20061" xr:uid="{F37F71FD-EF09-43EF-8B19-ECF67BCC8DED}"/>
    <cellStyle name="Normal 5 5 2 3 2 4" xfId="28508" xr:uid="{D7297C5D-D95F-4A17-A6DE-18A445A97587}"/>
    <cellStyle name="Normal 5 5 2 3 2 5" xfId="11620" xr:uid="{5263613F-C238-4794-BCC2-ACDF7C9508EB}"/>
    <cellStyle name="Normal 5 5 2 3 3" xfId="5251" xr:uid="{00000000-0005-0000-0000-0000651B0000}"/>
    <cellStyle name="Normal 5 5 2 3 3 2" xfId="22134" xr:uid="{6165EB2A-2408-4998-824C-51FD225056E5}"/>
    <cellStyle name="Normal 5 5 2 3 3 3" xfId="30580" xr:uid="{EAD9C358-B3EF-4C8B-A82A-9ED0377D11E1}"/>
    <cellStyle name="Normal 5 5 2 3 3 4" xfId="13693" xr:uid="{CE9D937F-3949-4CC0-86EC-328F5F5E5DDA}"/>
    <cellStyle name="Normal 5 5 2 3 4" xfId="17916" xr:uid="{6CF9CA91-CCDE-4B44-9EB8-07DB9E5B22DC}"/>
    <cellStyle name="Normal 5 5 2 3 5" xfId="26361" xr:uid="{B7714CA1-7FCC-4A6B-9844-2078CBA1730C}"/>
    <cellStyle name="Normal 5 5 2 3 6" xfId="9475" xr:uid="{6B99AE09-4C17-4C75-817F-1F5B0391B41A}"/>
    <cellStyle name="Normal 5 5 2 4" xfId="1356" xr:uid="{00000000-0005-0000-0000-0000661B0000}"/>
    <cellStyle name="Normal 5 5 2 4 2" xfId="3586" xr:uid="{00000000-0005-0000-0000-0000671B0000}"/>
    <cellStyle name="Normal 5 5 2 4 2 2" xfId="7809" xr:uid="{00000000-0005-0000-0000-0000681B0000}"/>
    <cellStyle name="Normal 5 5 2 4 2 2 2" xfId="24692" xr:uid="{0CCE8E7E-50B8-4FBB-9755-C19C831AF844}"/>
    <cellStyle name="Normal 5 5 2 4 2 2 3" xfId="33138" xr:uid="{1096FE71-363E-45C3-BB11-4E55B930E34D}"/>
    <cellStyle name="Normal 5 5 2 4 2 2 4" xfId="16251" xr:uid="{FBBF8D5E-1649-4C12-BC0F-FEC76DCD3666}"/>
    <cellStyle name="Normal 5 5 2 4 2 3" xfId="20474" xr:uid="{80323215-BDF7-49B4-979C-4D0C88C28555}"/>
    <cellStyle name="Normal 5 5 2 4 2 4" xfId="28921" xr:uid="{3F78A319-3BC9-4309-966D-443635367DFD}"/>
    <cellStyle name="Normal 5 5 2 4 2 5" xfId="12033" xr:uid="{A1E9C840-4CCF-4A42-A4DD-8B6A41852A18}"/>
    <cellStyle name="Normal 5 5 2 4 3" xfId="5664" xr:uid="{00000000-0005-0000-0000-0000691B0000}"/>
    <cellStyle name="Normal 5 5 2 4 3 2" xfId="22547" xr:uid="{543DBA28-311D-466A-AC9B-0B4ADE03C42B}"/>
    <cellStyle name="Normal 5 5 2 4 3 3" xfId="30993" xr:uid="{8876F7E1-0D67-42DB-AA76-E6207C038857}"/>
    <cellStyle name="Normal 5 5 2 4 3 4" xfId="14106" xr:uid="{15A5FCE0-9642-4173-B17C-ECCE9DF08E11}"/>
    <cellStyle name="Normal 5 5 2 4 4" xfId="18329" xr:uid="{00AF588C-7AAA-46D8-B78A-037DAF4B12CF}"/>
    <cellStyle name="Normal 5 5 2 4 5" xfId="26774" xr:uid="{B4B62384-EB1F-4DEC-9675-D30967F41B59}"/>
    <cellStyle name="Normal 5 5 2 4 6" xfId="9888" xr:uid="{A8F2DE53-FC51-4862-B2C8-73CBA8FCBAC3}"/>
    <cellStyle name="Normal 5 5 2 5" xfId="1769" xr:uid="{00000000-0005-0000-0000-00006A1B0000}"/>
    <cellStyle name="Normal 5 5 2 5 2" xfId="3999" xr:uid="{00000000-0005-0000-0000-00006B1B0000}"/>
    <cellStyle name="Normal 5 5 2 5 2 2" xfId="8222" xr:uid="{00000000-0005-0000-0000-00006C1B0000}"/>
    <cellStyle name="Normal 5 5 2 5 2 2 2" xfId="25105" xr:uid="{14B5B209-7CD4-4320-BD69-A4BB22DC1DB0}"/>
    <cellStyle name="Normal 5 5 2 5 2 2 3" xfId="33551" xr:uid="{06F64B0C-2567-4485-BB19-5D977BFA044D}"/>
    <cellStyle name="Normal 5 5 2 5 2 2 4" xfId="16664" xr:uid="{4E61B5E3-BF47-4436-84F3-9938860BF06E}"/>
    <cellStyle name="Normal 5 5 2 5 2 3" xfId="20887" xr:uid="{19E59847-5188-4418-83F4-D6EFCD29BF5A}"/>
    <cellStyle name="Normal 5 5 2 5 2 4" xfId="29334" xr:uid="{0F9ECEC0-32FA-41F8-9DDE-AFF519186B1C}"/>
    <cellStyle name="Normal 5 5 2 5 2 5" xfId="12446" xr:uid="{F92C05E9-668B-45B2-BF95-91BC6418F486}"/>
    <cellStyle name="Normal 5 5 2 5 3" xfId="6077" xr:uid="{00000000-0005-0000-0000-00006D1B0000}"/>
    <cellStyle name="Normal 5 5 2 5 3 2" xfId="22960" xr:uid="{2C389CF4-8ECC-4DE4-A649-4494D4D128EB}"/>
    <cellStyle name="Normal 5 5 2 5 3 3" xfId="31406" xr:uid="{6B1CBA2A-68AB-448D-B413-006ACA6B79C4}"/>
    <cellStyle name="Normal 5 5 2 5 3 4" xfId="14519" xr:uid="{147E59BA-016B-4078-8A63-013B1D2BD158}"/>
    <cellStyle name="Normal 5 5 2 5 4" xfId="18742" xr:uid="{BE89BC34-2F5B-4EFE-BFC9-8066F34A161D}"/>
    <cellStyle name="Normal 5 5 2 5 5" xfId="27187" xr:uid="{F36FBA07-899C-4670-8DA7-D1DEA3F0C28B}"/>
    <cellStyle name="Normal 5 5 2 5 6" xfId="10301" xr:uid="{C8D05479-5A01-4A76-AD0D-DB4C585B24C4}"/>
    <cellStyle name="Normal 5 5 2 6" xfId="2183" xr:uid="{00000000-0005-0000-0000-00006E1B0000}"/>
    <cellStyle name="Normal 5 5 2 6 2" xfId="4412" xr:uid="{00000000-0005-0000-0000-00006F1B0000}"/>
    <cellStyle name="Normal 5 5 2 6 2 2" xfId="8635" xr:uid="{00000000-0005-0000-0000-0000701B0000}"/>
    <cellStyle name="Normal 5 5 2 6 2 2 2" xfId="25518" xr:uid="{26199D8A-C59B-4652-AFD9-E3D81DA732C8}"/>
    <cellStyle name="Normal 5 5 2 6 2 2 3" xfId="33964" xr:uid="{F206DA35-FB48-4562-8688-9061EDA674AE}"/>
    <cellStyle name="Normal 5 5 2 6 2 2 4" xfId="17077" xr:uid="{E359B7B3-3158-48C8-9FF5-13A1A517C9B2}"/>
    <cellStyle name="Normal 5 5 2 6 2 3" xfId="21300" xr:uid="{633232E3-CBFF-4261-B0C5-7F8E87A77700}"/>
    <cellStyle name="Normal 5 5 2 6 2 4" xfId="29747" xr:uid="{0303C23E-C03E-49E5-A6A2-F4AF9BC6DAE9}"/>
    <cellStyle name="Normal 5 5 2 6 2 5" xfId="12859" xr:uid="{B32389D6-DA30-4A2F-BE37-F68C9D66AA14}"/>
    <cellStyle name="Normal 5 5 2 6 3" xfId="6490" xr:uid="{00000000-0005-0000-0000-0000711B0000}"/>
    <cellStyle name="Normal 5 5 2 6 3 2" xfId="23373" xr:uid="{DC102A1B-1EB1-4147-8494-6DB9E1295822}"/>
    <cellStyle name="Normal 5 5 2 6 3 3" xfId="31819" xr:uid="{6CA1434C-8C08-4EC4-9A07-F055FAD3C050}"/>
    <cellStyle name="Normal 5 5 2 6 3 4" xfId="14932" xr:uid="{C131E030-91DA-4057-9CE6-AB4C9FAA55C5}"/>
    <cellStyle name="Normal 5 5 2 6 4" xfId="19155" xr:uid="{108F1A36-E5D5-442B-8A06-3043D248CBBD}"/>
    <cellStyle name="Normal 5 5 2 6 5" xfId="27600" xr:uid="{A6D8BAA6-8B23-44CF-88F1-A5EC05BCCCF8}"/>
    <cellStyle name="Normal 5 5 2 6 6" xfId="10714" xr:uid="{FE151D44-27CF-420C-A3AB-0039336F58E2}"/>
    <cellStyle name="Normal 5 5 2 7" xfId="2619" xr:uid="{00000000-0005-0000-0000-0000721B0000}"/>
    <cellStyle name="Normal 5 5 2 7 2" xfId="6903" xr:uid="{00000000-0005-0000-0000-0000731B0000}"/>
    <cellStyle name="Normal 5 5 2 7 2 2" xfId="23786" xr:uid="{53AA66B6-507D-47F5-944E-202D9959FC4F}"/>
    <cellStyle name="Normal 5 5 2 7 2 3" xfId="32232" xr:uid="{70E2E278-EC50-46D9-BE5F-296391949413}"/>
    <cellStyle name="Normal 5 5 2 7 2 4" xfId="15345" xr:uid="{4A28304B-FB9B-4B0B-8086-586810E9C631}"/>
    <cellStyle name="Normal 5 5 2 7 3" xfId="19568" xr:uid="{8F96FED0-5BC0-4B46-AE5E-316AE21BEE9A}"/>
    <cellStyle name="Normal 5 5 2 7 4" xfId="28013" xr:uid="{889D3547-1512-45B2-942E-1B40C8BE7984}"/>
    <cellStyle name="Normal 5 5 2 7 5" xfId="11127" xr:uid="{6841EEC2-94DD-445D-BE0A-1E9FBB301F3E}"/>
    <cellStyle name="Normal 5 5 2 8" xfId="4838" xr:uid="{00000000-0005-0000-0000-0000741B0000}"/>
    <cellStyle name="Normal 5 5 2 8 2" xfId="21721" xr:uid="{851773B5-4A22-4487-9B38-FEC8626A3BD4}"/>
    <cellStyle name="Normal 5 5 2 8 3" xfId="30167" xr:uid="{C3EBA6B7-DFC7-43C7-82B1-69EAF036354C}"/>
    <cellStyle name="Normal 5 5 2 8 4" xfId="13280" xr:uid="{3D87A342-2271-43CD-B2AA-8CBCBEFB8E20}"/>
    <cellStyle name="Normal 5 5 2 9" xfId="17503" xr:uid="{C0A57833-7B9D-4E49-A0C2-6B3F5F466DBB}"/>
    <cellStyle name="Normal 5 5 3" xfId="467" xr:uid="{00000000-0005-0000-0000-0000751B0000}"/>
    <cellStyle name="Normal 5 5 3 10" xfId="9064" xr:uid="{562A302E-6F39-4A91-8CD2-157F71359636}"/>
    <cellStyle name="Normal 5 5 3 2" xfId="941" xr:uid="{00000000-0005-0000-0000-0000761B0000}"/>
    <cellStyle name="Normal 5 5 3 2 2" xfId="3175" xr:uid="{00000000-0005-0000-0000-0000771B0000}"/>
    <cellStyle name="Normal 5 5 3 2 2 2" xfId="7398" xr:uid="{00000000-0005-0000-0000-0000781B0000}"/>
    <cellStyle name="Normal 5 5 3 2 2 2 2" xfId="24281" xr:uid="{F145C389-46AE-4EE2-94A2-CEBD4E56A2E2}"/>
    <cellStyle name="Normal 5 5 3 2 2 2 3" xfId="32727" xr:uid="{D3E5B9E7-80DE-4B56-8712-895F9A8A0CB1}"/>
    <cellStyle name="Normal 5 5 3 2 2 2 4" xfId="15840" xr:uid="{339B152C-117B-401C-99FA-C50E0221AD04}"/>
    <cellStyle name="Normal 5 5 3 2 2 3" xfId="20063" xr:uid="{AEE8D30A-933B-4B3B-8E01-129B1F607F63}"/>
    <cellStyle name="Normal 5 5 3 2 2 4" xfId="28510" xr:uid="{29E57A0E-2BA2-42DA-9374-E30BB3F9F24B}"/>
    <cellStyle name="Normal 5 5 3 2 2 5" xfId="11622" xr:uid="{B815921B-07F1-40B3-902D-9322DBAF80F7}"/>
    <cellStyle name="Normal 5 5 3 2 3" xfId="5253" xr:uid="{00000000-0005-0000-0000-0000791B0000}"/>
    <cellStyle name="Normal 5 5 3 2 3 2" xfId="22136" xr:uid="{76895B01-92D8-4E3D-936D-1AC52B32D22B}"/>
    <cellStyle name="Normal 5 5 3 2 3 3" xfId="30582" xr:uid="{9A1F3681-7A33-4443-9E81-A8212E166067}"/>
    <cellStyle name="Normal 5 5 3 2 3 4" xfId="13695" xr:uid="{B89D25BF-0CDC-48C3-9820-E68FF3885749}"/>
    <cellStyle name="Normal 5 5 3 2 4" xfId="17918" xr:uid="{BC81D854-671B-4EDB-87C7-24E00BA5CB4C}"/>
    <cellStyle name="Normal 5 5 3 2 5" xfId="26363" xr:uid="{8CF4F7BC-6B3B-4BA7-8F47-A3168A962F7F}"/>
    <cellStyle name="Normal 5 5 3 2 6" xfId="9477" xr:uid="{22C79693-DBE9-455A-8C71-1273C18220ED}"/>
    <cellStyle name="Normal 5 5 3 3" xfId="1358" xr:uid="{00000000-0005-0000-0000-00007A1B0000}"/>
    <cellStyle name="Normal 5 5 3 3 2" xfId="3588" xr:uid="{00000000-0005-0000-0000-00007B1B0000}"/>
    <cellStyle name="Normal 5 5 3 3 2 2" xfId="7811" xr:uid="{00000000-0005-0000-0000-00007C1B0000}"/>
    <cellStyle name="Normal 5 5 3 3 2 2 2" xfId="24694" xr:uid="{D3F94488-3F8E-4711-96E4-8FAF9101528D}"/>
    <cellStyle name="Normal 5 5 3 3 2 2 3" xfId="33140" xr:uid="{BF2E91E1-FC7B-4827-9927-6253075524FC}"/>
    <cellStyle name="Normal 5 5 3 3 2 2 4" xfId="16253" xr:uid="{8B7621E4-5722-4236-A8C1-4BAAA5BF3046}"/>
    <cellStyle name="Normal 5 5 3 3 2 3" xfId="20476" xr:uid="{CC376EDC-6AFE-42A3-9712-95F78901D4D1}"/>
    <cellStyle name="Normal 5 5 3 3 2 4" xfId="28923" xr:uid="{51CDFE59-7C5A-4F84-9414-82C4AA4AF9F3}"/>
    <cellStyle name="Normal 5 5 3 3 2 5" xfId="12035" xr:uid="{A52234D9-D257-4B2D-97E5-57A6C217AD6D}"/>
    <cellStyle name="Normal 5 5 3 3 3" xfId="5666" xr:uid="{00000000-0005-0000-0000-00007D1B0000}"/>
    <cellStyle name="Normal 5 5 3 3 3 2" xfId="22549" xr:uid="{22C5E0C5-D537-49C5-A93C-2537EF449942}"/>
    <cellStyle name="Normal 5 5 3 3 3 3" xfId="30995" xr:uid="{CCF287D7-DDC5-4A76-9FAC-B8FA6F37C58B}"/>
    <cellStyle name="Normal 5 5 3 3 3 4" xfId="14108" xr:uid="{869FBB2E-994F-47B3-A813-1387B619917A}"/>
    <cellStyle name="Normal 5 5 3 3 4" xfId="18331" xr:uid="{F3CBC6BC-86FE-45BA-B4C8-484646DDA2BF}"/>
    <cellStyle name="Normal 5 5 3 3 5" xfId="26776" xr:uid="{A363EFB9-CFBF-46CA-BAD8-626866FE8615}"/>
    <cellStyle name="Normal 5 5 3 3 6" xfId="9890" xr:uid="{1139A18D-87C0-4336-9A27-42E96CD8B621}"/>
    <cellStyle name="Normal 5 5 3 4" xfId="1771" xr:uid="{00000000-0005-0000-0000-00007E1B0000}"/>
    <cellStyle name="Normal 5 5 3 4 2" xfId="4001" xr:uid="{00000000-0005-0000-0000-00007F1B0000}"/>
    <cellStyle name="Normal 5 5 3 4 2 2" xfId="8224" xr:uid="{00000000-0005-0000-0000-0000801B0000}"/>
    <cellStyle name="Normal 5 5 3 4 2 2 2" xfId="25107" xr:uid="{3F37E6C7-7259-4596-901D-275A76815F73}"/>
    <cellStyle name="Normal 5 5 3 4 2 2 3" xfId="33553" xr:uid="{4CD7EB6C-FD4D-4B7B-9CAD-12A9FC1D838B}"/>
    <cellStyle name="Normal 5 5 3 4 2 2 4" xfId="16666" xr:uid="{79FB5AE6-3E8E-475C-AA4E-24BD90F7B1A4}"/>
    <cellStyle name="Normal 5 5 3 4 2 3" xfId="20889" xr:uid="{6C2A3826-67DC-433F-A5E1-3F48F161F837}"/>
    <cellStyle name="Normal 5 5 3 4 2 4" xfId="29336" xr:uid="{2E439AE6-4AF7-45BE-81D2-6DF671551385}"/>
    <cellStyle name="Normal 5 5 3 4 2 5" xfId="12448" xr:uid="{24DF4464-626B-48C3-9E15-2B534111955B}"/>
    <cellStyle name="Normal 5 5 3 4 3" xfId="6079" xr:uid="{00000000-0005-0000-0000-0000811B0000}"/>
    <cellStyle name="Normal 5 5 3 4 3 2" xfId="22962" xr:uid="{A4A8BB5E-3C6F-43FB-A627-D9AC8C9396BD}"/>
    <cellStyle name="Normal 5 5 3 4 3 3" xfId="31408" xr:uid="{C57D683D-5213-4681-BBC7-FAA601D41E11}"/>
    <cellStyle name="Normal 5 5 3 4 3 4" xfId="14521" xr:uid="{95331594-8210-4121-8A60-9A3B6C639FAF}"/>
    <cellStyle name="Normal 5 5 3 4 4" xfId="18744" xr:uid="{7CB5C40E-E98E-4FE7-8F3D-AAD98489B813}"/>
    <cellStyle name="Normal 5 5 3 4 5" xfId="27189" xr:uid="{F6EA5F0D-E878-4271-AEAE-96D685C178FC}"/>
    <cellStyle name="Normal 5 5 3 4 6" xfId="10303" xr:uid="{D4DF238C-0A3D-4BBB-B340-97F50A129F0F}"/>
    <cellStyle name="Normal 5 5 3 5" xfId="2185" xr:uid="{00000000-0005-0000-0000-0000821B0000}"/>
    <cellStyle name="Normal 5 5 3 5 2" xfId="4414" xr:uid="{00000000-0005-0000-0000-0000831B0000}"/>
    <cellStyle name="Normal 5 5 3 5 2 2" xfId="8637" xr:uid="{00000000-0005-0000-0000-0000841B0000}"/>
    <cellStyle name="Normal 5 5 3 5 2 2 2" xfId="25520" xr:uid="{D606C9C9-2FE6-488D-ADA9-B76EEC6D7970}"/>
    <cellStyle name="Normal 5 5 3 5 2 2 3" xfId="33966" xr:uid="{196C6FD5-F640-4AB2-BCCF-B9C402765CEB}"/>
    <cellStyle name="Normal 5 5 3 5 2 2 4" xfId="17079" xr:uid="{BC58E45E-BA4F-468E-82A9-BA083FFB81A1}"/>
    <cellStyle name="Normal 5 5 3 5 2 3" xfId="21302" xr:uid="{B92B84B7-4924-47EC-98F2-5B91C0E65E84}"/>
    <cellStyle name="Normal 5 5 3 5 2 4" xfId="29749" xr:uid="{CC453B4D-3F9A-490E-9CA5-E539C9363E58}"/>
    <cellStyle name="Normal 5 5 3 5 2 5" xfId="12861" xr:uid="{70F7D08B-129C-434E-8A3F-ECD3132EE7C5}"/>
    <cellStyle name="Normal 5 5 3 5 3" xfId="6492" xr:uid="{00000000-0005-0000-0000-0000851B0000}"/>
    <cellStyle name="Normal 5 5 3 5 3 2" xfId="23375" xr:uid="{01578ACB-CC7F-48CB-AFA5-D6994F09FC5F}"/>
    <cellStyle name="Normal 5 5 3 5 3 3" xfId="31821" xr:uid="{2C3B9D27-9031-43F9-AAD3-BE4A3B71CAEC}"/>
    <cellStyle name="Normal 5 5 3 5 3 4" xfId="14934" xr:uid="{5A217BBB-0FFB-4103-80B1-4EDD9CD08F2A}"/>
    <cellStyle name="Normal 5 5 3 5 4" xfId="19157" xr:uid="{4CC40670-EB21-4730-A2F7-1FCD4EB28798}"/>
    <cellStyle name="Normal 5 5 3 5 5" xfId="27602" xr:uid="{C0E1220A-B692-4B7B-8546-E422449CA834}"/>
    <cellStyle name="Normal 5 5 3 5 6" xfId="10716" xr:uid="{34B1B52C-D8D1-4FE5-B722-29EDD2638573}"/>
    <cellStyle name="Normal 5 5 3 6" xfId="2621" xr:uid="{00000000-0005-0000-0000-0000861B0000}"/>
    <cellStyle name="Normal 5 5 3 6 2" xfId="6905" xr:uid="{00000000-0005-0000-0000-0000871B0000}"/>
    <cellStyle name="Normal 5 5 3 6 2 2" xfId="23788" xr:uid="{922B1BD8-2C97-475E-94D9-6888F0791BC5}"/>
    <cellStyle name="Normal 5 5 3 6 2 3" xfId="32234" xr:uid="{F3356E4E-F70F-4C20-AD80-157A101E0DB8}"/>
    <cellStyle name="Normal 5 5 3 6 2 4" xfId="15347" xr:uid="{975A82FA-436D-49E9-95E7-BE257BEEFC27}"/>
    <cellStyle name="Normal 5 5 3 6 3" xfId="19570" xr:uid="{128F95A3-5794-4501-A4F0-4F94E2437395}"/>
    <cellStyle name="Normal 5 5 3 6 4" xfId="28015" xr:uid="{AD013667-C019-41F4-AB2B-0D46C4630C11}"/>
    <cellStyle name="Normal 5 5 3 6 5" xfId="11129" xr:uid="{A873B4DA-C236-4F80-86ED-0A41AD79EADD}"/>
    <cellStyle name="Normal 5 5 3 7" xfId="4840" xr:uid="{00000000-0005-0000-0000-0000881B0000}"/>
    <cellStyle name="Normal 5 5 3 7 2" xfId="21723" xr:uid="{5BF44192-B5B1-43A7-A772-896882CF473C}"/>
    <cellStyle name="Normal 5 5 3 7 3" xfId="30169" xr:uid="{80CA9F51-0540-4494-9C41-43ECFCDD0472}"/>
    <cellStyle name="Normal 5 5 3 7 4" xfId="13282" xr:uid="{34E3430C-E052-4793-830E-8D568EE87FD8}"/>
    <cellStyle name="Normal 5 5 3 8" xfId="17505" xr:uid="{B6A563E2-5945-46D7-B305-17580AC7CAB7}"/>
    <cellStyle name="Normal 5 5 3 9" xfId="25949" xr:uid="{E7CBE64D-5CFA-40CE-B407-4ADC8C10D931}"/>
    <cellStyle name="Normal 5 5 4" xfId="938" xr:uid="{00000000-0005-0000-0000-0000891B0000}"/>
    <cellStyle name="Normal 5 5 4 2" xfId="3172" xr:uid="{00000000-0005-0000-0000-00008A1B0000}"/>
    <cellStyle name="Normal 5 5 4 2 2" xfId="7395" xr:uid="{00000000-0005-0000-0000-00008B1B0000}"/>
    <cellStyle name="Normal 5 5 4 2 2 2" xfId="24278" xr:uid="{214EEBC2-6452-4433-8082-5535A64C1097}"/>
    <cellStyle name="Normal 5 5 4 2 2 3" xfId="32724" xr:uid="{C00869F3-D7DB-47B0-BF79-0399A6B8AAE9}"/>
    <cellStyle name="Normal 5 5 4 2 2 4" xfId="15837" xr:uid="{D16B1A89-5B5B-4743-B6A6-FE49E9A75223}"/>
    <cellStyle name="Normal 5 5 4 2 3" xfId="20060" xr:uid="{D61252C0-54B0-4D21-BA51-4147E316554D}"/>
    <cellStyle name="Normal 5 5 4 2 4" xfId="28507" xr:uid="{3DCA1750-F968-49BE-9829-4D256FBE7D76}"/>
    <cellStyle name="Normal 5 5 4 2 5" xfId="11619" xr:uid="{CD06AC88-F80B-48CF-BC10-55297FA8A1D0}"/>
    <cellStyle name="Normal 5 5 4 3" xfId="5250" xr:uid="{00000000-0005-0000-0000-00008C1B0000}"/>
    <cellStyle name="Normal 5 5 4 3 2" xfId="22133" xr:uid="{11AAF67E-64F6-4E48-82D6-7F4673685501}"/>
    <cellStyle name="Normal 5 5 4 3 3" xfId="30579" xr:uid="{4037722E-9093-400D-8433-4EB4F6915E2C}"/>
    <cellStyle name="Normal 5 5 4 3 4" xfId="13692" xr:uid="{5497FC82-A51B-4A78-A0DC-2CDEE4B97EF7}"/>
    <cellStyle name="Normal 5 5 4 4" xfId="17915" xr:uid="{BC0D84E1-E031-4323-A8C0-A189D553A7FC}"/>
    <cellStyle name="Normal 5 5 4 5" xfId="26360" xr:uid="{CF0E0324-4560-4B37-9C59-D1996E4B485A}"/>
    <cellStyle name="Normal 5 5 4 6" xfId="9474" xr:uid="{EE990932-EE18-42B5-8FC7-05B83B18B967}"/>
    <cellStyle name="Normal 5 5 5" xfId="1355" xr:uid="{00000000-0005-0000-0000-00008D1B0000}"/>
    <cellStyle name="Normal 5 5 5 2" xfId="3585" xr:uid="{00000000-0005-0000-0000-00008E1B0000}"/>
    <cellStyle name="Normal 5 5 5 2 2" xfId="7808" xr:uid="{00000000-0005-0000-0000-00008F1B0000}"/>
    <cellStyle name="Normal 5 5 5 2 2 2" xfId="24691" xr:uid="{D74FA634-FA97-4B97-B308-CA1DDF3CA723}"/>
    <cellStyle name="Normal 5 5 5 2 2 3" xfId="33137" xr:uid="{2B09E198-0BAC-419E-B729-89C39E993015}"/>
    <cellStyle name="Normal 5 5 5 2 2 4" xfId="16250" xr:uid="{CE945B8F-BBEF-4812-AED5-77CB0EBC34F9}"/>
    <cellStyle name="Normal 5 5 5 2 3" xfId="20473" xr:uid="{21EF2EF5-934E-4DD1-B0DA-1F326F45E84D}"/>
    <cellStyle name="Normal 5 5 5 2 4" xfId="28920" xr:uid="{8AE3782E-286A-4942-90FE-FFA17961E8F2}"/>
    <cellStyle name="Normal 5 5 5 2 5" xfId="12032" xr:uid="{D7477FFA-8773-4073-A159-7CD8DFDCF9BD}"/>
    <cellStyle name="Normal 5 5 5 3" xfId="5663" xr:uid="{00000000-0005-0000-0000-0000901B0000}"/>
    <cellStyle name="Normal 5 5 5 3 2" xfId="22546" xr:uid="{85C74796-B1D9-47FA-A341-BA8EF8D5D57D}"/>
    <cellStyle name="Normal 5 5 5 3 3" xfId="30992" xr:uid="{96C25AAD-B10F-403E-9533-9647C6C4DFD0}"/>
    <cellStyle name="Normal 5 5 5 3 4" xfId="14105" xr:uid="{12112FE8-C1B8-4EA6-B8DE-0753191CD881}"/>
    <cellStyle name="Normal 5 5 5 4" xfId="18328" xr:uid="{ADEFE02E-A232-46AE-8C80-62B31B178F70}"/>
    <cellStyle name="Normal 5 5 5 5" xfId="26773" xr:uid="{C4679DAF-7E94-424F-99AA-597970970872}"/>
    <cellStyle name="Normal 5 5 5 6" xfId="9887" xr:uid="{E336B406-A722-4BBB-8252-E5B629DDEF20}"/>
    <cellStyle name="Normal 5 5 6" xfId="1768" xr:uid="{00000000-0005-0000-0000-0000911B0000}"/>
    <cellStyle name="Normal 5 5 6 2" xfId="3998" xr:uid="{00000000-0005-0000-0000-0000921B0000}"/>
    <cellStyle name="Normal 5 5 6 2 2" xfId="8221" xr:uid="{00000000-0005-0000-0000-0000931B0000}"/>
    <cellStyle name="Normal 5 5 6 2 2 2" xfId="25104" xr:uid="{E673A782-A7C8-4F7A-A9C5-536D82C2D911}"/>
    <cellStyle name="Normal 5 5 6 2 2 3" xfId="33550" xr:uid="{8A85E91E-F408-481D-9E5E-01B3A3FCFA14}"/>
    <cellStyle name="Normal 5 5 6 2 2 4" xfId="16663" xr:uid="{13E65D3D-D753-46B4-8032-07674F6532AE}"/>
    <cellStyle name="Normal 5 5 6 2 3" xfId="20886" xr:uid="{468E001C-CC2A-487A-8DD3-3C66592EC9BB}"/>
    <cellStyle name="Normal 5 5 6 2 4" xfId="29333" xr:uid="{F42F9365-EC6B-4767-97C7-EE20516899E6}"/>
    <cellStyle name="Normal 5 5 6 2 5" xfId="12445" xr:uid="{987A7680-9AAC-4BE5-A177-6A6207C3A63E}"/>
    <cellStyle name="Normal 5 5 6 3" xfId="6076" xr:uid="{00000000-0005-0000-0000-0000941B0000}"/>
    <cellStyle name="Normal 5 5 6 3 2" xfId="22959" xr:uid="{85559625-6EAA-4BE6-A3AE-DAB03D03AECF}"/>
    <cellStyle name="Normal 5 5 6 3 3" xfId="31405" xr:uid="{5C98DA11-59C7-4256-A17C-7A6FBEEEF0AD}"/>
    <cellStyle name="Normal 5 5 6 3 4" xfId="14518" xr:uid="{2F24F343-B74A-4AF0-8F9D-B6EAE4DA04DD}"/>
    <cellStyle name="Normal 5 5 6 4" xfId="18741" xr:uid="{5A8152FD-17B9-4184-8961-FEB015A68429}"/>
    <cellStyle name="Normal 5 5 6 5" xfId="27186" xr:uid="{3C648251-9E6F-4089-8D90-473FB3EA30A4}"/>
    <cellStyle name="Normal 5 5 6 6" xfId="10300" xr:uid="{6CA8DF8A-FE42-405B-9E9A-BF8936CDE470}"/>
    <cellStyle name="Normal 5 5 7" xfId="2182" xr:uid="{00000000-0005-0000-0000-0000951B0000}"/>
    <cellStyle name="Normal 5 5 7 2" xfId="4411" xr:uid="{00000000-0005-0000-0000-0000961B0000}"/>
    <cellStyle name="Normal 5 5 7 2 2" xfId="8634" xr:uid="{00000000-0005-0000-0000-0000971B0000}"/>
    <cellStyle name="Normal 5 5 7 2 2 2" xfId="25517" xr:uid="{C10C1BA7-B684-4566-A2A0-EF8FFAE249F8}"/>
    <cellStyle name="Normal 5 5 7 2 2 3" xfId="33963" xr:uid="{014B7C65-8453-4E8E-957E-13F58D0F2D6C}"/>
    <cellStyle name="Normal 5 5 7 2 2 4" xfId="17076" xr:uid="{E027A93F-3364-4064-B7D3-6BBF0E83C0FC}"/>
    <cellStyle name="Normal 5 5 7 2 3" xfId="21299" xr:uid="{D4E44F2B-5085-4050-9EE7-A2A0DE0B2A21}"/>
    <cellStyle name="Normal 5 5 7 2 4" xfId="29746" xr:uid="{8E6EF204-D358-4C0E-804C-0FB575D01F48}"/>
    <cellStyle name="Normal 5 5 7 2 5" xfId="12858" xr:uid="{46D5E15A-AF6B-41F7-B5EB-DE53E5C0E8F5}"/>
    <cellStyle name="Normal 5 5 7 3" xfId="6489" xr:uid="{00000000-0005-0000-0000-0000981B0000}"/>
    <cellStyle name="Normal 5 5 7 3 2" xfId="23372" xr:uid="{8383E9A8-06E6-4435-9EE6-D3F3D9C0B50C}"/>
    <cellStyle name="Normal 5 5 7 3 3" xfId="31818" xr:uid="{7B7FB383-70B2-4DDE-93D6-7264060C5544}"/>
    <cellStyle name="Normal 5 5 7 3 4" xfId="14931" xr:uid="{A96A8A1B-FD3E-4FAE-9562-2DC8B28AB26A}"/>
    <cellStyle name="Normal 5 5 7 4" xfId="19154" xr:uid="{E5EC0541-D397-4CC1-9AD0-D17CE285584B}"/>
    <cellStyle name="Normal 5 5 7 5" xfId="27599" xr:uid="{8A0B144E-5D23-44DC-B607-C9517ED24E03}"/>
    <cellStyle name="Normal 5 5 7 6" xfId="10713" xr:uid="{76F1FC98-403D-4654-B270-E911D714ABB4}"/>
    <cellStyle name="Normal 5 5 8" xfId="2618" xr:uid="{00000000-0005-0000-0000-0000991B0000}"/>
    <cellStyle name="Normal 5 5 8 2" xfId="6902" xr:uid="{00000000-0005-0000-0000-00009A1B0000}"/>
    <cellStyle name="Normal 5 5 8 2 2" xfId="23785" xr:uid="{C34B28A7-A9D2-4538-8D21-C1ABE8986EB5}"/>
    <cellStyle name="Normal 5 5 8 2 3" xfId="32231" xr:uid="{7EB58904-3C74-4EA0-B0F7-12C9A869ECCF}"/>
    <cellStyle name="Normal 5 5 8 2 4" xfId="15344" xr:uid="{AF484BDF-232C-4391-AB03-A35EE1FA9A27}"/>
    <cellStyle name="Normal 5 5 8 3" xfId="19567" xr:uid="{B4378869-CF0B-4122-8F04-0E10548713FA}"/>
    <cellStyle name="Normal 5 5 8 4" xfId="28012" xr:uid="{BAFFE2F9-A390-4F32-B3E7-C913423FF262}"/>
    <cellStyle name="Normal 5 5 8 5" xfId="11126" xr:uid="{818EC494-5AB0-48A1-ACB9-8249E716BC21}"/>
    <cellStyle name="Normal 5 5 9" xfId="4837" xr:uid="{00000000-0005-0000-0000-00009B1B0000}"/>
    <cellStyle name="Normal 5 5 9 2" xfId="21720" xr:uid="{BDBE856F-8581-4AF3-9D5E-87DAD1BC0083}"/>
    <cellStyle name="Normal 5 5 9 3" xfId="30166" xr:uid="{C04B5824-9F59-4FAE-8CA4-B5083496D836}"/>
    <cellStyle name="Normal 5 5 9 4" xfId="13279" xr:uid="{2A6F1695-5452-47DB-8F18-BA6A6DC549A5}"/>
    <cellStyle name="Normal 5 6" xfId="468" xr:uid="{00000000-0005-0000-0000-00009C1B0000}"/>
    <cellStyle name="Normal 5 6 10" xfId="25950" xr:uid="{3C26677B-A1A1-4500-B31A-BF18C83C468F}"/>
    <cellStyle name="Normal 5 6 11" xfId="9065" xr:uid="{F15497AE-9554-429D-A59C-7080716CF41C}"/>
    <cellStyle name="Normal 5 6 2" xfId="469" xr:uid="{00000000-0005-0000-0000-00009D1B0000}"/>
    <cellStyle name="Normal 5 6 2 10" xfId="9066" xr:uid="{AB1373EB-A7D7-487F-8D08-62DC022DE354}"/>
    <cellStyle name="Normal 5 6 2 2" xfId="943" xr:uid="{00000000-0005-0000-0000-00009E1B0000}"/>
    <cellStyle name="Normal 5 6 2 2 2" xfId="3177" xr:uid="{00000000-0005-0000-0000-00009F1B0000}"/>
    <cellStyle name="Normal 5 6 2 2 2 2" xfId="7400" xr:uid="{00000000-0005-0000-0000-0000A01B0000}"/>
    <cellStyle name="Normal 5 6 2 2 2 2 2" xfId="24283" xr:uid="{13D9B5DE-CA8A-4234-B877-E62D2638AE6E}"/>
    <cellStyle name="Normal 5 6 2 2 2 2 3" xfId="32729" xr:uid="{16EE4DDF-66AE-4071-B832-B3230AEE9678}"/>
    <cellStyle name="Normal 5 6 2 2 2 2 4" xfId="15842" xr:uid="{E240A0B2-4872-4248-9E8B-C031F94801C9}"/>
    <cellStyle name="Normal 5 6 2 2 2 3" xfId="20065" xr:uid="{60123502-5E03-43A5-8B0D-96E27E77F882}"/>
    <cellStyle name="Normal 5 6 2 2 2 4" xfId="28512" xr:uid="{B028975A-7104-4A43-84B3-3DDA96FDB031}"/>
    <cellStyle name="Normal 5 6 2 2 2 5" xfId="11624" xr:uid="{2DAB5DF4-38E5-4F05-93C7-210E3BEFF73B}"/>
    <cellStyle name="Normal 5 6 2 2 3" xfId="5255" xr:uid="{00000000-0005-0000-0000-0000A11B0000}"/>
    <cellStyle name="Normal 5 6 2 2 3 2" xfId="22138" xr:uid="{AE855B06-F82B-40A7-94B1-25476863E812}"/>
    <cellStyle name="Normal 5 6 2 2 3 3" xfId="30584" xr:uid="{41F06198-C4DB-4EC3-B0AF-555345BE8BDC}"/>
    <cellStyle name="Normal 5 6 2 2 3 4" xfId="13697" xr:uid="{FD9AD0AB-36DC-45BD-B6B7-F34002C8B6AE}"/>
    <cellStyle name="Normal 5 6 2 2 4" xfId="17920" xr:uid="{16F56C71-4873-493A-B993-300F4AFA361A}"/>
    <cellStyle name="Normal 5 6 2 2 5" xfId="26365" xr:uid="{30AF23B5-CEBA-4A12-9F30-D717B0222A26}"/>
    <cellStyle name="Normal 5 6 2 2 6" xfId="9479" xr:uid="{53D8764C-940E-4296-B940-FD6538134E80}"/>
    <cellStyle name="Normal 5 6 2 3" xfId="1360" xr:uid="{00000000-0005-0000-0000-0000A21B0000}"/>
    <cellStyle name="Normal 5 6 2 3 2" xfId="3590" xr:uid="{00000000-0005-0000-0000-0000A31B0000}"/>
    <cellStyle name="Normal 5 6 2 3 2 2" xfId="7813" xr:uid="{00000000-0005-0000-0000-0000A41B0000}"/>
    <cellStyle name="Normal 5 6 2 3 2 2 2" xfId="24696" xr:uid="{29782BAE-DCBB-4E9C-8895-6AE2AAFA73EF}"/>
    <cellStyle name="Normal 5 6 2 3 2 2 3" xfId="33142" xr:uid="{E69F668B-FFBD-42EC-824C-191880A8F354}"/>
    <cellStyle name="Normal 5 6 2 3 2 2 4" xfId="16255" xr:uid="{B57E20BF-1E9D-4968-8BF3-8776DC0771B6}"/>
    <cellStyle name="Normal 5 6 2 3 2 3" xfId="20478" xr:uid="{47F6D28D-A4CB-4C9C-A054-A3EEB73ECA1E}"/>
    <cellStyle name="Normal 5 6 2 3 2 4" xfId="28925" xr:uid="{89E5DE6A-024E-4D3B-BE96-62EB92CECE34}"/>
    <cellStyle name="Normal 5 6 2 3 2 5" xfId="12037" xr:uid="{7941C5EF-2A81-4B20-9B21-E9EB1E075EFD}"/>
    <cellStyle name="Normal 5 6 2 3 3" xfId="5668" xr:uid="{00000000-0005-0000-0000-0000A51B0000}"/>
    <cellStyle name="Normal 5 6 2 3 3 2" xfId="22551" xr:uid="{BEF9E184-6870-4704-996B-A8822B81927F}"/>
    <cellStyle name="Normal 5 6 2 3 3 3" xfId="30997" xr:uid="{AF6D7ACF-8FEF-4C16-9B6B-609D86AD354C}"/>
    <cellStyle name="Normal 5 6 2 3 3 4" xfId="14110" xr:uid="{2CB76758-AD58-4BD6-99BF-CA2D140DA785}"/>
    <cellStyle name="Normal 5 6 2 3 4" xfId="18333" xr:uid="{41BF91F8-F833-486E-AF14-8238E11DC496}"/>
    <cellStyle name="Normal 5 6 2 3 5" xfId="26778" xr:uid="{C919D072-F024-4C13-A0F8-C622E981DAB9}"/>
    <cellStyle name="Normal 5 6 2 3 6" xfId="9892" xr:uid="{63D9DB94-99E1-4713-BB39-D5CF04425C86}"/>
    <cellStyle name="Normal 5 6 2 4" xfId="1773" xr:uid="{00000000-0005-0000-0000-0000A61B0000}"/>
    <cellStyle name="Normal 5 6 2 4 2" xfId="4003" xr:uid="{00000000-0005-0000-0000-0000A71B0000}"/>
    <cellStyle name="Normal 5 6 2 4 2 2" xfId="8226" xr:uid="{00000000-0005-0000-0000-0000A81B0000}"/>
    <cellStyle name="Normal 5 6 2 4 2 2 2" xfId="25109" xr:uid="{F330C3AB-A502-4DCC-8710-06AD224DA6E1}"/>
    <cellStyle name="Normal 5 6 2 4 2 2 3" xfId="33555" xr:uid="{0CD77902-CF27-4922-B550-1BDF0D8518EC}"/>
    <cellStyle name="Normal 5 6 2 4 2 2 4" xfId="16668" xr:uid="{7A65F77C-6910-445B-B208-02F3DC2E3041}"/>
    <cellStyle name="Normal 5 6 2 4 2 3" xfId="20891" xr:uid="{44774C54-D42B-49C7-A93C-66FE8000C2A1}"/>
    <cellStyle name="Normal 5 6 2 4 2 4" xfId="29338" xr:uid="{39AE8072-F2AD-485E-A60E-C3CC8DEF1C00}"/>
    <cellStyle name="Normal 5 6 2 4 2 5" xfId="12450" xr:uid="{8D0CFC4F-AC13-498E-87DC-82CC6E9004A7}"/>
    <cellStyle name="Normal 5 6 2 4 3" xfId="6081" xr:uid="{00000000-0005-0000-0000-0000A91B0000}"/>
    <cellStyle name="Normal 5 6 2 4 3 2" xfId="22964" xr:uid="{47A672F9-6EC7-47F0-A2D0-E496F6BA0C5A}"/>
    <cellStyle name="Normal 5 6 2 4 3 3" xfId="31410" xr:uid="{EC4FFB3A-9A28-4FD1-AF13-429DE517D20C}"/>
    <cellStyle name="Normal 5 6 2 4 3 4" xfId="14523" xr:uid="{989DBF45-1E0E-49BB-BCBD-778703C13D43}"/>
    <cellStyle name="Normal 5 6 2 4 4" xfId="18746" xr:uid="{AD5B1EDF-36A9-47AA-83BC-83F0E0692F86}"/>
    <cellStyle name="Normal 5 6 2 4 5" xfId="27191" xr:uid="{98C60442-0CDB-4E4D-9876-3D378C5696B7}"/>
    <cellStyle name="Normal 5 6 2 4 6" xfId="10305" xr:uid="{DC331B97-21C9-4937-A133-2A91B0319470}"/>
    <cellStyle name="Normal 5 6 2 5" xfId="2187" xr:uid="{00000000-0005-0000-0000-0000AA1B0000}"/>
    <cellStyle name="Normal 5 6 2 5 2" xfId="4416" xr:uid="{00000000-0005-0000-0000-0000AB1B0000}"/>
    <cellStyle name="Normal 5 6 2 5 2 2" xfId="8639" xr:uid="{00000000-0005-0000-0000-0000AC1B0000}"/>
    <cellStyle name="Normal 5 6 2 5 2 2 2" xfId="25522" xr:uid="{474EDBA6-821C-43FF-85C0-63552F9FDBA9}"/>
    <cellStyle name="Normal 5 6 2 5 2 2 3" xfId="33968" xr:uid="{5461582F-E10C-4119-97D0-58282190C50D}"/>
    <cellStyle name="Normal 5 6 2 5 2 2 4" xfId="17081" xr:uid="{6F93D006-B49E-4CAB-BC4F-7D029383D42E}"/>
    <cellStyle name="Normal 5 6 2 5 2 3" xfId="21304" xr:uid="{A4C4C513-6D50-43BE-9EB5-3390D2E4F35E}"/>
    <cellStyle name="Normal 5 6 2 5 2 4" xfId="29751" xr:uid="{C124C369-0617-4EA9-9803-6920CDD36BCC}"/>
    <cellStyle name="Normal 5 6 2 5 2 5" xfId="12863" xr:uid="{9DE7920A-B364-4165-A706-0CEF05A4027C}"/>
    <cellStyle name="Normal 5 6 2 5 3" xfId="6494" xr:uid="{00000000-0005-0000-0000-0000AD1B0000}"/>
    <cellStyle name="Normal 5 6 2 5 3 2" xfId="23377" xr:uid="{AE202686-8083-44FA-843A-9B50B21BA005}"/>
    <cellStyle name="Normal 5 6 2 5 3 3" xfId="31823" xr:uid="{3537DB70-5C88-4D77-8323-DE1A4281D4D1}"/>
    <cellStyle name="Normal 5 6 2 5 3 4" xfId="14936" xr:uid="{9B0ED0B9-3781-4CDB-B8E8-3C95D27B436A}"/>
    <cellStyle name="Normal 5 6 2 5 4" xfId="19159" xr:uid="{63E03E6E-E2D2-47B0-AC99-1C9BBCC90392}"/>
    <cellStyle name="Normal 5 6 2 5 5" xfId="27604" xr:uid="{96E0D0E7-E4D5-4DE8-B425-23A10984F73F}"/>
    <cellStyle name="Normal 5 6 2 5 6" xfId="10718" xr:uid="{07DFB96D-8CF1-44E6-BD89-5B9726741D18}"/>
    <cellStyle name="Normal 5 6 2 6" xfId="2623" xr:uid="{00000000-0005-0000-0000-0000AE1B0000}"/>
    <cellStyle name="Normal 5 6 2 6 2" xfId="6907" xr:uid="{00000000-0005-0000-0000-0000AF1B0000}"/>
    <cellStyle name="Normal 5 6 2 6 2 2" xfId="23790" xr:uid="{2665A9A9-EDEF-43DB-874F-128659B5A957}"/>
    <cellStyle name="Normal 5 6 2 6 2 3" xfId="32236" xr:uid="{A3CFE8EC-EA75-4C5C-B23B-6672EBCF98F4}"/>
    <cellStyle name="Normal 5 6 2 6 2 4" xfId="15349" xr:uid="{7FFCFA95-1D52-4EE7-8C05-AACD1E848FAF}"/>
    <cellStyle name="Normal 5 6 2 6 3" xfId="19572" xr:uid="{C71C8C8C-3F37-4B17-BD6F-89D593FDA339}"/>
    <cellStyle name="Normal 5 6 2 6 4" xfId="28017" xr:uid="{FF8C18CD-405E-4C4D-9027-2274B6B4020F}"/>
    <cellStyle name="Normal 5 6 2 6 5" xfId="11131" xr:uid="{8E8664FA-C899-426F-8F75-A4B9A499657D}"/>
    <cellStyle name="Normal 5 6 2 7" xfId="4842" xr:uid="{00000000-0005-0000-0000-0000B01B0000}"/>
    <cellStyle name="Normal 5 6 2 7 2" xfId="21725" xr:uid="{8AAA9686-94AB-4463-BDA7-AF6A69B145A7}"/>
    <cellStyle name="Normal 5 6 2 7 3" xfId="30171" xr:uid="{0492C0B1-CDAF-4E39-A306-49F066838FEE}"/>
    <cellStyle name="Normal 5 6 2 7 4" xfId="13284" xr:uid="{FFB4E81B-2CE6-4F1C-B2CE-6133A3A43EBE}"/>
    <cellStyle name="Normal 5 6 2 8" xfId="17507" xr:uid="{26E166E5-FB60-47A3-9F62-82633D8E93DA}"/>
    <cellStyle name="Normal 5 6 2 9" xfId="25951" xr:uid="{F1DEE82F-A2EA-441D-B9C1-822B119D1009}"/>
    <cellStyle name="Normal 5 6 3" xfId="942" xr:uid="{00000000-0005-0000-0000-0000B11B0000}"/>
    <cellStyle name="Normal 5 6 3 2" xfId="3176" xr:uid="{00000000-0005-0000-0000-0000B21B0000}"/>
    <cellStyle name="Normal 5 6 3 2 2" xfId="7399" xr:uid="{00000000-0005-0000-0000-0000B31B0000}"/>
    <cellStyle name="Normal 5 6 3 2 2 2" xfId="24282" xr:uid="{8CE8873D-F62B-4B81-B696-51F8E4263252}"/>
    <cellStyle name="Normal 5 6 3 2 2 3" xfId="32728" xr:uid="{3A5A10AD-4741-4880-820F-DF86388B5652}"/>
    <cellStyle name="Normal 5 6 3 2 2 4" xfId="15841" xr:uid="{A0D6D21B-6DDF-404A-AB6D-FFDFA1E906AD}"/>
    <cellStyle name="Normal 5 6 3 2 3" xfId="20064" xr:uid="{6B262957-56B8-4E59-942C-BE4F76F972E7}"/>
    <cellStyle name="Normal 5 6 3 2 4" xfId="28511" xr:uid="{3436DA9C-2BB2-4826-8A20-52883900A414}"/>
    <cellStyle name="Normal 5 6 3 2 5" xfId="11623" xr:uid="{9DC49768-9E4F-4C32-B53E-8749ACA9DE9D}"/>
    <cellStyle name="Normal 5 6 3 3" xfId="5254" xr:uid="{00000000-0005-0000-0000-0000B41B0000}"/>
    <cellStyle name="Normal 5 6 3 3 2" xfId="22137" xr:uid="{CA970938-FB98-412C-A71C-18D0D62C42AD}"/>
    <cellStyle name="Normal 5 6 3 3 3" xfId="30583" xr:uid="{8103DA86-24C8-4D35-A47D-CC11FFF3143E}"/>
    <cellStyle name="Normal 5 6 3 3 4" xfId="13696" xr:uid="{F3951589-38E8-491D-A488-BFC471BEED80}"/>
    <cellStyle name="Normal 5 6 3 4" xfId="17919" xr:uid="{DAEF0E85-AE88-4364-B890-FE38011182AB}"/>
    <cellStyle name="Normal 5 6 3 5" xfId="26364" xr:uid="{2541075C-50DB-4BB7-8AEB-0FF6FDC7842A}"/>
    <cellStyle name="Normal 5 6 3 6" xfId="9478" xr:uid="{C9A90A6D-B1FD-4F78-9791-7D4D6D807A1F}"/>
    <cellStyle name="Normal 5 6 4" xfId="1359" xr:uid="{00000000-0005-0000-0000-0000B51B0000}"/>
    <cellStyle name="Normal 5 6 4 2" xfId="3589" xr:uid="{00000000-0005-0000-0000-0000B61B0000}"/>
    <cellStyle name="Normal 5 6 4 2 2" xfId="7812" xr:uid="{00000000-0005-0000-0000-0000B71B0000}"/>
    <cellStyle name="Normal 5 6 4 2 2 2" xfId="24695" xr:uid="{28936660-FEAF-4BB6-9BB5-CD12F88D59EF}"/>
    <cellStyle name="Normal 5 6 4 2 2 3" xfId="33141" xr:uid="{29C204F5-1EC8-4541-9879-0A466AC2BD95}"/>
    <cellStyle name="Normal 5 6 4 2 2 4" xfId="16254" xr:uid="{6245AC2E-AE9F-454E-9F9D-25C10F4B7524}"/>
    <cellStyle name="Normal 5 6 4 2 3" xfId="20477" xr:uid="{D31D466E-D396-41B4-9A4B-4B1E8E32A750}"/>
    <cellStyle name="Normal 5 6 4 2 4" xfId="28924" xr:uid="{F4C79C77-B9F8-4EB5-BE0D-F4731D7D20B9}"/>
    <cellStyle name="Normal 5 6 4 2 5" xfId="12036" xr:uid="{E1225F21-40D2-401B-B01B-ECD768608DF8}"/>
    <cellStyle name="Normal 5 6 4 3" xfId="5667" xr:uid="{00000000-0005-0000-0000-0000B81B0000}"/>
    <cellStyle name="Normal 5 6 4 3 2" xfId="22550" xr:uid="{6D910A0C-DA8F-4B7F-B7EE-A59833357B67}"/>
    <cellStyle name="Normal 5 6 4 3 3" xfId="30996" xr:uid="{B8BDBA9E-3EB6-44C9-B047-1581C163919D}"/>
    <cellStyle name="Normal 5 6 4 3 4" xfId="14109" xr:uid="{DC0E9512-BD9F-4EBF-AEE1-47867AD210E3}"/>
    <cellStyle name="Normal 5 6 4 4" xfId="18332" xr:uid="{B5B56E7B-D564-4779-9ADE-68952E87082C}"/>
    <cellStyle name="Normal 5 6 4 5" xfId="26777" xr:uid="{3E858C8B-CA7B-4AD2-BCCA-54FF57347C0B}"/>
    <cellStyle name="Normal 5 6 4 6" xfId="9891" xr:uid="{3C75B103-FBAB-445C-BFCA-86CED33666F5}"/>
    <cellStyle name="Normal 5 6 5" xfId="1772" xr:uid="{00000000-0005-0000-0000-0000B91B0000}"/>
    <cellStyle name="Normal 5 6 5 2" xfId="4002" xr:uid="{00000000-0005-0000-0000-0000BA1B0000}"/>
    <cellStyle name="Normal 5 6 5 2 2" xfId="8225" xr:uid="{00000000-0005-0000-0000-0000BB1B0000}"/>
    <cellStyle name="Normal 5 6 5 2 2 2" xfId="25108" xr:uid="{B9EA2E2F-B140-4913-BEC1-EAB04FF734FA}"/>
    <cellStyle name="Normal 5 6 5 2 2 3" xfId="33554" xr:uid="{D6DE5A68-3AA0-4672-81C8-D5BE6A980DE9}"/>
    <cellStyle name="Normal 5 6 5 2 2 4" xfId="16667" xr:uid="{DDC9EAF5-A52E-4237-88FB-4EB67D0CB67F}"/>
    <cellStyle name="Normal 5 6 5 2 3" xfId="20890" xr:uid="{CB2154BE-A4E9-487F-9030-14F41EF90165}"/>
    <cellStyle name="Normal 5 6 5 2 4" xfId="29337" xr:uid="{400B808F-4CBE-4FC8-BAC3-D96DF8A5A683}"/>
    <cellStyle name="Normal 5 6 5 2 5" xfId="12449" xr:uid="{B11C1224-63B3-4F08-98F7-B8B732D101CC}"/>
    <cellStyle name="Normal 5 6 5 3" xfId="6080" xr:uid="{00000000-0005-0000-0000-0000BC1B0000}"/>
    <cellStyle name="Normal 5 6 5 3 2" xfId="22963" xr:uid="{1B8D5BE8-920B-4E1D-B138-B1048F05366B}"/>
    <cellStyle name="Normal 5 6 5 3 3" xfId="31409" xr:uid="{F46FD7E3-EDFF-456E-8E5D-99F48E977178}"/>
    <cellStyle name="Normal 5 6 5 3 4" xfId="14522" xr:uid="{75F5CBF5-5C34-48EF-840E-C66E3382AB94}"/>
    <cellStyle name="Normal 5 6 5 4" xfId="18745" xr:uid="{9D6AD982-B8F6-490E-9A51-6DF0411205A6}"/>
    <cellStyle name="Normal 5 6 5 5" xfId="27190" xr:uid="{96C3AA51-589A-46F0-BBA5-B517A0733179}"/>
    <cellStyle name="Normal 5 6 5 6" xfId="10304" xr:uid="{978E4994-3AA3-43DC-86FE-2F51B889E149}"/>
    <cellStyle name="Normal 5 6 6" xfId="2186" xr:uid="{00000000-0005-0000-0000-0000BD1B0000}"/>
    <cellStyle name="Normal 5 6 6 2" xfId="4415" xr:uid="{00000000-0005-0000-0000-0000BE1B0000}"/>
    <cellStyle name="Normal 5 6 6 2 2" xfId="8638" xr:uid="{00000000-0005-0000-0000-0000BF1B0000}"/>
    <cellStyle name="Normal 5 6 6 2 2 2" xfId="25521" xr:uid="{2EA8911D-8793-449F-8E0E-ABD9889993F4}"/>
    <cellStyle name="Normal 5 6 6 2 2 3" xfId="33967" xr:uid="{17018CC3-D32A-4576-A263-9B053B117EF3}"/>
    <cellStyle name="Normal 5 6 6 2 2 4" xfId="17080" xr:uid="{319672B9-1F11-4B5A-9BA9-97CD39A0CDEF}"/>
    <cellStyle name="Normal 5 6 6 2 3" xfId="21303" xr:uid="{2ED7799B-6534-45AF-9C61-CBB06D3EE994}"/>
    <cellStyle name="Normal 5 6 6 2 4" xfId="29750" xr:uid="{A5ACA7E0-14D7-4710-801F-AB46F80E7539}"/>
    <cellStyle name="Normal 5 6 6 2 5" xfId="12862" xr:uid="{E182A03D-372D-4FD3-865C-5B413585E379}"/>
    <cellStyle name="Normal 5 6 6 3" xfId="6493" xr:uid="{00000000-0005-0000-0000-0000C01B0000}"/>
    <cellStyle name="Normal 5 6 6 3 2" xfId="23376" xr:uid="{FF9BC549-F41F-4FE3-A160-2EA879EF515A}"/>
    <cellStyle name="Normal 5 6 6 3 3" xfId="31822" xr:uid="{214E5977-F799-467B-804A-38816184F780}"/>
    <cellStyle name="Normal 5 6 6 3 4" xfId="14935" xr:uid="{61258DF0-E636-4441-8A6F-9109259C51A9}"/>
    <cellStyle name="Normal 5 6 6 4" xfId="19158" xr:uid="{15EC95B7-4A2D-4761-BCE3-A0FA77E22115}"/>
    <cellStyle name="Normal 5 6 6 5" xfId="27603" xr:uid="{0EE46067-2326-44EC-83F0-B1A64A27ED5A}"/>
    <cellStyle name="Normal 5 6 6 6" xfId="10717" xr:uid="{A48E8AFA-C2DF-44D8-BC0A-96F727C2515E}"/>
    <cellStyle name="Normal 5 6 7" xfId="2622" xr:uid="{00000000-0005-0000-0000-0000C11B0000}"/>
    <cellStyle name="Normal 5 6 7 2" xfId="6906" xr:uid="{00000000-0005-0000-0000-0000C21B0000}"/>
    <cellStyle name="Normal 5 6 7 2 2" xfId="23789" xr:uid="{B3832D2C-B4EE-4008-806B-CB2280FFFF27}"/>
    <cellStyle name="Normal 5 6 7 2 3" xfId="32235" xr:uid="{8F8309EB-F30C-49F3-B55A-786EF89DFA72}"/>
    <cellStyle name="Normal 5 6 7 2 4" xfId="15348" xr:uid="{E9D1D504-E9EB-4B6B-8E1C-98F1E88B566C}"/>
    <cellStyle name="Normal 5 6 7 3" xfId="19571" xr:uid="{DDE50CF5-D11F-4ACE-990C-B62A73B2F699}"/>
    <cellStyle name="Normal 5 6 7 4" xfId="28016" xr:uid="{10315E0F-4DD3-4461-A95E-5CA6EEECB321}"/>
    <cellStyle name="Normal 5 6 7 5" xfId="11130" xr:uid="{559B5876-9CF4-46E0-98EE-B65C0C946C0B}"/>
    <cellStyle name="Normal 5 6 8" xfId="4841" xr:uid="{00000000-0005-0000-0000-0000C31B0000}"/>
    <cellStyle name="Normal 5 6 8 2" xfId="21724" xr:uid="{9FCC6AA4-B3AA-44DE-99BA-B8568B16A176}"/>
    <cellStyle name="Normal 5 6 8 3" xfId="30170" xr:uid="{2F7C0ECE-41CC-4D61-9475-0241B1D29DE5}"/>
    <cellStyle name="Normal 5 6 8 4" xfId="13283" xr:uid="{A6AFA837-155C-4F4E-A5F6-AB8908993427}"/>
    <cellStyle name="Normal 5 6 9" xfId="17506" xr:uid="{DFC73071-0DBA-4120-8BBB-F09785BBD917}"/>
    <cellStyle name="Normal 5 7" xfId="470" xr:uid="{00000000-0005-0000-0000-0000C41B0000}"/>
    <cellStyle name="Normal 5 7 10" xfId="9067" xr:uid="{1E563AED-55A7-445E-B513-FFB2281F8581}"/>
    <cellStyle name="Normal 5 7 2" xfId="944" xr:uid="{00000000-0005-0000-0000-0000C51B0000}"/>
    <cellStyle name="Normal 5 7 2 2" xfId="3178" xr:uid="{00000000-0005-0000-0000-0000C61B0000}"/>
    <cellStyle name="Normal 5 7 2 2 2" xfId="7401" xr:uid="{00000000-0005-0000-0000-0000C71B0000}"/>
    <cellStyle name="Normal 5 7 2 2 2 2" xfId="24284" xr:uid="{A0DB6316-D9F2-4F29-B5C0-D17C575DDF4F}"/>
    <cellStyle name="Normal 5 7 2 2 2 3" xfId="32730" xr:uid="{2D6AC53B-0288-4539-BE3D-A611CBD97C23}"/>
    <cellStyle name="Normal 5 7 2 2 2 4" xfId="15843" xr:uid="{F0276765-25EA-468B-9DBC-59D19FCEF01F}"/>
    <cellStyle name="Normal 5 7 2 2 3" xfId="20066" xr:uid="{C712694E-4453-431A-88C6-BFFF51279966}"/>
    <cellStyle name="Normal 5 7 2 2 4" xfId="28513" xr:uid="{FA364018-6DC6-4E8A-83A1-6461FEA50A02}"/>
    <cellStyle name="Normal 5 7 2 2 5" xfId="11625" xr:uid="{8970D0C2-8BA9-4A73-9FED-E211F25604AB}"/>
    <cellStyle name="Normal 5 7 2 3" xfId="5256" xr:uid="{00000000-0005-0000-0000-0000C81B0000}"/>
    <cellStyle name="Normal 5 7 2 3 2" xfId="22139" xr:uid="{B1A69BC7-055B-4E8A-B9E1-E6006ADE6515}"/>
    <cellStyle name="Normal 5 7 2 3 3" xfId="30585" xr:uid="{63D75FA2-5B87-4A52-8675-646AD8B5FACC}"/>
    <cellStyle name="Normal 5 7 2 3 4" xfId="13698" xr:uid="{B9317A57-8947-477A-ADFD-8FF3532DB195}"/>
    <cellStyle name="Normal 5 7 2 4" xfId="17921" xr:uid="{850406AF-A7DA-400D-A776-F7E00908EBF7}"/>
    <cellStyle name="Normal 5 7 2 5" xfId="26366" xr:uid="{FAE5D30E-E638-45F6-9EFF-0F6B6561F49C}"/>
    <cellStyle name="Normal 5 7 2 6" xfId="9480" xr:uid="{7312FCC9-58FC-4484-87B0-285DB7856546}"/>
    <cellStyle name="Normal 5 7 3" xfId="1361" xr:uid="{00000000-0005-0000-0000-0000C91B0000}"/>
    <cellStyle name="Normal 5 7 3 2" xfId="3591" xr:uid="{00000000-0005-0000-0000-0000CA1B0000}"/>
    <cellStyle name="Normal 5 7 3 2 2" xfId="7814" xr:uid="{00000000-0005-0000-0000-0000CB1B0000}"/>
    <cellStyle name="Normal 5 7 3 2 2 2" xfId="24697" xr:uid="{800B4FD9-C3E6-4337-83F3-B89CC97092E9}"/>
    <cellStyle name="Normal 5 7 3 2 2 3" xfId="33143" xr:uid="{712337A2-8A9C-4FFC-BDA9-7357C500D151}"/>
    <cellStyle name="Normal 5 7 3 2 2 4" xfId="16256" xr:uid="{CBA001BA-6F52-4AB7-A9F7-C4972255E65C}"/>
    <cellStyle name="Normal 5 7 3 2 3" xfId="20479" xr:uid="{C7201E76-70A3-4450-9D45-253ED9744012}"/>
    <cellStyle name="Normal 5 7 3 2 4" xfId="28926" xr:uid="{5854586E-4F14-4F6E-A264-5C2E9904E08C}"/>
    <cellStyle name="Normal 5 7 3 2 5" xfId="12038" xr:uid="{918BA741-69F6-4F62-82F8-ED48E510DB9A}"/>
    <cellStyle name="Normal 5 7 3 3" xfId="5669" xr:uid="{00000000-0005-0000-0000-0000CC1B0000}"/>
    <cellStyle name="Normal 5 7 3 3 2" xfId="22552" xr:uid="{E5F749C0-0109-42A9-BC73-E9CB6DD19985}"/>
    <cellStyle name="Normal 5 7 3 3 3" xfId="30998" xr:uid="{EA72AE17-3620-4E07-8536-AFEEFED7EF3A}"/>
    <cellStyle name="Normal 5 7 3 3 4" xfId="14111" xr:uid="{AAAAD5D1-320B-41D9-9103-447EA73CF7BD}"/>
    <cellStyle name="Normal 5 7 3 4" xfId="18334" xr:uid="{87FC35E5-D7CA-4AA5-956F-C1BB33DE1FC2}"/>
    <cellStyle name="Normal 5 7 3 5" xfId="26779" xr:uid="{A95726BE-67C5-420C-994B-FE37A8D7BF41}"/>
    <cellStyle name="Normal 5 7 3 6" xfId="9893" xr:uid="{D68AFD84-79BB-4CD1-A215-8DFF7A804FA6}"/>
    <cellStyle name="Normal 5 7 4" xfId="1774" xr:uid="{00000000-0005-0000-0000-0000CD1B0000}"/>
    <cellStyle name="Normal 5 7 4 2" xfId="4004" xr:uid="{00000000-0005-0000-0000-0000CE1B0000}"/>
    <cellStyle name="Normal 5 7 4 2 2" xfId="8227" xr:uid="{00000000-0005-0000-0000-0000CF1B0000}"/>
    <cellStyle name="Normal 5 7 4 2 2 2" xfId="25110" xr:uid="{41687A0F-5AFB-430B-ACC7-5A76C50F9D63}"/>
    <cellStyle name="Normal 5 7 4 2 2 3" xfId="33556" xr:uid="{B3250EC4-FEFE-494E-B00F-C29CFDD4D6FC}"/>
    <cellStyle name="Normal 5 7 4 2 2 4" xfId="16669" xr:uid="{CAE74E72-F872-4B1B-AAB7-6D2D0D469847}"/>
    <cellStyle name="Normal 5 7 4 2 3" xfId="20892" xr:uid="{18323291-181C-488F-97AA-4F6241AD6446}"/>
    <cellStyle name="Normal 5 7 4 2 4" xfId="29339" xr:uid="{D211BD0E-73BE-4CCE-872E-ACFF29A80D6F}"/>
    <cellStyle name="Normal 5 7 4 2 5" xfId="12451" xr:uid="{1C3C2390-ED24-4B30-BEEA-D38D47B157E4}"/>
    <cellStyle name="Normal 5 7 4 3" xfId="6082" xr:uid="{00000000-0005-0000-0000-0000D01B0000}"/>
    <cellStyle name="Normal 5 7 4 3 2" xfId="22965" xr:uid="{FC31E900-0D17-4564-B1FB-A5EB00B7A76D}"/>
    <cellStyle name="Normal 5 7 4 3 3" xfId="31411" xr:uid="{FDF267DA-2F0B-4E71-A3EE-3639A6A83B83}"/>
    <cellStyle name="Normal 5 7 4 3 4" xfId="14524" xr:uid="{7666EBDC-48BC-4FF8-918E-5DAD94BBE5D0}"/>
    <cellStyle name="Normal 5 7 4 4" xfId="18747" xr:uid="{07ED8867-B916-41ED-8CA4-ED50D153F814}"/>
    <cellStyle name="Normal 5 7 4 5" xfId="27192" xr:uid="{DF856841-CBC0-4A12-993C-E79FEEB4797A}"/>
    <cellStyle name="Normal 5 7 4 6" xfId="10306" xr:uid="{E3536B64-2A83-4EC8-AC08-6BD88F8F0390}"/>
    <cellStyle name="Normal 5 7 5" xfId="2188" xr:uid="{00000000-0005-0000-0000-0000D11B0000}"/>
    <cellStyle name="Normal 5 7 5 2" xfId="4417" xr:uid="{00000000-0005-0000-0000-0000D21B0000}"/>
    <cellStyle name="Normal 5 7 5 2 2" xfId="8640" xr:uid="{00000000-0005-0000-0000-0000D31B0000}"/>
    <cellStyle name="Normal 5 7 5 2 2 2" xfId="25523" xr:uid="{E4946FB0-F4AD-44BE-BCAB-17AE199FC96B}"/>
    <cellStyle name="Normal 5 7 5 2 2 3" xfId="33969" xr:uid="{FB9F83E0-9227-4174-84AC-C1B4D117E305}"/>
    <cellStyle name="Normal 5 7 5 2 2 4" xfId="17082" xr:uid="{46C9162E-DD77-4646-B545-3FAE480615DE}"/>
    <cellStyle name="Normal 5 7 5 2 3" xfId="21305" xr:uid="{95F8CC0D-F371-4304-A42B-85F8943FA335}"/>
    <cellStyle name="Normal 5 7 5 2 4" xfId="29752" xr:uid="{752545D2-DBFD-418D-80A3-7003233C91D3}"/>
    <cellStyle name="Normal 5 7 5 2 5" xfId="12864" xr:uid="{CFC6F899-3816-4C28-A71A-741D96A45708}"/>
    <cellStyle name="Normal 5 7 5 3" xfId="6495" xr:uid="{00000000-0005-0000-0000-0000D41B0000}"/>
    <cellStyle name="Normal 5 7 5 3 2" xfId="23378" xr:uid="{FC4FC2F5-E379-4C69-809E-C4C803A8BC2D}"/>
    <cellStyle name="Normal 5 7 5 3 3" xfId="31824" xr:uid="{A0F61AB9-CC8C-48F0-9B16-182AD35C20A1}"/>
    <cellStyle name="Normal 5 7 5 3 4" xfId="14937" xr:uid="{51191DBB-2F02-4D00-8460-4DAEF7914B14}"/>
    <cellStyle name="Normal 5 7 5 4" xfId="19160" xr:uid="{4629442C-50EC-481C-A6F1-1B97EF8E9338}"/>
    <cellStyle name="Normal 5 7 5 5" xfId="27605" xr:uid="{61BBF9DA-C165-4216-BD11-0BD24B19B081}"/>
    <cellStyle name="Normal 5 7 5 6" xfId="10719" xr:uid="{B285100F-B0BD-4514-AC24-BD585B744950}"/>
    <cellStyle name="Normal 5 7 6" xfId="2624" xr:uid="{00000000-0005-0000-0000-0000D51B0000}"/>
    <cellStyle name="Normal 5 7 6 2" xfId="6908" xr:uid="{00000000-0005-0000-0000-0000D61B0000}"/>
    <cellStyle name="Normal 5 7 6 2 2" xfId="23791" xr:uid="{41531B44-CFAC-4EF3-8DB0-484DE48C2198}"/>
    <cellStyle name="Normal 5 7 6 2 3" xfId="32237" xr:uid="{412E3EE2-DBFE-40FE-BE20-16CCD0A743FC}"/>
    <cellStyle name="Normal 5 7 6 2 4" xfId="15350" xr:uid="{E9B2CAA2-10DF-4F98-861A-8A46B788916F}"/>
    <cellStyle name="Normal 5 7 6 3" xfId="19573" xr:uid="{19DF6331-F80B-4803-8F86-87D8433E1FD6}"/>
    <cellStyle name="Normal 5 7 6 4" xfId="28018" xr:uid="{BD5AC213-EF7F-4C4B-B4BB-7B8677D33C47}"/>
    <cellStyle name="Normal 5 7 6 5" xfId="11132" xr:uid="{B4F049E9-0781-4296-BD6C-7311A71720C3}"/>
    <cellStyle name="Normal 5 7 7" xfId="4843" xr:uid="{00000000-0005-0000-0000-0000D71B0000}"/>
    <cellStyle name="Normal 5 7 7 2" xfId="21726" xr:uid="{777E3234-BBFD-4BEB-959C-31F7B0E98C57}"/>
    <cellStyle name="Normal 5 7 7 3" xfId="30172" xr:uid="{F7991C2D-62C6-4F4D-B354-1E9C4FF829F5}"/>
    <cellStyle name="Normal 5 7 7 4" xfId="13285" xr:uid="{BE80E5EB-0E89-4149-BDEF-9D3B5CF1ACB6}"/>
    <cellStyle name="Normal 5 7 8" xfId="17508" xr:uid="{C5C907F9-A3E5-45A7-BA3C-9101E3F96A68}"/>
    <cellStyle name="Normal 5 7 9" xfId="25952" xr:uid="{8C2D8180-D5B2-48DB-9F69-D546A5B19BCD}"/>
    <cellStyle name="Normal 5 8" xfId="880" xr:uid="{00000000-0005-0000-0000-0000D81B0000}"/>
    <cellStyle name="Normal 5 8 2" xfId="3115" xr:uid="{00000000-0005-0000-0000-0000D91B0000}"/>
    <cellStyle name="Normal 5 8 2 2" xfId="7338" xr:uid="{00000000-0005-0000-0000-0000DA1B0000}"/>
    <cellStyle name="Normal 5 8 2 2 2" xfId="24221" xr:uid="{9966418C-1F15-43F2-8364-58AB78D5EC57}"/>
    <cellStyle name="Normal 5 8 2 2 3" xfId="32667" xr:uid="{57245A63-5BC2-471C-BA0A-57D203987D78}"/>
    <cellStyle name="Normal 5 8 2 2 4" xfId="15780" xr:uid="{5A407CD4-D922-4D64-9B3A-B438EFE2AEF3}"/>
    <cellStyle name="Normal 5 8 2 3" xfId="20003" xr:uid="{8A537F76-F8F0-42BC-A356-EA135D738E58}"/>
    <cellStyle name="Normal 5 8 2 4" xfId="28450" xr:uid="{7FAB833C-E0AF-4C29-9AA1-AE4138B7BB19}"/>
    <cellStyle name="Normal 5 8 2 5" xfId="11562" xr:uid="{D4BBCD19-3312-4CC7-8137-F625B26AAE4A}"/>
    <cellStyle name="Normal 5 8 3" xfId="5193" xr:uid="{00000000-0005-0000-0000-0000DB1B0000}"/>
    <cellStyle name="Normal 5 8 3 2" xfId="22076" xr:uid="{7935BC43-16A1-491D-A341-11A30853F182}"/>
    <cellStyle name="Normal 5 8 3 3" xfId="30522" xr:uid="{49363A18-CB09-4FB8-8D11-4CB8F2132FE3}"/>
    <cellStyle name="Normal 5 8 3 4" xfId="13635" xr:uid="{E4BEB0BF-657B-4B46-B420-D7D11E060E25}"/>
    <cellStyle name="Normal 5 8 4" xfId="17858" xr:uid="{EC085064-7BAB-4B1E-B14F-6DCF2EAC07D9}"/>
    <cellStyle name="Normal 5 8 5" xfId="26303" xr:uid="{17FD649B-B28C-4DAC-8469-32FF2B3961EF}"/>
    <cellStyle name="Normal 5 8 6" xfId="9417" xr:uid="{DB8F7E66-9272-4F81-AD67-13446CFA5D1B}"/>
    <cellStyle name="Normal 5 9" xfId="1298" xr:uid="{00000000-0005-0000-0000-0000DC1B0000}"/>
    <cellStyle name="Normal 5 9 2" xfId="3528" xr:uid="{00000000-0005-0000-0000-0000DD1B0000}"/>
    <cellStyle name="Normal 5 9 2 2" xfId="7751" xr:uid="{00000000-0005-0000-0000-0000DE1B0000}"/>
    <cellStyle name="Normal 5 9 2 2 2" xfId="24634" xr:uid="{449670F9-2B99-490A-94FF-934318F4C159}"/>
    <cellStyle name="Normal 5 9 2 2 3" xfId="33080" xr:uid="{D6F2BCD4-9D86-4F47-9CC7-9C6EBD97EF0C}"/>
    <cellStyle name="Normal 5 9 2 2 4" xfId="16193" xr:uid="{EBEE3CA0-103A-4763-A8B8-C0ABA931368B}"/>
    <cellStyle name="Normal 5 9 2 3" xfId="20416" xr:uid="{41E95040-65EC-4A96-AA5E-A7298E462645}"/>
    <cellStyle name="Normal 5 9 2 4" xfId="28863" xr:uid="{083EC0E2-A871-4D7F-A24F-A62DA8F0FACE}"/>
    <cellStyle name="Normal 5 9 2 5" xfId="11975" xr:uid="{926D7295-850F-4B35-A1F7-BD39E3D8FD0C}"/>
    <cellStyle name="Normal 5 9 3" xfId="5606" xr:uid="{00000000-0005-0000-0000-0000DF1B0000}"/>
    <cellStyle name="Normal 5 9 3 2" xfId="22489" xr:uid="{72CB06D8-2ED6-4183-8FC7-104A0D0C14EF}"/>
    <cellStyle name="Normal 5 9 3 3" xfId="30935" xr:uid="{76523404-14E9-4F77-89D1-F8EDA14E2587}"/>
    <cellStyle name="Normal 5 9 3 4" xfId="14048" xr:uid="{592DCB99-3F51-4BCC-A238-68876F481653}"/>
    <cellStyle name="Normal 5 9 4" xfId="18271" xr:uid="{1D0BB41B-61ED-4103-B572-0A1D9F4C884A}"/>
    <cellStyle name="Normal 5 9 5" xfId="26716" xr:uid="{392EC052-0272-4291-83F0-81F4A1977C6C}"/>
    <cellStyle name="Normal 5 9 6" xfId="9830" xr:uid="{DF6F32C9-3D6A-49B6-8238-E08E76921AD9}"/>
    <cellStyle name="Normal 5_Dropdowns" xfId="34217" xr:uid="{6508ECE1-C00A-4ABF-9096-2A93BACD0ABE}"/>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6 3 4" xfId="34094" xr:uid="{EFBFDEB7-4214-476C-93C0-D3B41B02D95D}"/>
    <cellStyle name="Normal 6 4" xfId="34134" xr:uid="{B90FF97C-1B88-4986-855C-1119E9BA73C8}"/>
    <cellStyle name="Normal 6_Dropdowns" xfId="34103" xr:uid="{47287ED4-5EEF-444E-AFA9-2725DAAB3CAE}"/>
    <cellStyle name="Normal 7" xfId="476" xr:uid="{00000000-0005-0000-0000-0000E51B0000}"/>
    <cellStyle name="Normal 7 2" xfId="477" xr:uid="{00000000-0005-0000-0000-0000E61B0000}"/>
    <cellStyle name="Normal 7 3" xfId="34216" xr:uid="{1CAE007A-A4F6-4A64-A6AE-8FE1397BDA49}"/>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25524" xr:uid="{19F73A1E-3555-4E6E-8812-A36FC95E1AE7}"/>
    <cellStyle name="Normal 8 10 2 2 3" xfId="33970" xr:uid="{6065299E-3FEB-41A6-86A1-3B271C79927C}"/>
    <cellStyle name="Normal 8 10 2 2 4" xfId="17083" xr:uid="{F1D05A38-C924-4E82-9EEC-96E838F29866}"/>
    <cellStyle name="Normal 8 10 2 3" xfId="21306" xr:uid="{23FA6479-9067-4330-ADB4-33576263CF22}"/>
    <cellStyle name="Normal 8 10 2 4" xfId="29753" xr:uid="{CE52B89E-F262-4CAB-9225-B26323D3BF26}"/>
    <cellStyle name="Normal 8 10 2 5" xfId="12865" xr:uid="{8A1E816A-5B74-4FA7-8CA4-6F37A221FF73}"/>
    <cellStyle name="Normal 8 10 3" xfId="6496" xr:uid="{00000000-0005-0000-0000-0000EB1B0000}"/>
    <cellStyle name="Normal 8 10 3 2" xfId="23379" xr:uid="{BC8E1C11-E9E1-4680-814D-10219DC773DF}"/>
    <cellStyle name="Normal 8 10 3 3" xfId="31825" xr:uid="{E2F6432E-28B6-4285-9D9E-BEE8E19C3BD7}"/>
    <cellStyle name="Normal 8 10 3 4" xfId="14938" xr:uid="{E14B2D65-85D7-45B9-8496-030D597CDA88}"/>
    <cellStyle name="Normal 8 10 4" xfId="19161" xr:uid="{125FAFC5-2DA6-4D2B-8002-B01E2A800887}"/>
    <cellStyle name="Normal 8 10 5" xfId="27606" xr:uid="{9EFBEF94-9BE5-4784-89F3-AF7F1DB20E8F}"/>
    <cellStyle name="Normal 8 10 6" xfId="10720" xr:uid="{41453CEA-58E4-4F54-85A4-5FF5B4C39B0C}"/>
    <cellStyle name="Normal 8 11" xfId="2625" xr:uid="{00000000-0005-0000-0000-0000EC1B0000}"/>
    <cellStyle name="Normal 8 11 2" xfId="6909" xr:uid="{00000000-0005-0000-0000-0000ED1B0000}"/>
    <cellStyle name="Normal 8 11 2 2" xfId="23792" xr:uid="{D5975BF2-FF2C-4D97-8A5C-F89164DBA1F8}"/>
    <cellStyle name="Normal 8 11 2 3" xfId="32238" xr:uid="{62FE921B-A8B1-4814-A5EB-BE83F56DFD54}"/>
    <cellStyle name="Normal 8 11 2 4" xfId="15351" xr:uid="{26F59C67-3BCE-4FF2-8E13-54779B3AF1FE}"/>
    <cellStyle name="Normal 8 11 3" xfId="19574" xr:uid="{82912D48-6546-4463-86DE-DFBF7D810148}"/>
    <cellStyle name="Normal 8 11 4" xfId="28019" xr:uid="{400E7244-97C8-4008-B9C1-1BEE42FE2224}"/>
    <cellStyle name="Normal 8 11 5" xfId="11133" xr:uid="{9E2B3390-D52B-4096-AC71-99E24A5153D0}"/>
    <cellStyle name="Normal 8 12" xfId="4844" xr:uid="{00000000-0005-0000-0000-0000EE1B0000}"/>
    <cellStyle name="Normal 8 12 2" xfId="21727" xr:uid="{B13692F2-7538-4395-A559-9BCDF5815154}"/>
    <cellStyle name="Normal 8 12 3" xfId="30173" xr:uid="{FA6D0184-ACCB-46BD-886B-D3BCF06AC075}"/>
    <cellStyle name="Normal 8 12 4" xfId="13286" xr:uid="{D4DD81EE-30DC-4696-BEE6-0D9E5B97A904}"/>
    <cellStyle name="Normal 8 13" xfId="17509" xr:uid="{45C35A58-34D6-4372-9942-E18DC73F1C42}"/>
    <cellStyle name="Normal 8 14" xfId="25954" xr:uid="{4816D303-086F-4E8B-A179-1E02DEE841F7}"/>
    <cellStyle name="Normal 8 15" xfId="9068" xr:uid="{82CD1B1A-8168-41AC-A09B-2272ACC77CA7}"/>
    <cellStyle name="Normal 8 2" xfId="479" xr:uid="{00000000-0005-0000-0000-0000EF1B0000}"/>
    <cellStyle name="Normal 8 2 10" xfId="2626" xr:uid="{00000000-0005-0000-0000-0000F01B0000}"/>
    <cellStyle name="Normal 8 2 10 2" xfId="6910" xr:uid="{00000000-0005-0000-0000-0000F11B0000}"/>
    <cellStyle name="Normal 8 2 10 2 2" xfId="23793" xr:uid="{6AC5E68A-E630-49C4-9DE8-8419B470B0C8}"/>
    <cellStyle name="Normal 8 2 10 2 3" xfId="32239" xr:uid="{A39A0C9E-1654-4FE0-9769-ECAEDE1B7443}"/>
    <cellStyle name="Normal 8 2 10 2 4" xfId="15352" xr:uid="{FC29C5E7-91D1-4B9C-9C18-C676BFCE013A}"/>
    <cellStyle name="Normal 8 2 10 3" xfId="19575" xr:uid="{910EBA80-5251-4D9B-8761-8FF2563E40A4}"/>
    <cellStyle name="Normal 8 2 10 4" xfId="28020" xr:uid="{2E55218B-C85D-41D7-B7FC-D63B7DE7A49F}"/>
    <cellStyle name="Normal 8 2 10 5" xfId="11134" xr:uid="{50B86C39-79F3-4B94-A92F-2A3263866870}"/>
    <cellStyle name="Normal 8 2 11" xfId="4845" xr:uid="{00000000-0005-0000-0000-0000F21B0000}"/>
    <cellStyle name="Normal 8 2 11 2" xfId="21728" xr:uid="{7D064DFD-E5F3-41C3-91B3-CE090FE97A7A}"/>
    <cellStyle name="Normal 8 2 11 3" xfId="30174" xr:uid="{46525453-1E0D-455F-B1F5-A5417BF1BE73}"/>
    <cellStyle name="Normal 8 2 11 4" xfId="13287" xr:uid="{AB4B0A7B-68C3-4816-A2F2-35819FF76E90}"/>
    <cellStyle name="Normal 8 2 12" xfId="17510" xr:uid="{7C138990-31DB-45EB-8386-F1CD014889B2}"/>
    <cellStyle name="Normal 8 2 13" xfId="25955" xr:uid="{F0BA5ED2-1EC0-47E4-B70D-33CA96096CCA}"/>
    <cellStyle name="Normal 8 2 14" xfId="34203" xr:uid="{F45BF649-84E8-4566-91D5-81E6E5474AAF}"/>
    <cellStyle name="Normal 8 2 15" xfId="9069" xr:uid="{6A58A84A-AB49-419C-ABCD-8333E03A127D}"/>
    <cellStyle name="Normal 8 2 2" xfId="480" xr:uid="{00000000-0005-0000-0000-0000F31B0000}"/>
    <cellStyle name="Normal 8 2 2 10" xfId="4846" xr:uid="{00000000-0005-0000-0000-0000F41B0000}"/>
    <cellStyle name="Normal 8 2 2 10 2" xfId="21729" xr:uid="{1FB371A2-19F1-407E-BDC7-6EFF388F3632}"/>
    <cellStyle name="Normal 8 2 2 10 3" xfId="30175" xr:uid="{907C371A-84A9-4B5A-8367-44A74C12081D}"/>
    <cellStyle name="Normal 8 2 2 10 4" xfId="13288" xr:uid="{2DD80EB3-C5B2-4283-9843-C082E3FE01AB}"/>
    <cellStyle name="Normal 8 2 2 11" xfId="17511" xr:uid="{B6853AD9-6744-4EB6-B500-4EDC6E9C374F}"/>
    <cellStyle name="Normal 8 2 2 12" xfId="25956" xr:uid="{476BE667-24E4-4F23-85BD-2F6F995EC73F}"/>
    <cellStyle name="Normal 8 2 2 13" xfId="9070" xr:uid="{37AEC038-3E65-4111-9A53-5C0A93BED302}"/>
    <cellStyle name="Normal 8 2 2 2" xfId="481" xr:uid="{00000000-0005-0000-0000-0000F51B0000}"/>
    <cellStyle name="Normal 8 2 2 2 10" xfId="17512" xr:uid="{741E663D-37FE-4CCF-8670-3EB48704D758}"/>
    <cellStyle name="Normal 8 2 2 2 11" xfId="25957" xr:uid="{5BD7CC8F-5E4C-4CED-B888-FF74EBC7AEE9}"/>
    <cellStyle name="Normal 8 2 2 2 12" xfId="9071" xr:uid="{4498BF75-68CA-490E-96EA-9C93DE72ECC2}"/>
    <cellStyle name="Normal 8 2 2 2 2" xfId="482" xr:uid="{00000000-0005-0000-0000-0000F61B0000}"/>
    <cellStyle name="Normal 8 2 2 2 2 10" xfId="25958" xr:uid="{F7114BC5-AE82-41D5-B125-F2D71873D4C2}"/>
    <cellStyle name="Normal 8 2 2 2 2 11" xfId="9072" xr:uid="{CB4356B8-28CF-4D78-ACC7-5C626EF65719}"/>
    <cellStyle name="Normal 8 2 2 2 2 2" xfId="483" xr:uid="{00000000-0005-0000-0000-0000F71B0000}"/>
    <cellStyle name="Normal 8 2 2 2 2 2 10" xfId="9073" xr:uid="{416C482B-249A-475D-9C1B-8F898450A7BE}"/>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24290" xr:uid="{E05D9A58-B3B7-41E2-AF71-583E173D4278}"/>
    <cellStyle name="Normal 8 2 2 2 2 2 2 2 2 3" xfId="32736" xr:uid="{1CD2BE6E-4E49-4039-81EE-A3A3DC5D0A17}"/>
    <cellStyle name="Normal 8 2 2 2 2 2 2 2 2 4" xfId="15849" xr:uid="{A6F9BABE-DEC8-49C8-BAA5-E5A56C8BBCAB}"/>
    <cellStyle name="Normal 8 2 2 2 2 2 2 2 3" xfId="20072" xr:uid="{D38F7A96-BBC8-4B3C-AA56-870466AECA0F}"/>
    <cellStyle name="Normal 8 2 2 2 2 2 2 2 4" xfId="28519" xr:uid="{7974E23F-64EB-4CEC-B775-E90E3FE7CFE1}"/>
    <cellStyle name="Normal 8 2 2 2 2 2 2 2 5" xfId="11631" xr:uid="{6E1E7E22-6547-46DE-ACDF-6FDF99604B09}"/>
    <cellStyle name="Normal 8 2 2 2 2 2 2 3" xfId="5262" xr:uid="{00000000-0005-0000-0000-0000FB1B0000}"/>
    <cellStyle name="Normal 8 2 2 2 2 2 2 3 2" xfId="22145" xr:uid="{A89A0D96-1CE6-44F3-852C-026AC47CA6BE}"/>
    <cellStyle name="Normal 8 2 2 2 2 2 2 3 3" xfId="30591" xr:uid="{25F6C0E7-B4E3-4086-B4B9-C6B844D52549}"/>
    <cellStyle name="Normal 8 2 2 2 2 2 2 3 4" xfId="13704" xr:uid="{0BE17F18-54D0-441A-B11E-69C5C1DCBEF7}"/>
    <cellStyle name="Normal 8 2 2 2 2 2 2 4" xfId="17927" xr:uid="{D81DFCCA-F2A7-4FD2-B799-D1275B0FFA89}"/>
    <cellStyle name="Normal 8 2 2 2 2 2 2 5" xfId="26372" xr:uid="{9511E08E-3675-4E02-9A8B-D4234D642E11}"/>
    <cellStyle name="Normal 8 2 2 2 2 2 2 6" xfId="9486" xr:uid="{EC1EF3A0-2A3B-4DBD-AEDA-D94D3FA16DAA}"/>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24703" xr:uid="{5977B2E9-DC16-409E-85CE-3DB6B5F72FC1}"/>
    <cellStyle name="Normal 8 2 2 2 2 2 3 2 2 3" xfId="33149" xr:uid="{7AF1396D-4EBF-4163-A80F-DD3C122AD050}"/>
    <cellStyle name="Normal 8 2 2 2 2 2 3 2 2 4" xfId="16262" xr:uid="{39B95381-B392-425D-AF43-1167F19C2D88}"/>
    <cellStyle name="Normal 8 2 2 2 2 2 3 2 3" xfId="20485" xr:uid="{0B658603-E241-4374-82AB-4E08F85C0C3C}"/>
    <cellStyle name="Normal 8 2 2 2 2 2 3 2 4" xfId="28932" xr:uid="{A99A3BA1-041F-4406-9483-0348CE861317}"/>
    <cellStyle name="Normal 8 2 2 2 2 2 3 2 5" xfId="12044" xr:uid="{620F1A36-448F-47FB-80C5-12FE5D5D89AD}"/>
    <cellStyle name="Normal 8 2 2 2 2 2 3 3" xfId="5675" xr:uid="{00000000-0005-0000-0000-0000FF1B0000}"/>
    <cellStyle name="Normal 8 2 2 2 2 2 3 3 2" xfId="22558" xr:uid="{96FA78BC-FEC9-44B9-9CEA-8B6EC77BBD0D}"/>
    <cellStyle name="Normal 8 2 2 2 2 2 3 3 3" xfId="31004" xr:uid="{D1B177B4-5AF0-41B9-B5E9-E8DB24AA4352}"/>
    <cellStyle name="Normal 8 2 2 2 2 2 3 3 4" xfId="14117" xr:uid="{A215FBE8-01AA-4895-A33F-D77E1F7DD8C5}"/>
    <cellStyle name="Normal 8 2 2 2 2 2 3 4" xfId="18340" xr:uid="{00389047-BCF7-49F2-9EDC-7623420B8813}"/>
    <cellStyle name="Normal 8 2 2 2 2 2 3 5" xfId="26785" xr:uid="{0B9EE60F-1FF3-49BE-B146-15688A94439C}"/>
    <cellStyle name="Normal 8 2 2 2 2 2 3 6" xfId="9899" xr:uid="{F87E5368-C231-4B2E-95F2-ECF57733BF9D}"/>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25116" xr:uid="{885BEBAF-8B55-475F-81C2-D23CE68E9276}"/>
    <cellStyle name="Normal 8 2 2 2 2 2 4 2 2 3" xfId="33562" xr:uid="{798589B7-09F0-4B28-A9EF-F7D81C5AAFCE}"/>
    <cellStyle name="Normal 8 2 2 2 2 2 4 2 2 4" xfId="16675" xr:uid="{381C63FA-E997-493F-B9FC-81258B946060}"/>
    <cellStyle name="Normal 8 2 2 2 2 2 4 2 3" xfId="20898" xr:uid="{3FDF73CB-DF35-4CC8-BB16-D59E61EE0330}"/>
    <cellStyle name="Normal 8 2 2 2 2 2 4 2 4" xfId="29345" xr:uid="{1C45E5CA-7E35-408E-9022-35889188991A}"/>
    <cellStyle name="Normal 8 2 2 2 2 2 4 2 5" xfId="12457" xr:uid="{ADEAC612-C759-4645-8636-F29808A8DE0E}"/>
    <cellStyle name="Normal 8 2 2 2 2 2 4 3" xfId="6088" xr:uid="{00000000-0005-0000-0000-0000031C0000}"/>
    <cellStyle name="Normal 8 2 2 2 2 2 4 3 2" xfId="22971" xr:uid="{6D700327-07F4-4DF2-8316-155FC78355B2}"/>
    <cellStyle name="Normal 8 2 2 2 2 2 4 3 3" xfId="31417" xr:uid="{BFE53BA7-35E7-454C-94FE-E88BE86DEB57}"/>
    <cellStyle name="Normal 8 2 2 2 2 2 4 3 4" xfId="14530" xr:uid="{37FF04C9-AB2D-479B-87F8-11D5C2641F63}"/>
    <cellStyle name="Normal 8 2 2 2 2 2 4 4" xfId="18753" xr:uid="{ACD48B0E-5887-4E56-9D50-35497FF81A56}"/>
    <cellStyle name="Normal 8 2 2 2 2 2 4 5" xfId="27198" xr:uid="{5BD20022-D6D2-46A3-A7F5-28CFD3D750E9}"/>
    <cellStyle name="Normal 8 2 2 2 2 2 4 6" xfId="10312" xr:uid="{9E635CF2-48C0-4637-A7FF-C098A06BD102}"/>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25529" xr:uid="{D41DEF21-AD64-429E-8270-9AE1F08AAB30}"/>
    <cellStyle name="Normal 8 2 2 2 2 2 5 2 2 3" xfId="33975" xr:uid="{479A29BE-9EC0-4496-9910-4CA573CD9FDF}"/>
    <cellStyle name="Normal 8 2 2 2 2 2 5 2 2 4" xfId="17088" xr:uid="{5433C085-5B94-48E1-892C-BDB6F712618B}"/>
    <cellStyle name="Normal 8 2 2 2 2 2 5 2 3" xfId="21311" xr:uid="{664804D9-75F7-457F-ADF9-C29F7504C760}"/>
    <cellStyle name="Normal 8 2 2 2 2 2 5 2 4" xfId="29758" xr:uid="{815BB202-868F-4D74-9816-14A8076A279B}"/>
    <cellStyle name="Normal 8 2 2 2 2 2 5 2 5" xfId="12870" xr:uid="{53BAB874-F9FF-4246-8F65-746EFBC0E7C8}"/>
    <cellStyle name="Normal 8 2 2 2 2 2 5 3" xfId="6501" xr:uid="{00000000-0005-0000-0000-0000071C0000}"/>
    <cellStyle name="Normal 8 2 2 2 2 2 5 3 2" xfId="23384" xr:uid="{8E556C29-4B9B-4E9D-9C07-10DCAFFBA67A}"/>
    <cellStyle name="Normal 8 2 2 2 2 2 5 3 3" xfId="31830" xr:uid="{0B776509-C6CB-4197-83B2-0EF940D7AE8C}"/>
    <cellStyle name="Normal 8 2 2 2 2 2 5 3 4" xfId="14943" xr:uid="{89A120F6-B297-4C36-82EC-1BB580ACBEE4}"/>
    <cellStyle name="Normal 8 2 2 2 2 2 5 4" xfId="19166" xr:uid="{C61FB40A-D8C8-4D72-9F36-A57B982D9C26}"/>
    <cellStyle name="Normal 8 2 2 2 2 2 5 5" xfId="27611" xr:uid="{D758D659-9D51-43B6-97F1-26741D841E70}"/>
    <cellStyle name="Normal 8 2 2 2 2 2 5 6" xfId="10725" xr:uid="{B7976718-53B0-429D-93A5-0DE45E26EAC8}"/>
    <cellStyle name="Normal 8 2 2 2 2 2 6" xfId="2630" xr:uid="{00000000-0005-0000-0000-0000081C0000}"/>
    <cellStyle name="Normal 8 2 2 2 2 2 6 2" xfId="6914" xr:uid="{00000000-0005-0000-0000-0000091C0000}"/>
    <cellStyle name="Normal 8 2 2 2 2 2 6 2 2" xfId="23797" xr:uid="{496F6826-9719-4C6A-985B-A9E0FB1B56D2}"/>
    <cellStyle name="Normal 8 2 2 2 2 2 6 2 3" xfId="32243" xr:uid="{BC602CA2-FA50-42C2-9748-9A2CA246999E}"/>
    <cellStyle name="Normal 8 2 2 2 2 2 6 2 4" xfId="15356" xr:uid="{D89CD1E2-4116-4080-AE7D-1B99D3D7225B}"/>
    <cellStyle name="Normal 8 2 2 2 2 2 6 3" xfId="19579" xr:uid="{ACA1C051-97CE-4EC1-AEB6-B736B6B66435}"/>
    <cellStyle name="Normal 8 2 2 2 2 2 6 4" xfId="28024" xr:uid="{9DED72A1-071C-468B-BD21-803D191967E2}"/>
    <cellStyle name="Normal 8 2 2 2 2 2 6 5" xfId="11138" xr:uid="{105B8942-BA3E-4C57-8E19-7D7542483FF0}"/>
    <cellStyle name="Normal 8 2 2 2 2 2 7" xfId="4849" xr:uid="{00000000-0005-0000-0000-00000A1C0000}"/>
    <cellStyle name="Normal 8 2 2 2 2 2 7 2" xfId="21732" xr:uid="{13ED41A8-5EF9-4A4A-87FC-D3626F8F4A6C}"/>
    <cellStyle name="Normal 8 2 2 2 2 2 7 3" xfId="30178" xr:uid="{69E6D730-EA76-4E9C-8059-D818D5676D95}"/>
    <cellStyle name="Normal 8 2 2 2 2 2 7 4" xfId="13291" xr:uid="{D8A18F8F-43D4-4215-8DB1-6EB6D45B831B}"/>
    <cellStyle name="Normal 8 2 2 2 2 2 8" xfId="17514" xr:uid="{E76908E5-9380-42E6-9422-9C319A468B18}"/>
    <cellStyle name="Normal 8 2 2 2 2 2 9" xfId="25959" xr:uid="{2D454428-FBA4-4B26-B297-601B77F07C31}"/>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24289" xr:uid="{C3069663-FFDB-4621-A340-A44C04CC9B2D}"/>
    <cellStyle name="Normal 8 2 2 2 2 3 2 2 3" xfId="32735" xr:uid="{FE340AF1-B0A3-4090-A135-682FFEDBA833}"/>
    <cellStyle name="Normal 8 2 2 2 2 3 2 2 4" xfId="15848" xr:uid="{4CDDAF38-195E-4DDD-877A-39B7790CDDD4}"/>
    <cellStyle name="Normal 8 2 2 2 2 3 2 3" xfId="20071" xr:uid="{A0117DCC-9699-4AF3-A598-17E662D9A9C7}"/>
    <cellStyle name="Normal 8 2 2 2 2 3 2 4" xfId="28518" xr:uid="{8D8FAB38-B16F-41C6-8077-BFB6B5CFA229}"/>
    <cellStyle name="Normal 8 2 2 2 2 3 2 5" xfId="11630" xr:uid="{82645656-44D1-4EF6-80A1-1AD698CFD908}"/>
    <cellStyle name="Normal 8 2 2 2 2 3 3" xfId="5261" xr:uid="{00000000-0005-0000-0000-00000E1C0000}"/>
    <cellStyle name="Normal 8 2 2 2 2 3 3 2" xfId="22144" xr:uid="{CE559BC9-B35C-4E13-8361-1F16ADD37904}"/>
    <cellStyle name="Normal 8 2 2 2 2 3 3 3" xfId="30590" xr:uid="{789A14F6-E27F-47BA-A870-444EB8742A02}"/>
    <cellStyle name="Normal 8 2 2 2 2 3 3 4" xfId="13703" xr:uid="{CDF67A88-C37A-4BC4-98CF-240892C2FDA2}"/>
    <cellStyle name="Normal 8 2 2 2 2 3 4" xfId="17926" xr:uid="{166F80CE-E9E0-4223-83B5-2F3123D35AC1}"/>
    <cellStyle name="Normal 8 2 2 2 2 3 5" xfId="26371" xr:uid="{B24D9087-F95E-43E2-AABA-5E53BDA20576}"/>
    <cellStyle name="Normal 8 2 2 2 2 3 6" xfId="9485" xr:uid="{B7DCC924-225A-4861-AEE6-3AAE668C4AB8}"/>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24702" xr:uid="{46285BCE-0C08-4994-9D5C-0106B814B79C}"/>
    <cellStyle name="Normal 8 2 2 2 2 4 2 2 3" xfId="33148" xr:uid="{4521836E-1A3B-470E-9AED-2DAFA54B76D1}"/>
    <cellStyle name="Normal 8 2 2 2 2 4 2 2 4" xfId="16261" xr:uid="{E24D4F2B-1138-4857-A309-621B36355A75}"/>
    <cellStyle name="Normal 8 2 2 2 2 4 2 3" xfId="20484" xr:uid="{90DAF52F-F505-46D5-A462-C6C398D989C0}"/>
    <cellStyle name="Normal 8 2 2 2 2 4 2 4" xfId="28931" xr:uid="{A52B1B81-0B96-4DB7-9FB6-DA3D81050A60}"/>
    <cellStyle name="Normal 8 2 2 2 2 4 2 5" xfId="12043" xr:uid="{0A2988AC-2886-49D2-92B0-6BAF37F0268F}"/>
    <cellStyle name="Normal 8 2 2 2 2 4 3" xfId="5674" xr:uid="{00000000-0005-0000-0000-0000121C0000}"/>
    <cellStyle name="Normal 8 2 2 2 2 4 3 2" xfId="22557" xr:uid="{F942EC30-8B41-44AD-83AC-72AA3B798301}"/>
    <cellStyle name="Normal 8 2 2 2 2 4 3 3" xfId="31003" xr:uid="{A4C8119B-525E-4DD8-8A36-064DA24D0F28}"/>
    <cellStyle name="Normal 8 2 2 2 2 4 3 4" xfId="14116" xr:uid="{C2DCE746-6D21-4701-A1A9-E3F5018924A4}"/>
    <cellStyle name="Normal 8 2 2 2 2 4 4" xfId="18339" xr:uid="{2451642D-CB14-4E5E-9C1C-2AABF1D0A039}"/>
    <cellStyle name="Normal 8 2 2 2 2 4 5" xfId="26784" xr:uid="{BF37D162-405D-47F3-9B28-92B51889E6C5}"/>
    <cellStyle name="Normal 8 2 2 2 2 4 6" xfId="9898" xr:uid="{FBD2138F-1738-40A5-BC9E-7DE46CE2EB72}"/>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25115" xr:uid="{26A8544D-727D-4BB7-B2D4-8BB57720B256}"/>
    <cellStyle name="Normal 8 2 2 2 2 5 2 2 3" xfId="33561" xr:uid="{835272E3-B01B-419F-BA8B-E73B27E0A8BA}"/>
    <cellStyle name="Normal 8 2 2 2 2 5 2 2 4" xfId="16674" xr:uid="{CC1E958B-1227-4202-9E8D-4FE0182A2889}"/>
    <cellStyle name="Normal 8 2 2 2 2 5 2 3" xfId="20897" xr:uid="{F9DA35FA-DC77-4779-941E-4EB2138D5B7D}"/>
    <cellStyle name="Normal 8 2 2 2 2 5 2 4" xfId="29344" xr:uid="{2D4A2B12-072C-4F60-A158-33DA23B2A1B7}"/>
    <cellStyle name="Normal 8 2 2 2 2 5 2 5" xfId="12456" xr:uid="{412F007A-F5D2-40A1-8A38-D3CA767677D7}"/>
    <cellStyle name="Normal 8 2 2 2 2 5 3" xfId="6087" xr:uid="{00000000-0005-0000-0000-0000161C0000}"/>
    <cellStyle name="Normal 8 2 2 2 2 5 3 2" xfId="22970" xr:uid="{8033A0B4-1264-42C4-AF11-F09D210ACC5E}"/>
    <cellStyle name="Normal 8 2 2 2 2 5 3 3" xfId="31416" xr:uid="{0848CBC3-DE84-45C2-97F7-F656D32F87C3}"/>
    <cellStyle name="Normal 8 2 2 2 2 5 3 4" xfId="14529" xr:uid="{0EC78094-CBC9-46B6-B32B-E73E6305B2C7}"/>
    <cellStyle name="Normal 8 2 2 2 2 5 4" xfId="18752" xr:uid="{6D3E472E-F7E0-47D1-92C7-BE31E12D6995}"/>
    <cellStyle name="Normal 8 2 2 2 2 5 5" xfId="27197" xr:uid="{DB8C3455-1AC5-4C46-B04E-5D2CDF676FCE}"/>
    <cellStyle name="Normal 8 2 2 2 2 5 6" xfId="10311" xr:uid="{F2D29BAE-47EA-448D-8DED-0693CF9F384B}"/>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25528" xr:uid="{E6C71D69-BE41-46D9-8C33-FE7EBCEFDCBD}"/>
    <cellStyle name="Normal 8 2 2 2 2 6 2 2 3" xfId="33974" xr:uid="{5B3DBE5F-8FA8-4C05-B653-37138EB01DBE}"/>
    <cellStyle name="Normal 8 2 2 2 2 6 2 2 4" xfId="17087" xr:uid="{365EBF82-949F-4A86-A407-2089E2D8E0A2}"/>
    <cellStyle name="Normal 8 2 2 2 2 6 2 3" xfId="21310" xr:uid="{F4C65830-A7A3-445C-AEC8-68BA63998E2E}"/>
    <cellStyle name="Normal 8 2 2 2 2 6 2 4" xfId="29757" xr:uid="{4D047BF9-F025-4838-AA5A-3E5BF126E1DA}"/>
    <cellStyle name="Normal 8 2 2 2 2 6 2 5" xfId="12869" xr:uid="{33C90059-66BB-4196-A028-E926C6EE9EE3}"/>
    <cellStyle name="Normal 8 2 2 2 2 6 3" xfId="6500" xr:uid="{00000000-0005-0000-0000-00001A1C0000}"/>
    <cellStyle name="Normal 8 2 2 2 2 6 3 2" xfId="23383" xr:uid="{C52B3FC5-C149-4FC9-BE80-5537C82427E0}"/>
    <cellStyle name="Normal 8 2 2 2 2 6 3 3" xfId="31829" xr:uid="{79A8641A-FD5E-43E9-885C-815F58D0A7DA}"/>
    <cellStyle name="Normal 8 2 2 2 2 6 3 4" xfId="14942" xr:uid="{7E508620-4DC4-482B-B72A-0094CA736AFC}"/>
    <cellStyle name="Normal 8 2 2 2 2 6 4" xfId="19165" xr:uid="{A60D8DB4-224A-4ACF-B388-B42724ED70F0}"/>
    <cellStyle name="Normal 8 2 2 2 2 6 5" xfId="27610" xr:uid="{388346A1-BC27-47D1-B663-F90D5A8F6280}"/>
    <cellStyle name="Normal 8 2 2 2 2 6 6" xfId="10724" xr:uid="{37D9B42C-91F8-4891-BD09-D6C83E642116}"/>
    <cellStyle name="Normal 8 2 2 2 2 7" xfId="2629" xr:uid="{00000000-0005-0000-0000-00001B1C0000}"/>
    <cellStyle name="Normal 8 2 2 2 2 7 2" xfId="6913" xr:uid="{00000000-0005-0000-0000-00001C1C0000}"/>
    <cellStyle name="Normal 8 2 2 2 2 7 2 2" xfId="23796" xr:uid="{482A43C7-50C0-4BAF-A256-86620E963C5F}"/>
    <cellStyle name="Normal 8 2 2 2 2 7 2 3" xfId="32242" xr:uid="{54843793-6FC6-4D29-94BE-EDBC296CC366}"/>
    <cellStyle name="Normal 8 2 2 2 2 7 2 4" xfId="15355" xr:uid="{FF079187-9A4F-49E6-BE78-3C9572EC7A75}"/>
    <cellStyle name="Normal 8 2 2 2 2 7 3" xfId="19578" xr:uid="{49B5549F-5569-4445-8126-CCA59E8ACA0C}"/>
    <cellStyle name="Normal 8 2 2 2 2 7 4" xfId="28023" xr:uid="{2EE45AB3-C663-46B1-82D2-9D4D4A66CCAD}"/>
    <cellStyle name="Normal 8 2 2 2 2 7 5" xfId="11137" xr:uid="{9E34A241-31EF-41A1-8A82-521B64ECA900}"/>
    <cellStyle name="Normal 8 2 2 2 2 8" xfId="4848" xr:uid="{00000000-0005-0000-0000-00001D1C0000}"/>
    <cellStyle name="Normal 8 2 2 2 2 8 2" xfId="21731" xr:uid="{6B34E514-75E0-424E-8628-280BA160CCF4}"/>
    <cellStyle name="Normal 8 2 2 2 2 8 3" xfId="30177" xr:uid="{F7DFFE23-1AA3-422C-9260-7B65BF782E2F}"/>
    <cellStyle name="Normal 8 2 2 2 2 8 4" xfId="13290" xr:uid="{351254CF-C728-40DC-B515-50292AD493B5}"/>
    <cellStyle name="Normal 8 2 2 2 2 9" xfId="17513" xr:uid="{FB3FA1FD-92C8-44E5-A3DD-9A94D280193C}"/>
    <cellStyle name="Normal 8 2 2 2 3" xfId="484" xr:uid="{00000000-0005-0000-0000-00001E1C0000}"/>
    <cellStyle name="Normal 8 2 2 2 3 10" xfId="9074" xr:uid="{1E5E389C-DC18-4731-8E91-349D6157BC1A}"/>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24291" xr:uid="{DC7EEA4E-F3E7-4213-9116-2C3D8C766DC8}"/>
    <cellStyle name="Normal 8 2 2 2 3 2 2 2 3" xfId="32737" xr:uid="{1E9D875B-5D7D-4477-B67F-7A2DE2F185B2}"/>
    <cellStyle name="Normal 8 2 2 2 3 2 2 2 4" xfId="15850" xr:uid="{D25CBAC0-3279-4809-9165-9C01F2BF9B33}"/>
    <cellStyle name="Normal 8 2 2 2 3 2 2 3" xfId="20073" xr:uid="{6DB16470-F4FA-46DA-8201-A7F51E14A635}"/>
    <cellStyle name="Normal 8 2 2 2 3 2 2 4" xfId="28520" xr:uid="{195A4830-89E7-43DA-AD41-3376776BF48D}"/>
    <cellStyle name="Normal 8 2 2 2 3 2 2 5" xfId="11632" xr:uid="{B179CD01-F0B2-45B3-A214-FFD7FFBC573D}"/>
    <cellStyle name="Normal 8 2 2 2 3 2 3" xfId="5263" xr:uid="{00000000-0005-0000-0000-0000221C0000}"/>
    <cellStyle name="Normal 8 2 2 2 3 2 3 2" xfId="22146" xr:uid="{D316ECBA-BECE-4316-A369-05C8A13F89F5}"/>
    <cellStyle name="Normal 8 2 2 2 3 2 3 3" xfId="30592" xr:uid="{FFC10011-A747-4F34-8E22-EEE8A753C3B6}"/>
    <cellStyle name="Normal 8 2 2 2 3 2 3 4" xfId="13705" xr:uid="{71368BDA-F24C-4591-8F3A-24EE512825FB}"/>
    <cellStyle name="Normal 8 2 2 2 3 2 4" xfId="17928" xr:uid="{D0EF03B5-78EF-4385-8F6D-25CEFC1F8E6C}"/>
    <cellStyle name="Normal 8 2 2 2 3 2 5" xfId="26373" xr:uid="{9F697AC4-FE32-4B93-AC5F-2739D43A26DB}"/>
    <cellStyle name="Normal 8 2 2 2 3 2 6" xfId="9487" xr:uid="{65A2BDD5-3D79-493F-827C-BB4645257FFE}"/>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24704" xr:uid="{5887AA2F-0D87-4354-8E57-A8F78637D552}"/>
    <cellStyle name="Normal 8 2 2 2 3 3 2 2 3" xfId="33150" xr:uid="{B65335C1-E0B7-41AB-B97B-1CC1E7DED6C1}"/>
    <cellStyle name="Normal 8 2 2 2 3 3 2 2 4" xfId="16263" xr:uid="{86D64073-DA78-4A5F-ACAA-6BC4191B7BD1}"/>
    <cellStyle name="Normal 8 2 2 2 3 3 2 3" xfId="20486" xr:uid="{29515E90-9FA2-49B5-90FA-B16165A4908D}"/>
    <cellStyle name="Normal 8 2 2 2 3 3 2 4" xfId="28933" xr:uid="{891FD3F7-025F-4CD2-A5E0-1880B05F89AD}"/>
    <cellStyle name="Normal 8 2 2 2 3 3 2 5" xfId="12045" xr:uid="{8A5BD2DB-21E5-4858-A4CB-FBE8FF006F9B}"/>
    <cellStyle name="Normal 8 2 2 2 3 3 3" xfId="5676" xr:uid="{00000000-0005-0000-0000-0000261C0000}"/>
    <cellStyle name="Normal 8 2 2 2 3 3 3 2" xfId="22559" xr:uid="{0652EFF8-FED2-4D2D-A8BB-258A3638FA86}"/>
    <cellStyle name="Normal 8 2 2 2 3 3 3 3" xfId="31005" xr:uid="{CF3ECC2C-6722-4ACB-88F7-905FAFBD2666}"/>
    <cellStyle name="Normal 8 2 2 2 3 3 3 4" xfId="14118" xr:uid="{9F36955E-3C11-40B0-A874-A8A4E2760862}"/>
    <cellStyle name="Normal 8 2 2 2 3 3 4" xfId="18341" xr:uid="{8CB23BFF-F178-4E57-8531-8E73438EC1C3}"/>
    <cellStyle name="Normal 8 2 2 2 3 3 5" xfId="26786" xr:uid="{22FC712D-D718-4B4F-986D-5FE09BFC3C99}"/>
    <cellStyle name="Normal 8 2 2 2 3 3 6" xfId="9900" xr:uid="{1C6290A3-7E2E-4CBD-BBE0-43BFAA1268C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25117" xr:uid="{D4913FF1-D1EE-4015-BEDE-3F9408C504EE}"/>
    <cellStyle name="Normal 8 2 2 2 3 4 2 2 3" xfId="33563" xr:uid="{DD9B03AD-E1BC-4CDC-A334-13DA97E010FE}"/>
    <cellStyle name="Normal 8 2 2 2 3 4 2 2 4" xfId="16676" xr:uid="{C3A336FB-E274-47CA-8840-A3314B0AA41B}"/>
    <cellStyle name="Normal 8 2 2 2 3 4 2 3" xfId="20899" xr:uid="{10517499-0A0B-4E11-B21C-14448BB59696}"/>
    <cellStyle name="Normal 8 2 2 2 3 4 2 4" xfId="29346" xr:uid="{A97E9D75-2EC5-4005-88E7-F3D1C3E7B1E0}"/>
    <cellStyle name="Normal 8 2 2 2 3 4 2 5" xfId="12458" xr:uid="{311D5DD5-A690-4315-A8E1-2B05765F989A}"/>
    <cellStyle name="Normal 8 2 2 2 3 4 3" xfId="6089" xr:uid="{00000000-0005-0000-0000-00002A1C0000}"/>
    <cellStyle name="Normal 8 2 2 2 3 4 3 2" xfId="22972" xr:uid="{7E2AC114-69C0-4F18-89EC-36017F8F1DA3}"/>
    <cellStyle name="Normal 8 2 2 2 3 4 3 3" xfId="31418" xr:uid="{4B416E7F-5415-4835-900C-0BFDCAA29F90}"/>
    <cellStyle name="Normal 8 2 2 2 3 4 3 4" xfId="14531" xr:uid="{0CC9B537-B472-4274-A9AE-E037F317059F}"/>
    <cellStyle name="Normal 8 2 2 2 3 4 4" xfId="18754" xr:uid="{889952D5-2713-4B21-81DE-AB8922B257C4}"/>
    <cellStyle name="Normal 8 2 2 2 3 4 5" xfId="27199" xr:uid="{D4B35FC9-B062-456B-8719-7D50C0139F25}"/>
    <cellStyle name="Normal 8 2 2 2 3 4 6" xfId="10313" xr:uid="{D34DA046-650D-4A2A-8B35-20E2B440EA4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25530" xr:uid="{6DDDBEF9-D710-4E1B-81A2-5148964D818F}"/>
    <cellStyle name="Normal 8 2 2 2 3 5 2 2 3" xfId="33976" xr:uid="{AD53B1E3-A630-4FF8-892B-375A9EB01A47}"/>
    <cellStyle name="Normal 8 2 2 2 3 5 2 2 4" xfId="17089" xr:uid="{AAD62949-FA5D-40EE-A53E-6832F79E6B2F}"/>
    <cellStyle name="Normal 8 2 2 2 3 5 2 3" xfId="21312" xr:uid="{B04FE8FB-E095-469A-9064-AD9DDA485670}"/>
    <cellStyle name="Normal 8 2 2 2 3 5 2 4" xfId="29759" xr:uid="{1D3C02D2-CA42-4E38-8F4A-3450792D6762}"/>
    <cellStyle name="Normal 8 2 2 2 3 5 2 5" xfId="12871" xr:uid="{428E6481-4603-4D59-B571-7071A14914CC}"/>
    <cellStyle name="Normal 8 2 2 2 3 5 3" xfId="6502" xr:uid="{00000000-0005-0000-0000-00002E1C0000}"/>
    <cellStyle name="Normal 8 2 2 2 3 5 3 2" xfId="23385" xr:uid="{C51CF23F-16B2-4E0D-A698-BD292CE27CFA}"/>
    <cellStyle name="Normal 8 2 2 2 3 5 3 3" xfId="31831" xr:uid="{4516951A-3042-475E-A31E-EE5E8AA9F36E}"/>
    <cellStyle name="Normal 8 2 2 2 3 5 3 4" xfId="14944" xr:uid="{78A20F8B-C99B-483B-A659-E835ED531FB9}"/>
    <cellStyle name="Normal 8 2 2 2 3 5 4" xfId="19167" xr:uid="{1B4C4B6B-F24C-4BB4-A709-23B292EBC44C}"/>
    <cellStyle name="Normal 8 2 2 2 3 5 5" xfId="27612" xr:uid="{54D88850-53AE-41C0-A427-45260D1AC019}"/>
    <cellStyle name="Normal 8 2 2 2 3 5 6" xfId="10726" xr:uid="{89D00E8F-27FA-4B31-8A49-55FD1776722F}"/>
    <cellStyle name="Normal 8 2 2 2 3 6" xfId="2631" xr:uid="{00000000-0005-0000-0000-00002F1C0000}"/>
    <cellStyle name="Normal 8 2 2 2 3 6 2" xfId="6915" xr:uid="{00000000-0005-0000-0000-0000301C0000}"/>
    <cellStyle name="Normal 8 2 2 2 3 6 2 2" xfId="23798" xr:uid="{586D9568-0383-49AA-B113-9B597F4D0EBA}"/>
    <cellStyle name="Normal 8 2 2 2 3 6 2 3" xfId="32244" xr:uid="{7D94C295-9463-46EC-94B6-A3777797305D}"/>
    <cellStyle name="Normal 8 2 2 2 3 6 2 4" xfId="15357" xr:uid="{E57E6637-7348-4C4C-AF30-68845B36985D}"/>
    <cellStyle name="Normal 8 2 2 2 3 6 3" xfId="19580" xr:uid="{BFFFD5B5-70E3-4F10-8CE1-0CA46E5E9663}"/>
    <cellStyle name="Normal 8 2 2 2 3 6 4" xfId="28025" xr:uid="{ABCED756-5A9A-4295-B966-0AD0391D124E}"/>
    <cellStyle name="Normal 8 2 2 2 3 6 5" xfId="11139" xr:uid="{BF059600-1C36-490A-AEC7-84CEE99DA2D5}"/>
    <cellStyle name="Normal 8 2 2 2 3 7" xfId="4850" xr:uid="{00000000-0005-0000-0000-0000311C0000}"/>
    <cellStyle name="Normal 8 2 2 2 3 7 2" xfId="21733" xr:uid="{31862392-3678-448E-A103-CA198752A809}"/>
    <cellStyle name="Normal 8 2 2 2 3 7 3" xfId="30179" xr:uid="{4F44BA0B-57FF-4EAC-B4B2-86EB79126981}"/>
    <cellStyle name="Normal 8 2 2 2 3 7 4" xfId="13292" xr:uid="{357148F7-6AFB-4928-96D2-6C8BBC92482D}"/>
    <cellStyle name="Normal 8 2 2 2 3 8" xfId="17515" xr:uid="{B7445BFE-E654-4598-9E45-92CEF38EC852}"/>
    <cellStyle name="Normal 8 2 2 2 3 9" xfId="25960" xr:uid="{43FDF73D-3A1A-4241-A95A-2660531E03B3}"/>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24288" xr:uid="{C82F97A5-30EA-46BB-A291-B41A2ABA25E0}"/>
    <cellStyle name="Normal 8 2 2 2 4 2 2 3" xfId="32734" xr:uid="{D6EB5524-8B1D-4676-8F9E-215A28EB80B0}"/>
    <cellStyle name="Normal 8 2 2 2 4 2 2 4" xfId="15847" xr:uid="{9A17BE4F-3020-46A4-9688-ABF642025506}"/>
    <cellStyle name="Normal 8 2 2 2 4 2 3" xfId="20070" xr:uid="{5C3420FB-6F73-4C88-B33D-FBCC4166C74B}"/>
    <cellStyle name="Normal 8 2 2 2 4 2 4" xfId="28517" xr:uid="{1D796E67-9D5D-43E5-93C2-60E194DFB376}"/>
    <cellStyle name="Normal 8 2 2 2 4 2 5" xfId="11629" xr:uid="{4B4F0BB4-EFCB-40FB-8E20-368E3863FBB4}"/>
    <cellStyle name="Normal 8 2 2 2 4 3" xfId="5260" xr:uid="{00000000-0005-0000-0000-0000351C0000}"/>
    <cellStyle name="Normal 8 2 2 2 4 3 2" xfId="22143" xr:uid="{BF3BA0E2-FB53-4FED-96E4-F9067BCC4981}"/>
    <cellStyle name="Normal 8 2 2 2 4 3 3" xfId="30589" xr:uid="{846A397D-E996-4B34-B520-8CBBEBB28B50}"/>
    <cellStyle name="Normal 8 2 2 2 4 3 4" xfId="13702" xr:uid="{438671A9-76D2-4DE0-865B-8D60CFDE8668}"/>
    <cellStyle name="Normal 8 2 2 2 4 4" xfId="17925" xr:uid="{56E511BE-BBE6-4172-8A11-09AAD5BFA4EB}"/>
    <cellStyle name="Normal 8 2 2 2 4 5" xfId="26370" xr:uid="{0152148B-F065-47FE-9DB0-2878118F67DD}"/>
    <cellStyle name="Normal 8 2 2 2 4 6" xfId="9484" xr:uid="{938706FF-6DB0-4677-96EE-747F1D1B9843}"/>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24701" xr:uid="{99B50A03-7FF3-4F83-9DFA-3C2B3692BC87}"/>
    <cellStyle name="Normal 8 2 2 2 5 2 2 3" xfId="33147" xr:uid="{810498FF-00B8-43F3-A8EC-A74CB91805A1}"/>
    <cellStyle name="Normal 8 2 2 2 5 2 2 4" xfId="16260" xr:uid="{4FDA0791-9303-4C14-9032-64D5DB8EF87F}"/>
    <cellStyle name="Normal 8 2 2 2 5 2 3" xfId="20483" xr:uid="{33F119A0-1D4A-40F2-94D6-DD9B3AAA0D8F}"/>
    <cellStyle name="Normal 8 2 2 2 5 2 4" xfId="28930" xr:uid="{2E4E8B07-B564-40A8-ADB1-6EBF9575FE70}"/>
    <cellStyle name="Normal 8 2 2 2 5 2 5" xfId="12042" xr:uid="{41A06C57-7DE0-4185-8B79-5D8F36B696CF}"/>
    <cellStyle name="Normal 8 2 2 2 5 3" xfId="5673" xr:uid="{00000000-0005-0000-0000-0000391C0000}"/>
    <cellStyle name="Normal 8 2 2 2 5 3 2" xfId="22556" xr:uid="{A6CD507D-CC38-4AF7-8F0A-C9CED005B3BA}"/>
    <cellStyle name="Normal 8 2 2 2 5 3 3" xfId="31002" xr:uid="{25EC9144-95CC-4372-8B12-6B516AC1A0F7}"/>
    <cellStyle name="Normal 8 2 2 2 5 3 4" xfId="14115" xr:uid="{9C894D02-7339-4255-AB66-03419E2BB589}"/>
    <cellStyle name="Normal 8 2 2 2 5 4" xfId="18338" xr:uid="{73CDAC75-8F14-4427-931C-060B15E95FF6}"/>
    <cellStyle name="Normal 8 2 2 2 5 5" xfId="26783" xr:uid="{1DE56B00-CF29-4479-A27F-4E376A62E4FD}"/>
    <cellStyle name="Normal 8 2 2 2 5 6" xfId="9897" xr:uid="{5FB5E834-FE54-4722-A9D2-B96373D4E536}"/>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25114" xr:uid="{C96507FA-FE55-42F2-85C0-599000AC958F}"/>
    <cellStyle name="Normal 8 2 2 2 6 2 2 3" xfId="33560" xr:uid="{A5CDC377-B198-46FD-A4E8-95D46B41085E}"/>
    <cellStyle name="Normal 8 2 2 2 6 2 2 4" xfId="16673" xr:uid="{B5213B56-3674-4F46-8B92-57095A3671F1}"/>
    <cellStyle name="Normal 8 2 2 2 6 2 3" xfId="20896" xr:uid="{0D851304-B3A5-4378-95D3-0D34AAAA0C3D}"/>
    <cellStyle name="Normal 8 2 2 2 6 2 4" xfId="29343" xr:uid="{6E6C6209-F1FC-41CF-8D09-D79996A99F37}"/>
    <cellStyle name="Normal 8 2 2 2 6 2 5" xfId="12455" xr:uid="{CA427827-6F6B-45EB-B020-CD8D72DEDE76}"/>
    <cellStyle name="Normal 8 2 2 2 6 3" xfId="6086" xr:uid="{00000000-0005-0000-0000-00003D1C0000}"/>
    <cellStyle name="Normal 8 2 2 2 6 3 2" xfId="22969" xr:uid="{ADC80D68-C216-4695-940B-B044CCBDF544}"/>
    <cellStyle name="Normal 8 2 2 2 6 3 3" xfId="31415" xr:uid="{80FF512D-8EC3-4D56-9104-9FF9983EC2FD}"/>
    <cellStyle name="Normal 8 2 2 2 6 3 4" xfId="14528" xr:uid="{C773BDC1-9EE4-410D-BD3E-C529131241FC}"/>
    <cellStyle name="Normal 8 2 2 2 6 4" xfId="18751" xr:uid="{A86487E5-E693-442A-B02B-B07E6884A4D4}"/>
    <cellStyle name="Normal 8 2 2 2 6 5" xfId="27196" xr:uid="{D0F22D21-2536-4CA0-B59F-B05C6990E238}"/>
    <cellStyle name="Normal 8 2 2 2 6 6" xfId="10310" xr:uid="{5145892F-6B85-43FB-B402-57444D8D015A}"/>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25527" xr:uid="{215C45B2-36E7-4CBD-B8C4-72DC70FC9296}"/>
    <cellStyle name="Normal 8 2 2 2 7 2 2 3" xfId="33973" xr:uid="{7C029167-6BB5-4817-A821-084241B18AF3}"/>
    <cellStyle name="Normal 8 2 2 2 7 2 2 4" xfId="17086" xr:uid="{45A7D8C1-AE6D-4FA8-9B48-31860ED9F453}"/>
    <cellStyle name="Normal 8 2 2 2 7 2 3" xfId="21309" xr:uid="{6636A117-41FD-45AE-9D07-CD1EC05E3542}"/>
    <cellStyle name="Normal 8 2 2 2 7 2 4" xfId="29756" xr:uid="{3B3AED27-CD6C-4D30-9144-55D41FCF6AA6}"/>
    <cellStyle name="Normal 8 2 2 2 7 2 5" xfId="12868" xr:uid="{EC6A05BF-93CF-40A9-A87F-28208715B197}"/>
    <cellStyle name="Normal 8 2 2 2 7 3" xfId="6499" xr:uid="{00000000-0005-0000-0000-0000411C0000}"/>
    <cellStyle name="Normal 8 2 2 2 7 3 2" xfId="23382" xr:uid="{94A394C3-11F6-4513-BBEA-4F6FEB09FD90}"/>
    <cellStyle name="Normal 8 2 2 2 7 3 3" xfId="31828" xr:uid="{44CC7B60-2382-47CD-B3CF-693AF3FDEBC6}"/>
    <cellStyle name="Normal 8 2 2 2 7 3 4" xfId="14941" xr:uid="{A0F3C951-DD3E-41D1-A5AC-862DDB8EFF47}"/>
    <cellStyle name="Normal 8 2 2 2 7 4" xfId="19164" xr:uid="{6D730B55-C533-4A58-AA29-8CCF14DF4563}"/>
    <cellStyle name="Normal 8 2 2 2 7 5" xfId="27609" xr:uid="{10F0CF10-D6B8-4AA7-890C-7E28E4BF89B2}"/>
    <cellStyle name="Normal 8 2 2 2 7 6" xfId="10723" xr:uid="{D518983E-89F2-4352-9157-975E1A23A1C5}"/>
    <cellStyle name="Normal 8 2 2 2 8" xfId="2628" xr:uid="{00000000-0005-0000-0000-0000421C0000}"/>
    <cellStyle name="Normal 8 2 2 2 8 2" xfId="6912" xr:uid="{00000000-0005-0000-0000-0000431C0000}"/>
    <cellStyle name="Normal 8 2 2 2 8 2 2" xfId="23795" xr:uid="{72AAF187-A676-42DC-B8C0-71D5BD1DBF30}"/>
    <cellStyle name="Normal 8 2 2 2 8 2 3" xfId="32241" xr:uid="{9723A477-63A5-47ED-8472-1D3923AFA8F6}"/>
    <cellStyle name="Normal 8 2 2 2 8 2 4" xfId="15354" xr:uid="{305BA641-FF08-4530-968B-1CBC9A86FFA8}"/>
    <cellStyle name="Normal 8 2 2 2 8 3" xfId="19577" xr:uid="{D052DBD7-933B-4571-8B5D-D5B67032AF3E}"/>
    <cellStyle name="Normal 8 2 2 2 8 4" xfId="28022" xr:uid="{731164D3-81CE-48F9-8415-252ACC088DE1}"/>
    <cellStyle name="Normal 8 2 2 2 8 5" xfId="11136" xr:uid="{385012BA-CF0F-4F2E-9C76-DFE51CADB5A2}"/>
    <cellStyle name="Normal 8 2 2 2 9" xfId="4847" xr:uid="{00000000-0005-0000-0000-0000441C0000}"/>
    <cellStyle name="Normal 8 2 2 2 9 2" xfId="21730" xr:uid="{AAD90EB1-A68F-44CA-A08B-88FF28DF1C69}"/>
    <cellStyle name="Normal 8 2 2 2 9 3" xfId="30176" xr:uid="{9BE1FEDF-828C-43C2-9FE7-156EB18947E9}"/>
    <cellStyle name="Normal 8 2 2 2 9 4" xfId="13289" xr:uid="{1D2CD252-973D-4D07-90E0-0E5FC265E1D4}"/>
    <cellStyle name="Normal 8 2 2 3" xfId="485" xr:uid="{00000000-0005-0000-0000-0000451C0000}"/>
    <cellStyle name="Normal 8 2 2 3 10" xfId="25961" xr:uid="{10DA2483-7A55-48AF-88AE-701F4790EAB8}"/>
    <cellStyle name="Normal 8 2 2 3 11" xfId="9075" xr:uid="{7AD2FC6B-E547-454B-8D6D-21787D702D20}"/>
    <cellStyle name="Normal 8 2 2 3 2" xfId="486" xr:uid="{00000000-0005-0000-0000-0000461C0000}"/>
    <cellStyle name="Normal 8 2 2 3 2 10" xfId="9076" xr:uid="{E3A07238-149E-4C82-AA6C-B7D4F1D27F2D}"/>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24293" xr:uid="{EAC5D105-342E-4BB4-B8FE-A0D2017A7819}"/>
    <cellStyle name="Normal 8 2 2 3 2 2 2 2 3" xfId="32739" xr:uid="{A8B57443-8E89-49C3-A13C-7B775F193537}"/>
    <cellStyle name="Normal 8 2 2 3 2 2 2 2 4" xfId="15852" xr:uid="{E6A31B35-38B5-41B4-B993-E5D3226EC992}"/>
    <cellStyle name="Normal 8 2 2 3 2 2 2 3" xfId="20075" xr:uid="{1C3328EC-9F51-42F7-A050-4701363087D3}"/>
    <cellStyle name="Normal 8 2 2 3 2 2 2 4" xfId="28522" xr:uid="{D46D8CBA-CA94-4EEB-A525-1D6093C1EBD7}"/>
    <cellStyle name="Normal 8 2 2 3 2 2 2 5" xfId="11634" xr:uid="{734F68A7-D362-434A-BD21-AC8248959CCF}"/>
    <cellStyle name="Normal 8 2 2 3 2 2 3" xfId="5265" xr:uid="{00000000-0005-0000-0000-00004A1C0000}"/>
    <cellStyle name="Normal 8 2 2 3 2 2 3 2" xfId="22148" xr:uid="{43C04BDD-8BE0-4431-BE9C-7186C255A55D}"/>
    <cellStyle name="Normal 8 2 2 3 2 2 3 3" xfId="30594" xr:uid="{3959608C-6E2F-48BC-A425-19E7AAD54195}"/>
    <cellStyle name="Normal 8 2 2 3 2 2 3 4" xfId="13707" xr:uid="{6F2786FB-CDBF-42F8-B28C-DB79D1474C8F}"/>
    <cellStyle name="Normal 8 2 2 3 2 2 4" xfId="17930" xr:uid="{F7CCCECD-8437-4219-943B-ED2F32E7875F}"/>
    <cellStyle name="Normal 8 2 2 3 2 2 5" xfId="26375" xr:uid="{28AAEC9D-DEDC-4DA0-9FF3-7379546F3131}"/>
    <cellStyle name="Normal 8 2 2 3 2 2 6" xfId="9489" xr:uid="{7AC769CF-85BE-453A-A728-404DD592F7E4}"/>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24706" xr:uid="{EC36A275-72B1-4479-AC99-1E7A0CC5C190}"/>
    <cellStyle name="Normal 8 2 2 3 2 3 2 2 3" xfId="33152" xr:uid="{648B3B3B-CAAD-4731-9D9A-9E0B5F3124F7}"/>
    <cellStyle name="Normal 8 2 2 3 2 3 2 2 4" xfId="16265" xr:uid="{1EF5272C-D71E-4960-A10A-6E188FD722FB}"/>
    <cellStyle name="Normal 8 2 2 3 2 3 2 3" xfId="20488" xr:uid="{04FE2B54-D9D3-44A1-969A-7286016B0F77}"/>
    <cellStyle name="Normal 8 2 2 3 2 3 2 4" xfId="28935" xr:uid="{F8DEA21C-BD88-4466-ADAC-0871306E0BBA}"/>
    <cellStyle name="Normal 8 2 2 3 2 3 2 5" xfId="12047" xr:uid="{B401579B-F3F0-41A9-A9B5-3165999AFDF0}"/>
    <cellStyle name="Normal 8 2 2 3 2 3 3" xfId="5678" xr:uid="{00000000-0005-0000-0000-00004E1C0000}"/>
    <cellStyle name="Normal 8 2 2 3 2 3 3 2" xfId="22561" xr:uid="{D07A2B41-82EC-4312-ADF0-3C4078EAD8C3}"/>
    <cellStyle name="Normal 8 2 2 3 2 3 3 3" xfId="31007" xr:uid="{2CAD67B8-CE84-489E-9B32-A15946BDD922}"/>
    <cellStyle name="Normal 8 2 2 3 2 3 3 4" xfId="14120" xr:uid="{1AE80667-A69C-480F-8043-766C78C634E2}"/>
    <cellStyle name="Normal 8 2 2 3 2 3 4" xfId="18343" xr:uid="{F35D51D4-FA33-46C3-AEA9-055EEA5926BC}"/>
    <cellStyle name="Normal 8 2 2 3 2 3 5" xfId="26788" xr:uid="{7373E9BD-E8DD-47B6-B7AC-B687FFA02886}"/>
    <cellStyle name="Normal 8 2 2 3 2 3 6" xfId="9902" xr:uid="{96E8A8F7-DB5A-4E9B-BD18-D6B6A79B1421}"/>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25119" xr:uid="{C13813F3-B2A7-4AEF-BDA5-4B629787E39F}"/>
    <cellStyle name="Normal 8 2 2 3 2 4 2 2 3" xfId="33565" xr:uid="{7D513702-017D-45CC-BB8E-D36235A7071B}"/>
    <cellStyle name="Normal 8 2 2 3 2 4 2 2 4" xfId="16678" xr:uid="{E838E428-3A1B-45B2-9C8A-E86653690FA7}"/>
    <cellStyle name="Normal 8 2 2 3 2 4 2 3" xfId="20901" xr:uid="{43048AE0-1BB5-49A9-852A-1784DDAF843C}"/>
    <cellStyle name="Normal 8 2 2 3 2 4 2 4" xfId="29348" xr:uid="{9176A717-3C3E-40A3-A82B-18DC2E79D3A9}"/>
    <cellStyle name="Normal 8 2 2 3 2 4 2 5" xfId="12460" xr:uid="{9B8BAFE5-F944-423B-8D92-F66A18C402C2}"/>
    <cellStyle name="Normal 8 2 2 3 2 4 3" xfId="6091" xr:uid="{00000000-0005-0000-0000-0000521C0000}"/>
    <cellStyle name="Normal 8 2 2 3 2 4 3 2" xfId="22974" xr:uid="{C9F28610-6AF9-4A76-A71B-0A71DC1A07E5}"/>
    <cellStyle name="Normal 8 2 2 3 2 4 3 3" xfId="31420" xr:uid="{D11C03A5-A049-4E1D-B6D8-402084DB389D}"/>
    <cellStyle name="Normal 8 2 2 3 2 4 3 4" xfId="14533" xr:uid="{41B565D8-6A65-46DB-ADD6-D3CB3A613023}"/>
    <cellStyle name="Normal 8 2 2 3 2 4 4" xfId="18756" xr:uid="{646FFAFD-48FF-4F42-8380-AFC329A0011D}"/>
    <cellStyle name="Normal 8 2 2 3 2 4 5" xfId="27201" xr:uid="{850A5EA6-88C3-4037-872F-EF9BEA896DEC}"/>
    <cellStyle name="Normal 8 2 2 3 2 4 6" xfId="10315" xr:uid="{105A1F41-327A-484A-9989-843F1E8D3D39}"/>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25532" xr:uid="{80F81CD4-8539-411C-B59D-930BAFF57E49}"/>
    <cellStyle name="Normal 8 2 2 3 2 5 2 2 3" xfId="33978" xr:uid="{3F05646D-D44B-4593-B4E5-0F5F552DCB14}"/>
    <cellStyle name="Normal 8 2 2 3 2 5 2 2 4" xfId="17091" xr:uid="{2C1A945C-069A-4FEC-8A60-593D0FEE4334}"/>
    <cellStyle name="Normal 8 2 2 3 2 5 2 3" xfId="21314" xr:uid="{ADE7AC4C-5D69-4E90-B9A2-DD06CDAD95DF}"/>
    <cellStyle name="Normal 8 2 2 3 2 5 2 4" xfId="29761" xr:uid="{CEFD2B7E-0F24-4340-BFA9-2E04F21A7A6E}"/>
    <cellStyle name="Normal 8 2 2 3 2 5 2 5" xfId="12873" xr:uid="{8BE62618-13D4-49B1-8F9F-32178888D1F0}"/>
    <cellStyle name="Normal 8 2 2 3 2 5 3" xfId="6504" xr:uid="{00000000-0005-0000-0000-0000561C0000}"/>
    <cellStyle name="Normal 8 2 2 3 2 5 3 2" xfId="23387" xr:uid="{F002F3AE-B27F-4BFE-B23C-564E37011B83}"/>
    <cellStyle name="Normal 8 2 2 3 2 5 3 3" xfId="31833" xr:uid="{B6D38F96-9E6A-4052-818F-B1D26557FEFE}"/>
    <cellStyle name="Normal 8 2 2 3 2 5 3 4" xfId="14946" xr:uid="{30E9798C-8594-44CC-9BD3-196AAC5B04B6}"/>
    <cellStyle name="Normal 8 2 2 3 2 5 4" xfId="19169" xr:uid="{825C83E7-FEE2-4773-95CF-8061831B8B50}"/>
    <cellStyle name="Normal 8 2 2 3 2 5 5" xfId="27614" xr:uid="{C037D913-0F30-4E90-BB78-4E8DF37DE8EB}"/>
    <cellStyle name="Normal 8 2 2 3 2 5 6" xfId="10728" xr:uid="{E35EDBC4-1875-4C6D-966C-BC3F16F08FB3}"/>
    <cellStyle name="Normal 8 2 2 3 2 6" xfId="2633" xr:uid="{00000000-0005-0000-0000-0000571C0000}"/>
    <cellStyle name="Normal 8 2 2 3 2 6 2" xfId="6917" xr:uid="{00000000-0005-0000-0000-0000581C0000}"/>
    <cellStyle name="Normal 8 2 2 3 2 6 2 2" xfId="23800" xr:uid="{D1B57559-3FB0-4BF4-AA9D-E6459C2BA1C9}"/>
    <cellStyle name="Normal 8 2 2 3 2 6 2 3" xfId="32246" xr:uid="{879E781F-6C7D-40D4-AECD-B6525B7B0B41}"/>
    <cellStyle name="Normal 8 2 2 3 2 6 2 4" xfId="15359" xr:uid="{B0D0A785-7341-4B54-8C0B-1D2C24FBE6FF}"/>
    <cellStyle name="Normal 8 2 2 3 2 6 3" xfId="19582" xr:uid="{D72D1980-6794-4C1B-9C6F-86E4CCA1A57F}"/>
    <cellStyle name="Normal 8 2 2 3 2 6 4" xfId="28027" xr:uid="{74A8A8FB-FEB1-4CA0-8ADB-1F4C0F174C04}"/>
    <cellStyle name="Normal 8 2 2 3 2 6 5" xfId="11141" xr:uid="{DEAE131A-B08F-4637-A0D9-0615D413E4BB}"/>
    <cellStyle name="Normal 8 2 2 3 2 7" xfId="4852" xr:uid="{00000000-0005-0000-0000-0000591C0000}"/>
    <cellStyle name="Normal 8 2 2 3 2 7 2" xfId="21735" xr:uid="{837797FB-D5EB-4FD3-A989-A47FED11537B}"/>
    <cellStyle name="Normal 8 2 2 3 2 7 3" xfId="30181" xr:uid="{208E058B-C55B-4922-BAD5-3334BC978A05}"/>
    <cellStyle name="Normal 8 2 2 3 2 7 4" xfId="13294" xr:uid="{7A56CC0B-BBA9-43AC-882B-0E67106C45F6}"/>
    <cellStyle name="Normal 8 2 2 3 2 8" xfId="17517" xr:uid="{A7E92228-7E43-44A3-8305-85992D030C9B}"/>
    <cellStyle name="Normal 8 2 2 3 2 9" xfId="25962" xr:uid="{10F35836-1209-4CBF-8CB7-B8B80D6B41BC}"/>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24292" xr:uid="{D3E1FDE0-69A1-46AA-9810-790B7AC535D9}"/>
    <cellStyle name="Normal 8 2 2 3 3 2 2 3" xfId="32738" xr:uid="{3F9BE839-0636-4A01-9121-7846F41EC566}"/>
    <cellStyle name="Normal 8 2 2 3 3 2 2 4" xfId="15851" xr:uid="{1A1F79C2-9922-4B91-A06B-3621909B7C8D}"/>
    <cellStyle name="Normal 8 2 2 3 3 2 3" xfId="20074" xr:uid="{EEFA4F61-DF9D-4B78-936E-8BC29039419F}"/>
    <cellStyle name="Normal 8 2 2 3 3 2 4" xfId="28521" xr:uid="{1A2DA20D-02A4-4AE0-8699-34DFD864168D}"/>
    <cellStyle name="Normal 8 2 2 3 3 2 5" xfId="11633" xr:uid="{364402BA-97BD-4518-B30E-9CAEF1C0639D}"/>
    <cellStyle name="Normal 8 2 2 3 3 3" xfId="5264" xr:uid="{00000000-0005-0000-0000-00005D1C0000}"/>
    <cellStyle name="Normal 8 2 2 3 3 3 2" xfId="22147" xr:uid="{4068FFE4-5D47-46DB-AEAA-ACC6663FF2CA}"/>
    <cellStyle name="Normal 8 2 2 3 3 3 3" xfId="30593" xr:uid="{DE9F070F-5F3A-4288-AA9B-B726E2B3522C}"/>
    <cellStyle name="Normal 8 2 2 3 3 3 4" xfId="13706" xr:uid="{5605609F-90DB-405E-BE93-5759BE0800BF}"/>
    <cellStyle name="Normal 8 2 2 3 3 4" xfId="17929" xr:uid="{1E0D838B-AFA4-49D3-BB4B-4E5D9CFCA840}"/>
    <cellStyle name="Normal 8 2 2 3 3 5" xfId="26374" xr:uid="{8973F16A-8F53-4BA1-8E80-05B9931BB96C}"/>
    <cellStyle name="Normal 8 2 2 3 3 6" xfId="9488" xr:uid="{63942399-BAFD-41F0-9635-096D33E5E894}"/>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24705" xr:uid="{5A901EF5-917B-4563-9A84-492F52B0D4B6}"/>
    <cellStyle name="Normal 8 2 2 3 4 2 2 3" xfId="33151" xr:uid="{B0A62C2E-26D9-41AA-9F5D-D7BB1C66804E}"/>
    <cellStyle name="Normal 8 2 2 3 4 2 2 4" xfId="16264" xr:uid="{B2289228-233A-4B78-90A1-B2D1DD36C091}"/>
    <cellStyle name="Normal 8 2 2 3 4 2 3" xfId="20487" xr:uid="{54486118-5D6D-496E-AF1A-5FF8DA32440D}"/>
    <cellStyle name="Normal 8 2 2 3 4 2 4" xfId="28934" xr:uid="{C5CA886F-46CC-43C6-AB97-ABBA5CBC85FE}"/>
    <cellStyle name="Normal 8 2 2 3 4 2 5" xfId="12046" xr:uid="{14E22AE9-4C72-4E5A-8ACF-0C8045DFBC1B}"/>
    <cellStyle name="Normal 8 2 2 3 4 3" xfId="5677" xr:uid="{00000000-0005-0000-0000-0000611C0000}"/>
    <cellStyle name="Normal 8 2 2 3 4 3 2" xfId="22560" xr:uid="{49A851C4-C3BD-4A2C-B2A4-75F46D278D1A}"/>
    <cellStyle name="Normal 8 2 2 3 4 3 3" xfId="31006" xr:uid="{8E088745-91C0-4F84-870C-19FF620950B6}"/>
    <cellStyle name="Normal 8 2 2 3 4 3 4" xfId="14119" xr:uid="{91490F3D-00DD-4376-AFC3-253B91286645}"/>
    <cellStyle name="Normal 8 2 2 3 4 4" xfId="18342" xr:uid="{6A88A329-F61A-4487-A965-2CC629F03CBE}"/>
    <cellStyle name="Normal 8 2 2 3 4 5" xfId="26787" xr:uid="{18584E31-7D58-4908-8152-7C69CAA1F089}"/>
    <cellStyle name="Normal 8 2 2 3 4 6" xfId="9901" xr:uid="{4674B4B0-BA70-4497-B22E-E67837DF7985}"/>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25118" xr:uid="{2F23164C-0998-44C8-9E35-2AE3CFB15063}"/>
    <cellStyle name="Normal 8 2 2 3 5 2 2 3" xfId="33564" xr:uid="{272B2A1E-2BFC-4DEA-A16C-5C0F594A236A}"/>
    <cellStyle name="Normal 8 2 2 3 5 2 2 4" xfId="16677" xr:uid="{444774B7-20AC-42F3-B14D-47BABC669F40}"/>
    <cellStyle name="Normal 8 2 2 3 5 2 3" xfId="20900" xr:uid="{9AC10011-86AC-4F12-B81C-7FD750C3191F}"/>
    <cellStyle name="Normal 8 2 2 3 5 2 4" xfId="29347" xr:uid="{226FC0FD-2C17-4C21-A9F4-C2B47F8E3FDE}"/>
    <cellStyle name="Normal 8 2 2 3 5 2 5" xfId="12459" xr:uid="{8DE992D7-1034-4D23-9C10-89B748087061}"/>
    <cellStyle name="Normal 8 2 2 3 5 3" xfId="6090" xr:uid="{00000000-0005-0000-0000-0000651C0000}"/>
    <cellStyle name="Normal 8 2 2 3 5 3 2" xfId="22973" xr:uid="{8D5E265E-9E79-4730-9412-367A5253F5BA}"/>
    <cellStyle name="Normal 8 2 2 3 5 3 3" xfId="31419" xr:uid="{6093D301-DE9E-446D-A7C0-D7B17920A22E}"/>
    <cellStyle name="Normal 8 2 2 3 5 3 4" xfId="14532" xr:uid="{8AED1C3E-8D47-4BAF-B08D-CF62068BB222}"/>
    <cellStyle name="Normal 8 2 2 3 5 4" xfId="18755" xr:uid="{139874C6-945B-4835-B724-D2AC5F080EFA}"/>
    <cellStyle name="Normal 8 2 2 3 5 5" xfId="27200" xr:uid="{F5769D34-C072-4F25-ABF8-EB5A14383E08}"/>
    <cellStyle name="Normal 8 2 2 3 5 6" xfId="10314" xr:uid="{7F1D2FE0-C4F1-4251-8602-6E19EE6549F2}"/>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25531" xr:uid="{017EF560-69BE-4871-880F-D359B4264164}"/>
    <cellStyle name="Normal 8 2 2 3 6 2 2 3" xfId="33977" xr:uid="{633101E5-42B7-40F6-8690-9E462904F4A9}"/>
    <cellStyle name="Normal 8 2 2 3 6 2 2 4" xfId="17090" xr:uid="{1352EB37-F8F4-45B0-B369-8E94BC428B93}"/>
    <cellStyle name="Normal 8 2 2 3 6 2 3" xfId="21313" xr:uid="{6A4DF0DD-2834-4C47-ACF6-9ECF5D2A22D5}"/>
    <cellStyle name="Normal 8 2 2 3 6 2 4" xfId="29760" xr:uid="{011736D3-1C3E-4CAD-B826-3EFDF53C8CB6}"/>
    <cellStyle name="Normal 8 2 2 3 6 2 5" xfId="12872" xr:uid="{2063AF23-BC9E-4077-8A8E-26728B9F5161}"/>
    <cellStyle name="Normal 8 2 2 3 6 3" xfId="6503" xr:uid="{00000000-0005-0000-0000-0000691C0000}"/>
    <cellStyle name="Normal 8 2 2 3 6 3 2" xfId="23386" xr:uid="{06E7D15B-4995-4CA8-83FB-71E23DA9BDD4}"/>
    <cellStyle name="Normal 8 2 2 3 6 3 3" xfId="31832" xr:uid="{42210077-CA3F-4B56-8E3F-DE996588BA55}"/>
    <cellStyle name="Normal 8 2 2 3 6 3 4" xfId="14945" xr:uid="{CBD47EE8-04EE-4F3A-8351-E901FDAA3F99}"/>
    <cellStyle name="Normal 8 2 2 3 6 4" xfId="19168" xr:uid="{EE53A1C3-A9C5-4DBF-B7A5-6EF71341AFEF}"/>
    <cellStyle name="Normal 8 2 2 3 6 5" xfId="27613" xr:uid="{3A4B37DB-2B62-4EA5-BCD1-196F05CDD2FC}"/>
    <cellStyle name="Normal 8 2 2 3 6 6" xfId="10727" xr:uid="{693724CB-7007-4C75-9E26-235C8FBFC2FD}"/>
    <cellStyle name="Normal 8 2 2 3 7" xfId="2632" xr:uid="{00000000-0005-0000-0000-00006A1C0000}"/>
    <cellStyle name="Normal 8 2 2 3 7 2" xfId="6916" xr:uid="{00000000-0005-0000-0000-00006B1C0000}"/>
    <cellStyle name="Normal 8 2 2 3 7 2 2" xfId="23799" xr:uid="{C90237EC-53A9-49F0-BAAC-7E05D09C8074}"/>
    <cellStyle name="Normal 8 2 2 3 7 2 3" xfId="32245" xr:uid="{7F021C0E-6203-4E99-8C61-4E0912EA0D23}"/>
    <cellStyle name="Normal 8 2 2 3 7 2 4" xfId="15358" xr:uid="{0C9578C7-84DC-4CBE-9B2F-B33C9A91A192}"/>
    <cellStyle name="Normal 8 2 2 3 7 3" xfId="19581" xr:uid="{F71CA136-5274-4F6D-A5B1-BB87EFD4D04A}"/>
    <cellStyle name="Normal 8 2 2 3 7 4" xfId="28026" xr:uid="{F20238C3-C211-43E8-A38F-C24306E67EA5}"/>
    <cellStyle name="Normal 8 2 2 3 7 5" xfId="11140" xr:uid="{FE10FF75-7749-40E7-9878-6590B704F71B}"/>
    <cellStyle name="Normal 8 2 2 3 8" xfId="4851" xr:uid="{00000000-0005-0000-0000-00006C1C0000}"/>
    <cellStyle name="Normal 8 2 2 3 8 2" xfId="21734" xr:uid="{B04D3F18-BE45-4604-B61E-F40C91C0FBEC}"/>
    <cellStyle name="Normal 8 2 2 3 8 3" xfId="30180" xr:uid="{6E31E720-2FBB-41E5-AB28-22E0CAD90F60}"/>
    <cellStyle name="Normal 8 2 2 3 8 4" xfId="13293" xr:uid="{B7526AF5-1172-4298-B0C0-8A48C504802A}"/>
    <cellStyle name="Normal 8 2 2 3 9" xfId="17516" xr:uid="{BCDF02A6-3411-4F9A-B247-D202F8D24863}"/>
    <cellStyle name="Normal 8 2 2 4" xfId="487" xr:uid="{00000000-0005-0000-0000-00006D1C0000}"/>
    <cellStyle name="Normal 8 2 2 4 10" xfId="9077" xr:uid="{19915C39-6A1A-48D3-8B39-B0C3C53A0ADC}"/>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24294" xr:uid="{B29006FD-17D4-49A0-B052-4AD5B1BA97DA}"/>
    <cellStyle name="Normal 8 2 2 4 2 2 2 3" xfId="32740" xr:uid="{431474D9-FDE7-4E46-B0AF-7CC81F94176E}"/>
    <cellStyle name="Normal 8 2 2 4 2 2 2 4" xfId="15853" xr:uid="{7AF55E6E-2EF2-46AB-B67A-F2F3693676B7}"/>
    <cellStyle name="Normal 8 2 2 4 2 2 3" xfId="20076" xr:uid="{61C105AD-D922-433A-B0C5-AAE88926C322}"/>
    <cellStyle name="Normal 8 2 2 4 2 2 4" xfId="28523" xr:uid="{9D60B255-7C9F-4C97-8D19-7936F0739C9E}"/>
    <cellStyle name="Normal 8 2 2 4 2 2 5" xfId="11635" xr:uid="{99221DB1-BC87-44D4-8684-0D711CE2A4C9}"/>
    <cellStyle name="Normal 8 2 2 4 2 3" xfId="5266" xr:uid="{00000000-0005-0000-0000-0000711C0000}"/>
    <cellStyle name="Normal 8 2 2 4 2 3 2" xfId="22149" xr:uid="{14064EC6-5562-4EBC-860D-0D46B4FB3EBB}"/>
    <cellStyle name="Normal 8 2 2 4 2 3 3" xfId="30595" xr:uid="{EBCA8C67-D9F9-458B-B544-6F5BB7852CA7}"/>
    <cellStyle name="Normal 8 2 2 4 2 3 4" xfId="13708" xr:uid="{CD3A4F62-DABD-45A3-B7B7-AD7CD4CED369}"/>
    <cellStyle name="Normal 8 2 2 4 2 4" xfId="17931" xr:uid="{91D77339-552E-4C68-A6F6-BE7684DE4B68}"/>
    <cellStyle name="Normal 8 2 2 4 2 5" xfId="26376" xr:uid="{E97351D1-E81D-4BFD-A025-4140DBFFB808}"/>
    <cellStyle name="Normal 8 2 2 4 2 6" xfId="9490" xr:uid="{561F9ED0-5A6B-4BDB-BBA7-17166794871A}"/>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24707" xr:uid="{3AC7903F-4A0C-452B-9015-9E039A2F5FB9}"/>
    <cellStyle name="Normal 8 2 2 4 3 2 2 3" xfId="33153" xr:uid="{A73156B2-FB7E-49CD-AE8C-F39F5E60BD06}"/>
    <cellStyle name="Normal 8 2 2 4 3 2 2 4" xfId="16266" xr:uid="{D48CB9A7-2197-49D7-B8E5-F168B232D21D}"/>
    <cellStyle name="Normal 8 2 2 4 3 2 3" xfId="20489" xr:uid="{3657F56D-836A-4A2E-BFA5-AD6ACFA18EB6}"/>
    <cellStyle name="Normal 8 2 2 4 3 2 4" xfId="28936" xr:uid="{93C76A40-742B-4FFC-A412-CC706E975DF6}"/>
    <cellStyle name="Normal 8 2 2 4 3 2 5" xfId="12048" xr:uid="{FD76C8FC-D1FA-4A46-9357-AF7331AC296B}"/>
    <cellStyle name="Normal 8 2 2 4 3 3" xfId="5679" xr:uid="{00000000-0005-0000-0000-0000751C0000}"/>
    <cellStyle name="Normal 8 2 2 4 3 3 2" xfId="22562" xr:uid="{C531186E-0B8E-46EF-A07C-A88D387AD3F2}"/>
    <cellStyle name="Normal 8 2 2 4 3 3 3" xfId="31008" xr:uid="{E497A917-E69D-408A-ABE1-E2984F46871A}"/>
    <cellStyle name="Normal 8 2 2 4 3 3 4" xfId="14121" xr:uid="{D98F4B87-36BB-414A-9385-86163D8D410A}"/>
    <cellStyle name="Normal 8 2 2 4 3 4" xfId="18344" xr:uid="{8203C715-6699-4373-B86B-1CD00C16676C}"/>
    <cellStyle name="Normal 8 2 2 4 3 5" xfId="26789" xr:uid="{66DDEC6E-4957-4523-81F5-42520C25E335}"/>
    <cellStyle name="Normal 8 2 2 4 3 6" xfId="9903" xr:uid="{BD6C6240-9263-4391-B81A-C5974836BF50}"/>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25120" xr:uid="{A2B613B6-E8F5-4AB2-B23C-AF57827BE50C}"/>
    <cellStyle name="Normal 8 2 2 4 4 2 2 3" xfId="33566" xr:uid="{5B8B1226-595C-4561-92D3-EC50A11617F8}"/>
    <cellStyle name="Normal 8 2 2 4 4 2 2 4" xfId="16679" xr:uid="{537F5494-2FDA-404C-9423-E8BA93E45C84}"/>
    <cellStyle name="Normal 8 2 2 4 4 2 3" xfId="20902" xr:uid="{FBBCD03C-31B2-495E-9559-6736499BF3DE}"/>
    <cellStyle name="Normal 8 2 2 4 4 2 4" xfId="29349" xr:uid="{BB8D9E4B-3BD7-488C-A15A-93AD77DBA260}"/>
    <cellStyle name="Normal 8 2 2 4 4 2 5" xfId="12461" xr:uid="{404E63EC-CCB5-4B84-932F-C99ECCB97385}"/>
    <cellStyle name="Normal 8 2 2 4 4 3" xfId="6092" xr:uid="{00000000-0005-0000-0000-0000791C0000}"/>
    <cellStyle name="Normal 8 2 2 4 4 3 2" xfId="22975" xr:uid="{EF75CFB0-2A83-490E-8BDF-9AB43A0E7D22}"/>
    <cellStyle name="Normal 8 2 2 4 4 3 3" xfId="31421" xr:uid="{34A2275A-7C15-40B4-B6B5-144DAC7A9576}"/>
    <cellStyle name="Normal 8 2 2 4 4 3 4" xfId="14534" xr:uid="{579AE90B-2466-4FFF-A41D-1FE3775474C0}"/>
    <cellStyle name="Normal 8 2 2 4 4 4" xfId="18757" xr:uid="{D8F4A76E-3274-43B9-9A44-94CB9DCA2160}"/>
    <cellStyle name="Normal 8 2 2 4 4 5" xfId="27202" xr:uid="{7EC62467-F602-40C0-8372-B2C530BFAB8E}"/>
    <cellStyle name="Normal 8 2 2 4 4 6" xfId="10316" xr:uid="{5DBE2C5E-91DB-4EF2-A4AD-1D41C9B28C79}"/>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25533" xr:uid="{990AED52-8530-4779-9448-21557362E68D}"/>
    <cellStyle name="Normal 8 2 2 4 5 2 2 3" xfId="33979" xr:uid="{1A98A812-5587-4507-994E-950FE75F2F64}"/>
    <cellStyle name="Normal 8 2 2 4 5 2 2 4" xfId="17092" xr:uid="{A9B2562D-68A6-445C-A060-A742BF1A7D8F}"/>
    <cellStyle name="Normal 8 2 2 4 5 2 3" xfId="21315" xr:uid="{9ACBD734-DC9A-44E4-9884-C0AC5DDDFEDD}"/>
    <cellStyle name="Normal 8 2 2 4 5 2 4" xfId="29762" xr:uid="{4C5A2713-6BA8-408A-92D5-AAE530347AA6}"/>
    <cellStyle name="Normal 8 2 2 4 5 2 5" xfId="12874" xr:uid="{09002941-E5B6-443A-962F-9F1FAEF85DDB}"/>
    <cellStyle name="Normal 8 2 2 4 5 3" xfId="6505" xr:uid="{00000000-0005-0000-0000-00007D1C0000}"/>
    <cellStyle name="Normal 8 2 2 4 5 3 2" xfId="23388" xr:uid="{13854198-A622-4047-BB50-F100C1BC7580}"/>
    <cellStyle name="Normal 8 2 2 4 5 3 3" xfId="31834" xr:uid="{57FEC92F-11F9-4D5E-A184-210073D3DA9A}"/>
    <cellStyle name="Normal 8 2 2 4 5 3 4" xfId="14947" xr:uid="{4E024FAB-4AA6-4673-B05B-7A897C3698B1}"/>
    <cellStyle name="Normal 8 2 2 4 5 4" xfId="19170" xr:uid="{7B3B1026-5AA8-49D5-A589-A80EFA4108DA}"/>
    <cellStyle name="Normal 8 2 2 4 5 5" xfId="27615" xr:uid="{AE2C781D-EF75-41FD-A69C-3D5BF64B8BE6}"/>
    <cellStyle name="Normal 8 2 2 4 5 6" xfId="10729" xr:uid="{652102B9-2727-4A69-A76A-237241B79F2F}"/>
    <cellStyle name="Normal 8 2 2 4 6" xfId="2634" xr:uid="{00000000-0005-0000-0000-00007E1C0000}"/>
    <cellStyle name="Normal 8 2 2 4 6 2" xfId="6918" xr:uid="{00000000-0005-0000-0000-00007F1C0000}"/>
    <cellStyle name="Normal 8 2 2 4 6 2 2" xfId="23801" xr:uid="{681CDE84-7D70-4E6B-8632-4B832D1FF364}"/>
    <cellStyle name="Normal 8 2 2 4 6 2 3" xfId="32247" xr:uid="{785A99DE-8C99-4E2E-A0A0-9B80E7D8DE71}"/>
    <cellStyle name="Normal 8 2 2 4 6 2 4" xfId="15360" xr:uid="{1857309B-CF92-45DB-B70A-005AECBC8011}"/>
    <cellStyle name="Normal 8 2 2 4 6 3" xfId="19583" xr:uid="{58301AFA-FB4B-49BA-89BF-203B2480A6AC}"/>
    <cellStyle name="Normal 8 2 2 4 6 4" xfId="28028" xr:uid="{D69179EE-F748-4E45-AF83-7E918CC88D53}"/>
    <cellStyle name="Normal 8 2 2 4 6 5" xfId="11142" xr:uid="{6A78AAF8-D4BD-4552-BA27-71FE81484400}"/>
    <cellStyle name="Normal 8 2 2 4 7" xfId="4853" xr:uid="{00000000-0005-0000-0000-0000801C0000}"/>
    <cellStyle name="Normal 8 2 2 4 7 2" xfId="21736" xr:uid="{ED1514E1-D019-4525-9976-16A5F2381BAE}"/>
    <cellStyle name="Normal 8 2 2 4 7 3" xfId="30182" xr:uid="{403E74B0-61DA-4347-85EB-3A3CAF5104FD}"/>
    <cellStyle name="Normal 8 2 2 4 7 4" xfId="13295" xr:uid="{15199C9E-1D1A-4601-B645-355F91871A10}"/>
    <cellStyle name="Normal 8 2 2 4 8" xfId="17518" xr:uid="{3A25F0AE-EA7E-48D8-8400-ED12A3443C95}"/>
    <cellStyle name="Normal 8 2 2 4 9" xfId="25963" xr:uid="{44951FD9-B16D-4010-BA5F-4C10DB0EE83F}"/>
    <cellStyle name="Normal 8 2 2 5" xfId="947" xr:uid="{00000000-0005-0000-0000-0000811C0000}"/>
    <cellStyle name="Normal 8 2 2 5 2" xfId="3181" xr:uid="{00000000-0005-0000-0000-0000821C0000}"/>
    <cellStyle name="Normal 8 2 2 5 2 2" xfId="7404" xr:uid="{00000000-0005-0000-0000-0000831C0000}"/>
    <cellStyle name="Normal 8 2 2 5 2 2 2" xfId="24287" xr:uid="{9882C9DC-88F2-423B-AB64-61519D0E5F75}"/>
    <cellStyle name="Normal 8 2 2 5 2 2 3" xfId="32733" xr:uid="{B7F9D132-9E68-4CB0-9287-8FDA0CBB52EC}"/>
    <cellStyle name="Normal 8 2 2 5 2 2 4" xfId="15846" xr:uid="{71059AED-FF7A-4394-B718-FE82D5729A05}"/>
    <cellStyle name="Normal 8 2 2 5 2 3" xfId="20069" xr:uid="{E3587A8C-7B1B-4994-88C3-66D55403BFD6}"/>
    <cellStyle name="Normal 8 2 2 5 2 4" xfId="28516" xr:uid="{3680950A-C563-4ED6-8615-62C38DC08DCF}"/>
    <cellStyle name="Normal 8 2 2 5 2 5" xfId="11628" xr:uid="{B54C8F0A-77B1-47F8-8D60-8865149E57AE}"/>
    <cellStyle name="Normal 8 2 2 5 3" xfId="5259" xr:uid="{00000000-0005-0000-0000-0000841C0000}"/>
    <cellStyle name="Normal 8 2 2 5 3 2" xfId="22142" xr:uid="{9273DA58-E9A3-4504-9018-B92224B58041}"/>
    <cellStyle name="Normal 8 2 2 5 3 3" xfId="30588" xr:uid="{71718242-9376-4CC6-8E54-2054702EA4B2}"/>
    <cellStyle name="Normal 8 2 2 5 3 4" xfId="13701" xr:uid="{307682BF-3F0F-43A3-871E-D690EE126740}"/>
    <cellStyle name="Normal 8 2 2 5 4" xfId="17924" xr:uid="{0F5AF75A-CB41-40AB-B3C3-B903B85EE424}"/>
    <cellStyle name="Normal 8 2 2 5 5" xfId="26369" xr:uid="{73B05F01-C364-404C-9EAF-BDB49F4EC9BB}"/>
    <cellStyle name="Normal 8 2 2 5 6" xfId="9483" xr:uid="{3FE9A329-8E8B-443F-91D6-CCF1B08AD434}"/>
    <cellStyle name="Normal 8 2 2 6" xfId="1364" xr:uid="{00000000-0005-0000-0000-0000851C0000}"/>
    <cellStyle name="Normal 8 2 2 6 2" xfId="3594" xr:uid="{00000000-0005-0000-0000-0000861C0000}"/>
    <cellStyle name="Normal 8 2 2 6 2 2" xfId="7817" xr:uid="{00000000-0005-0000-0000-0000871C0000}"/>
    <cellStyle name="Normal 8 2 2 6 2 2 2" xfId="24700" xr:uid="{E140A568-C190-4111-B7F1-FF91B28A87A4}"/>
    <cellStyle name="Normal 8 2 2 6 2 2 3" xfId="33146" xr:uid="{C4793BE7-11FF-443B-BFFB-04297919E87F}"/>
    <cellStyle name="Normal 8 2 2 6 2 2 4" xfId="16259" xr:uid="{49EE0BA7-6118-4341-A242-ECBBC6780653}"/>
    <cellStyle name="Normal 8 2 2 6 2 3" xfId="20482" xr:uid="{3ECA4379-6D77-47A3-878E-993674AAE1FF}"/>
    <cellStyle name="Normal 8 2 2 6 2 4" xfId="28929" xr:uid="{D4B8731A-2AD9-4C13-B8E5-6E802901EF71}"/>
    <cellStyle name="Normal 8 2 2 6 2 5" xfId="12041" xr:uid="{F1FD8691-E5EF-48A0-8E4D-20D702EC702F}"/>
    <cellStyle name="Normal 8 2 2 6 3" xfId="5672" xr:uid="{00000000-0005-0000-0000-0000881C0000}"/>
    <cellStyle name="Normal 8 2 2 6 3 2" xfId="22555" xr:uid="{CF2073D6-EB0F-4AF7-A501-1946A3EB7869}"/>
    <cellStyle name="Normal 8 2 2 6 3 3" xfId="31001" xr:uid="{BACAE9A4-B3B2-474B-A75D-8A025B6D9FA0}"/>
    <cellStyle name="Normal 8 2 2 6 3 4" xfId="14114" xr:uid="{ED0D44D4-FAE6-4B64-B5E0-A09095B1BAF3}"/>
    <cellStyle name="Normal 8 2 2 6 4" xfId="18337" xr:uid="{A465D32B-6B64-4284-8398-E69A0982D65B}"/>
    <cellStyle name="Normal 8 2 2 6 5" xfId="26782" xr:uid="{2723F484-0B27-47D2-A55E-F8D9398DFB7A}"/>
    <cellStyle name="Normal 8 2 2 6 6" xfId="9896" xr:uid="{242D83F5-2D67-479C-B9A6-8FB93536D60F}"/>
    <cellStyle name="Normal 8 2 2 7" xfId="1777" xr:uid="{00000000-0005-0000-0000-0000891C0000}"/>
    <cellStyle name="Normal 8 2 2 7 2" xfId="4007" xr:uid="{00000000-0005-0000-0000-00008A1C0000}"/>
    <cellStyle name="Normal 8 2 2 7 2 2" xfId="8230" xr:uid="{00000000-0005-0000-0000-00008B1C0000}"/>
    <cellStyle name="Normal 8 2 2 7 2 2 2" xfId="25113" xr:uid="{AC152D7B-3D71-4F5F-B8B1-FC27B1EECAA9}"/>
    <cellStyle name="Normal 8 2 2 7 2 2 3" xfId="33559" xr:uid="{0BB612D1-EAA4-4388-8EEE-116CD4D1E1B8}"/>
    <cellStyle name="Normal 8 2 2 7 2 2 4" xfId="16672" xr:uid="{33A50612-A680-40C8-BA6F-D8DB44DDB062}"/>
    <cellStyle name="Normal 8 2 2 7 2 3" xfId="20895" xr:uid="{4B56681F-67F4-4AFB-91AD-07FE5C624E29}"/>
    <cellStyle name="Normal 8 2 2 7 2 4" xfId="29342" xr:uid="{8C66F9DC-B044-4A56-AC93-307BF321E246}"/>
    <cellStyle name="Normal 8 2 2 7 2 5" xfId="12454" xr:uid="{8C3D2708-6643-43AC-872F-9CE7CC646BD1}"/>
    <cellStyle name="Normal 8 2 2 7 3" xfId="6085" xr:uid="{00000000-0005-0000-0000-00008C1C0000}"/>
    <cellStyle name="Normal 8 2 2 7 3 2" xfId="22968" xr:uid="{AE722491-426C-442D-98BD-B016F301994F}"/>
    <cellStyle name="Normal 8 2 2 7 3 3" xfId="31414" xr:uid="{0F2A983D-D3C8-4001-8939-D3BA53AB259E}"/>
    <cellStyle name="Normal 8 2 2 7 3 4" xfId="14527" xr:uid="{7E795BE0-8EA8-4056-96AF-303AAA009CA5}"/>
    <cellStyle name="Normal 8 2 2 7 4" xfId="18750" xr:uid="{959CDD27-A7AE-4EEF-BBE9-D4FE7CBB2B32}"/>
    <cellStyle name="Normal 8 2 2 7 5" xfId="27195" xr:uid="{37E2940A-F34B-4332-8AEA-27BE81AC9366}"/>
    <cellStyle name="Normal 8 2 2 7 6" xfId="10309" xr:uid="{A21C261F-5203-4C8E-9256-CD8B713521C2}"/>
    <cellStyle name="Normal 8 2 2 8" xfId="2191" xr:uid="{00000000-0005-0000-0000-00008D1C0000}"/>
    <cellStyle name="Normal 8 2 2 8 2" xfId="4420" xr:uid="{00000000-0005-0000-0000-00008E1C0000}"/>
    <cellStyle name="Normal 8 2 2 8 2 2" xfId="8643" xr:uid="{00000000-0005-0000-0000-00008F1C0000}"/>
    <cellStyle name="Normal 8 2 2 8 2 2 2" xfId="25526" xr:uid="{80604492-0D60-4101-8176-C094EFA3A8DD}"/>
    <cellStyle name="Normal 8 2 2 8 2 2 3" xfId="33972" xr:uid="{BAD4B6C4-7E79-41A9-9F1C-A94E47904DC0}"/>
    <cellStyle name="Normal 8 2 2 8 2 2 4" xfId="17085" xr:uid="{A86C6F0D-120B-41DD-84B1-66A880E12B71}"/>
    <cellStyle name="Normal 8 2 2 8 2 3" xfId="21308" xr:uid="{7CF01D99-2FD2-49C2-8AC3-170065427891}"/>
    <cellStyle name="Normal 8 2 2 8 2 4" xfId="29755" xr:uid="{C4438444-B443-4676-AEBF-87C1022E458B}"/>
    <cellStyle name="Normal 8 2 2 8 2 5" xfId="12867" xr:uid="{AFB85122-4065-481F-98E1-A9C91B4D5415}"/>
    <cellStyle name="Normal 8 2 2 8 3" xfId="6498" xr:uid="{00000000-0005-0000-0000-0000901C0000}"/>
    <cellStyle name="Normal 8 2 2 8 3 2" xfId="23381" xr:uid="{778133DF-5E2A-4B80-98E0-A579A2A60A44}"/>
    <cellStyle name="Normal 8 2 2 8 3 3" xfId="31827" xr:uid="{CAA30C9C-7674-439D-8612-D3D9AFD4173A}"/>
    <cellStyle name="Normal 8 2 2 8 3 4" xfId="14940" xr:uid="{45D8F5B1-1D7D-45C0-8640-5B087997EBEF}"/>
    <cellStyle name="Normal 8 2 2 8 4" xfId="19163" xr:uid="{8FAE2774-723C-4350-8B63-45FFD7FB701E}"/>
    <cellStyle name="Normal 8 2 2 8 5" xfId="27608" xr:uid="{D020560B-139E-401A-9F61-6B3B9F6E388E}"/>
    <cellStyle name="Normal 8 2 2 8 6" xfId="10722" xr:uid="{1A37F3F3-C032-4960-B24D-B066C1A7DBBF}"/>
    <cellStyle name="Normal 8 2 2 9" xfId="2627" xr:uid="{00000000-0005-0000-0000-0000911C0000}"/>
    <cellStyle name="Normal 8 2 2 9 2" xfId="6911" xr:uid="{00000000-0005-0000-0000-0000921C0000}"/>
    <cellStyle name="Normal 8 2 2 9 2 2" xfId="23794" xr:uid="{BBE817FE-DA5B-49B7-B10C-9407AFE58E11}"/>
    <cellStyle name="Normal 8 2 2 9 2 3" xfId="32240" xr:uid="{F45D19DA-E265-4976-9A9C-084E79318478}"/>
    <cellStyle name="Normal 8 2 2 9 2 4" xfId="15353" xr:uid="{F5453059-34D0-4CBD-83FD-8A544845638F}"/>
    <cellStyle name="Normal 8 2 2 9 3" xfId="19576" xr:uid="{FF900F78-6FE0-4886-8C15-162B94598D54}"/>
    <cellStyle name="Normal 8 2 2 9 4" xfId="28021" xr:uid="{9989C2AB-E4B5-4C21-9351-B5560CF46FC2}"/>
    <cellStyle name="Normal 8 2 2 9 5" xfId="11135" xr:uid="{6127A7CF-0238-4EBA-BF8D-2E0EA743A835}"/>
    <cellStyle name="Normal 8 2 3" xfId="488" xr:uid="{00000000-0005-0000-0000-0000931C0000}"/>
    <cellStyle name="Normal 8 2 3 10" xfId="17519" xr:uid="{27B2094E-6566-496D-BC26-60496F9BFA31}"/>
    <cellStyle name="Normal 8 2 3 11" xfId="25964" xr:uid="{53B9D8F6-5D5E-4616-B4B6-17194BB9C03F}"/>
    <cellStyle name="Normal 8 2 3 12" xfId="9078" xr:uid="{64320854-C54F-49E0-A2F7-4D9D493E6C6D}"/>
    <cellStyle name="Normal 8 2 3 2" xfId="489" xr:uid="{00000000-0005-0000-0000-0000941C0000}"/>
    <cellStyle name="Normal 8 2 3 2 10" xfId="25965" xr:uid="{D17B96F3-533C-4A04-B936-115B60E61EB0}"/>
    <cellStyle name="Normal 8 2 3 2 11" xfId="9079" xr:uid="{E2531EDB-77F0-4F78-A6A7-6841C478D49C}"/>
    <cellStyle name="Normal 8 2 3 2 2" xfId="490" xr:uid="{00000000-0005-0000-0000-0000951C0000}"/>
    <cellStyle name="Normal 8 2 3 2 2 10" xfId="9080" xr:uid="{5DF5DF94-85DF-4918-8CA3-0457C647CD89}"/>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24297" xr:uid="{B90777AA-2DDB-4F28-BE13-AE7D3BB73B93}"/>
    <cellStyle name="Normal 8 2 3 2 2 2 2 2 3" xfId="32743" xr:uid="{042C5FA2-1C55-4EF4-8BC6-BBC64DE23502}"/>
    <cellStyle name="Normal 8 2 3 2 2 2 2 2 4" xfId="15856" xr:uid="{8F5499A4-A33E-4A92-A071-AB9208A2317F}"/>
    <cellStyle name="Normal 8 2 3 2 2 2 2 3" xfId="20079" xr:uid="{75B55486-0DF1-4CD9-BF70-41C7028ECF75}"/>
    <cellStyle name="Normal 8 2 3 2 2 2 2 4" xfId="28526" xr:uid="{E8E825BE-2D4A-4965-971A-2083B6C3C181}"/>
    <cellStyle name="Normal 8 2 3 2 2 2 2 5" xfId="11638" xr:uid="{50FF1951-10C4-4FEE-BC79-A0C090DFC63F}"/>
    <cellStyle name="Normal 8 2 3 2 2 2 3" xfId="5269" xr:uid="{00000000-0005-0000-0000-0000991C0000}"/>
    <cellStyle name="Normal 8 2 3 2 2 2 3 2" xfId="22152" xr:uid="{47EB9852-51A5-4040-9D08-35F182B3EA00}"/>
    <cellStyle name="Normal 8 2 3 2 2 2 3 3" xfId="30598" xr:uid="{D9387FC9-CD60-4095-9D56-2CDE420B652C}"/>
    <cellStyle name="Normal 8 2 3 2 2 2 3 4" xfId="13711" xr:uid="{E4A9D954-C24D-45DC-A031-387D7BCDA820}"/>
    <cellStyle name="Normal 8 2 3 2 2 2 4" xfId="17934" xr:uid="{2D5CBA49-9AB2-415D-B03B-42B94904DD81}"/>
    <cellStyle name="Normal 8 2 3 2 2 2 5" xfId="26379" xr:uid="{6F4172A3-7525-4A30-9B24-588D373240E5}"/>
    <cellStyle name="Normal 8 2 3 2 2 2 6" xfId="9493" xr:uid="{9AD2611D-8575-404B-BDCF-189DF62609B1}"/>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24710" xr:uid="{5CFB3E0B-C806-49F6-9E87-6134055CC23D}"/>
    <cellStyle name="Normal 8 2 3 2 2 3 2 2 3" xfId="33156" xr:uid="{6CA9EC7C-5CDE-42FD-83FF-39758BA0CE32}"/>
    <cellStyle name="Normal 8 2 3 2 2 3 2 2 4" xfId="16269" xr:uid="{A6074B8B-1CCD-4CE0-8497-C71EEF8DA5E0}"/>
    <cellStyle name="Normal 8 2 3 2 2 3 2 3" xfId="20492" xr:uid="{15074664-100D-49E5-8E30-6A1A4179DC48}"/>
    <cellStyle name="Normal 8 2 3 2 2 3 2 4" xfId="28939" xr:uid="{2F95CD55-B94A-4C6A-9271-970786801D93}"/>
    <cellStyle name="Normal 8 2 3 2 2 3 2 5" xfId="12051" xr:uid="{6E12377A-EBB9-4C0D-8364-16B87B3D8F9F}"/>
    <cellStyle name="Normal 8 2 3 2 2 3 3" xfId="5682" xr:uid="{00000000-0005-0000-0000-00009D1C0000}"/>
    <cellStyle name="Normal 8 2 3 2 2 3 3 2" xfId="22565" xr:uid="{B3D26353-F4EF-4D95-AF46-E0823D3887FE}"/>
    <cellStyle name="Normal 8 2 3 2 2 3 3 3" xfId="31011" xr:uid="{9A07C278-A86E-451A-9A63-ADA6434D9C8F}"/>
    <cellStyle name="Normal 8 2 3 2 2 3 3 4" xfId="14124" xr:uid="{8E987EAA-BEDB-412D-B145-EA606BF3256B}"/>
    <cellStyle name="Normal 8 2 3 2 2 3 4" xfId="18347" xr:uid="{F2626F46-2CA0-48BD-9230-BEB0ED68F297}"/>
    <cellStyle name="Normal 8 2 3 2 2 3 5" xfId="26792" xr:uid="{E1E06291-56A0-470A-82B8-42709124F0C5}"/>
    <cellStyle name="Normal 8 2 3 2 2 3 6" xfId="9906" xr:uid="{E45BE2E3-513E-4A19-9108-01A30ACE0EEE}"/>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25123" xr:uid="{E7B9CBD9-3EA6-488F-A4A5-72A6691FD32C}"/>
    <cellStyle name="Normal 8 2 3 2 2 4 2 2 3" xfId="33569" xr:uid="{7297173E-BFD4-4DFE-836C-79A060CC7AE7}"/>
    <cellStyle name="Normal 8 2 3 2 2 4 2 2 4" xfId="16682" xr:uid="{2E15DC64-2EFA-4A14-A40E-6696DBA00974}"/>
    <cellStyle name="Normal 8 2 3 2 2 4 2 3" xfId="20905" xr:uid="{15331C76-7A2E-4531-AE52-013C0D306F42}"/>
    <cellStyle name="Normal 8 2 3 2 2 4 2 4" xfId="29352" xr:uid="{BE966DE7-AD8A-4C39-BF62-3ECFB13A3C97}"/>
    <cellStyle name="Normal 8 2 3 2 2 4 2 5" xfId="12464" xr:uid="{76A8E214-EE71-46BC-8741-E32E66A86C2C}"/>
    <cellStyle name="Normal 8 2 3 2 2 4 3" xfId="6095" xr:uid="{00000000-0005-0000-0000-0000A11C0000}"/>
    <cellStyle name="Normal 8 2 3 2 2 4 3 2" xfId="22978" xr:uid="{8F2660B8-74DD-475D-B98D-85D214AC5EBB}"/>
    <cellStyle name="Normal 8 2 3 2 2 4 3 3" xfId="31424" xr:uid="{640C3DBD-AE3A-48E1-8B1E-CD15592A227F}"/>
    <cellStyle name="Normal 8 2 3 2 2 4 3 4" xfId="14537" xr:uid="{DE965915-B793-4943-8112-87C76B885328}"/>
    <cellStyle name="Normal 8 2 3 2 2 4 4" xfId="18760" xr:uid="{9654F8BC-5FA2-4ECA-A99D-7D1D57849816}"/>
    <cellStyle name="Normal 8 2 3 2 2 4 5" xfId="27205" xr:uid="{7E901FF0-EF65-4C65-B93E-7DAE1D78A91E}"/>
    <cellStyle name="Normal 8 2 3 2 2 4 6" xfId="10319" xr:uid="{CDD1D596-80F7-4BAE-B06D-BFEE627C9A6E}"/>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25536" xr:uid="{F1F83DD9-96F1-4CA9-9F9C-B8FA7F1522C0}"/>
    <cellStyle name="Normal 8 2 3 2 2 5 2 2 3" xfId="33982" xr:uid="{FFB4F123-B2AA-4A7C-971B-F7C1C4591431}"/>
    <cellStyle name="Normal 8 2 3 2 2 5 2 2 4" xfId="17095" xr:uid="{215FA956-72ED-4540-835D-37759F915BE2}"/>
    <cellStyle name="Normal 8 2 3 2 2 5 2 3" xfId="21318" xr:uid="{4F2FD375-29E7-4BE1-8603-7C2D97250D5E}"/>
    <cellStyle name="Normal 8 2 3 2 2 5 2 4" xfId="29765" xr:uid="{1984317C-C3CA-42EC-A210-254410789562}"/>
    <cellStyle name="Normal 8 2 3 2 2 5 2 5" xfId="12877" xr:uid="{D535B9BC-6300-45FD-8693-E09B12B21004}"/>
    <cellStyle name="Normal 8 2 3 2 2 5 3" xfId="6508" xr:uid="{00000000-0005-0000-0000-0000A51C0000}"/>
    <cellStyle name="Normal 8 2 3 2 2 5 3 2" xfId="23391" xr:uid="{5EB7912E-B146-4380-A054-72D98B71E2EF}"/>
    <cellStyle name="Normal 8 2 3 2 2 5 3 3" xfId="31837" xr:uid="{FB5ED74E-5347-47D8-B06B-25F8911609BE}"/>
    <cellStyle name="Normal 8 2 3 2 2 5 3 4" xfId="14950" xr:uid="{FA0479AC-3ACD-40AF-8640-59AF49246458}"/>
    <cellStyle name="Normal 8 2 3 2 2 5 4" xfId="19173" xr:uid="{FC878CE9-CC2C-4B2A-989E-9CB2589BBD96}"/>
    <cellStyle name="Normal 8 2 3 2 2 5 5" xfId="27618" xr:uid="{5476E724-F2A6-409E-85DC-B5455601E487}"/>
    <cellStyle name="Normal 8 2 3 2 2 5 6" xfId="10732" xr:uid="{2833AAF6-2B88-4432-BD88-A6B9CB9DDD64}"/>
    <cellStyle name="Normal 8 2 3 2 2 6" xfId="2637" xr:uid="{00000000-0005-0000-0000-0000A61C0000}"/>
    <cellStyle name="Normal 8 2 3 2 2 6 2" xfId="6921" xr:uid="{00000000-0005-0000-0000-0000A71C0000}"/>
    <cellStyle name="Normal 8 2 3 2 2 6 2 2" xfId="23804" xr:uid="{52CEAAFC-8A94-4188-9873-85812C8882F4}"/>
    <cellStyle name="Normal 8 2 3 2 2 6 2 3" xfId="32250" xr:uid="{765211DE-30A6-40CF-BE01-0343B9B5CFDC}"/>
    <cellStyle name="Normal 8 2 3 2 2 6 2 4" xfId="15363" xr:uid="{9DE8B2E3-0632-4A46-AC6B-DDFC1AED79A2}"/>
    <cellStyle name="Normal 8 2 3 2 2 6 3" xfId="19586" xr:uid="{A1530A26-9585-418E-87FF-E93708394E5E}"/>
    <cellStyle name="Normal 8 2 3 2 2 6 4" xfId="28031" xr:uid="{4DE33FD5-8F5E-42EF-83CB-7CC11B3E119A}"/>
    <cellStyle name="Normal 8 2 3 2 2 6 5" xfId="11145" xr:uid="{D7BDCAB6-70EE-4802-B3B2-363E8A052E37}"/>
    <cellStyle name="Normal 8 2 3 2 2 7" xfId="4856" xr:uid="{00000000-0005-0000-0000-0000A81C0000}"/>
    <cellStyle name="Normal 8 2 3 2 2 7 2" xfId="21739" xr:uid="{F709A40E-EFD2-4BFD-ADE5-A2506ABA6805}"/>
    <cellStyle name="Normal 8 2 3 2 2 7 3" xfId="30185" xr:uid="{4DD9BD9B-C299-4659-9731-C53256AF9EFB}"/>
    <cellStyle name="Normal 8 2 3 2 2 7 4" xfId="13298" xr:uid="{EC60FFB1-A6D5-4631-A4CA-4FAAFBCAEEAC}"/>
    <cellStyle name="Normal 8 2 3 2 2 8" xfId="17521" xr:uid="{4A42BBB8-49DA-480F-98E0-BF115FCF01C5}"/>
    <cellStyle name="Normal 8 2 3 2 2 9" xfId="25966" xr:uid="{FF40D75B-8D81-4464-B9EA-006BFB1C3572}"/>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24296" xr:uid="{339D50F8-478E-4951-9B25-5568C635A194}"/>
    <cellStyle name="Normal 8 2 3 2 3 2 2 3" xfId="32742" xr:uid="{A795A0E5-03B8-455E-B567-51A4BADFE203}"/>
    <cellStyle name="Normal 8 2 3 2 3 2 2 4" xfId="15855" xr:uid="{CCDDC6E8-E641-45A4-8F04-91544262D656}"/>
    <cellStyle name="Normal 8 2 3 2 3 2 3" xfId="20078" xr:uid="{9F1E5EBE-4D31-4253-975F-45B70BF66422}"/>
    <cellStyle name="Normal 8 2 3 2 3 2 4" xfId="28525" xr:uid="{2C50FC79-AE38-4955-8F58-B07A3C8B8730}"/>
    <cellStyle name="Normal 8 2 3 2 3 2 5" xfId="11637" xr:uid="{01273A5B-912F-4369-A4F2-A3EC5F03730A}"/>
    <cellStyle name="Normal 8 2 3 2 3 3" xfId="5268" xr:uid="{00000000-0005-0000-0000-0000AC1C0000}"/>
    <cellStyle name="Normal 8 2 3 2 3 3 2" xfId="22151" xr:uid="{65602DEB-D38B-4953-9933-9455012419C9}"/>
    <cellStyle name="Normal 8 2 3 2 3 3 3" xfId="30597" xr:uid="{C1163F32-F97C-4B82-AA7B-BAF11FC23B94}"/>
    <cellStyle name="Normal 8 2 3 2 3 3 4" xfId="13710" xr:uid="{6E583748-67E2-47B4-AE6B-7FB727974873}"/>
    <cellStyle name="Normal 8 2 3 2 3 4" xfId="17933" xr:uid="{D1AAF5E1-424E-4CC4-A1EB-FB36C2208574}"/>
    <cellStyle name="Normal 8 2 3 2 3 5" xfId="26378" xr:uid="{793DC532-A3B3-4294-885A-EC851000F059}"/>
    <cellStyle name="Normal 8 2 3 2 3 6" xfId="9492" xr:uid="{B6AE9BCC-1012-4496-83DE-FC5A97A38454}"/>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24709" xr:uid="{70313444-CB8E-4168-9B86-3AFCA826E634}"/>
    <cellStyle name="Normal 8 2 3 2 4 2 2 3" xfId="33155" xr:uid="{688FFC99-C820-401D-8922-F95328F63118}"/>
    <cellStyle name="Normal 8 2 3 2 4 2 2 4" xfId="16268" xr:uid="{9E4FD278-B519-45C6-9039-18B1F0B0D1A2}"/>
    <cellStyle name="Normal 8 2 3 2 4 2 3" xfId="20491" xr:uid="{D5028F69-4DBB-4E37-BA50-B3781FD637FF}"/>
    <cellStyle name="Normal 8 2 3 2 4 2 4" xfId="28938" xr:uid="{A54079EB-121F-4EF7-BD28-F8B706B0B0DC}"/>
    <cellStyle name="Normal 8 2 3 2 4 2 5" xfId="12050" xr:uid="{5DF01CF2-98AD-4EF4-88FB-18C9C5655454}"/>
    <cellStyle name="Normal 8 2 3 2 4 3" xfId="5681" xr:uid="{00000000-0005-0000-0000-0000B01C0000}"/>
    <cellStyle name="Normal 8 2 3 2 4 3 2" xfId="22564" xr:uid="{77C0AB79-EFE0-4847-8DA2-EE4FC5D9C5FF}"/>
    <cellStyle name="Normal 8 2 3 2 4 3 3" xfId="31010" xr:uid="{51F9D6D2-8D85-431D-987B-671C46303821}"/>
    <cellStyle name="Normal 8 2 3 2 4 3 4" xfId="14123" xr:uid="{19D85454-0BA4-435C-BB3A-25CF397CE6D1}"/>
    <cellStyle name="Normal 8 2 3 2 4 4" xfId="18346" xr:uid="{FFF5828E-7BEB-41F8-B8D4-E742046767C3}"/>
    <cellStyle name="Normal 8 2 3 2 4 5" xfId="26791" xr:uid="{43093E05-F831-4DC9-8AA3-0798E16B941A}"/>
    <cellStyle name="Normal 8 2 3 2 4 6" xfId="9905" xr:uid="{125ABF1D-9C9F-43EF-AFF3-C1A9D89D1102}"/>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25122" xr:uid="{9E6F1E00-3F8F-485F-952F-3270D9929991}"/>
    <cellStyle name="Normal 8 2 3 2 5 2 2 3" xfId="33568" xr:uid="{B3004187-662E-4591-96E2-1BB2226E5AAA}"/>
    <cellStyle name="Normal 8 2 3 2 5 2 2 4" xfId="16681" xr:uid="{A28E6E60-7332-4DC3-B5BD-BB0EE84F6A33}"/>
    <cellStyle name="Normal 8 2 3 2 5 2 3" xfId="20904" xr:uid="{4DE92E91-EC67-4B91-8C71-2646921778BF}"/>
    <cellStyle name="Normal 8 2 3 2 5 2 4" xfId="29351" xr:uid="{7DEEE91F-42AB-41C8-815D-DC35A574A9F3}"/>
    <cellStyle name="Normal 8 2 3 2 5 2 5" xfId="12463" xr:uid="{D00BD471-3134-4D15-8337-E6C98E414BC7}"/>
    <cellStyle name="Normal 8 2 3 2 5 3" xfId="6094" xr:uid="{00000000-0005-0000-0000-0000B41C0000}"/>
    <cellStyle name="Normal 8 2 3 2 5 3 2" xfId="22977" xr:uid="{A93899AA-8D6D-42F3-8B89-C1DA531719B8}"/>
    <cellStyle name="Normal 8 2 3 2 5 3 3" xfId="31423" xr:uid="{D64A1A06-E639-4020-956C-CD3A1EA0E91E}"/>
    <cellStyle name="Normal 8 2 3 2 5 3 4" xfId="14536" xr:uid="{720631A1-067A-4557-83CD-CA28CA2DE2B4}"/>
    <cellStyle name="Normal 8 2 3 2 5 4" xfId="18759" xr:uid="{0BEF51A9-E5DE-4B4A-8705-5F90EDC1F33F}"/>
    <cellStyle name="Normal 8 2 3 2 5 5" xfId="27204" xr:uid="{4C85D860-3BDA-4146-869E-F783AACD7A03}"/>
    <cellStyle name="Normal 8 2 3 2 5 6" xfId="10318" xr:uid="{D23F93C0-D287-481F-A982-4F745262A5FD}"/>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25535" xr:uid="{04BBA8C7-C5AF-4705-8234-C60EF16EF520}"/>
    <cellStyle name="Normal 8 2 3 2 6 2 2 3" xfId="33981" xr:uid="{251BCC78-790B-4B78-A8AC-34C1A7BE3461}"/>
    <cellStyle name="Normal 8 2 3 2 6 2 2 4" xfId="17094" xr:uid="{9E5F0729-B671-4E4B-A741-8D36BA6CACB9}"/>
    <cellStyle name="Normal 8 2 3 2 6 2 3" xfId="21317" xr:uid="{331345C5-872B-4D11-AE5B-9E756D5F2BC9}"/>
    <cellStyle name="Normal 8 2 3 2 6 2 4" xfId="29764" xr:uid="{57CB8B06-BA83-4D53-A005-9CA18907853A}"/>
    <cellStyle name="Normal 8 2 3 2 6 2 5" xfId="12876" xr:uid="{6CD21FFD-9297-4716-8B28-647BAEDDA903}"/>
    <cellStyle name="Normal 8 2 3 2 6 3" xfId="6507" xr:uid="{00000000-0005-0000-0000-0000B81C0000}"/>
    <cellStyle name="Normal 8 2 3 2 6 3 2" xfId="23390" xr:uid="{2890CCAB-C5A6-4214-B19C-438AB4C6349D}"/>
    <cellStyle name="Normal 8 2 3 2 6 3 3" xfId="31836" xr:uid="{3B4F3EB0-45F4-464A-9327-4AA94EC75CA3}"/>
    <cellStyle name="Normal 8 2 3 2 6 3 4" xfId="14949" xr:uid="{F7BFC6AE-5EB3-4490-AAF0-B39A6B23A3E2}"/>
    <cellStyle name="Normal 8 2 3 2 6 4" xfId="19172" xr:uid="{A72E8107-1677-4CDA-BE2B-DF67A3BB641C}"/>
    <cellStyle name="Normal 8 2 3 2 6 5" xfId="27617" xr:uid="{9C778CDA-B315-4A8F-9952-CD7D25BE54D9}"/>
    <cellStyle name="Normal 8 2 3 2 6 6" xfId="10731" xr:uid="{C9371802-1445-459C-A714-96818F4D4D88}"/>
    <cellStyle name="Normal 8 2 3 2 7" xfId="2636" xr:uid="{00000000-0005-0000-0000-0000B91C0000}"/>
    <cellStyle name="Normal 8 2 3 2 7 2" xfId="6920" xr:uid="{00000000-0005-0000-0000-0000BA1C0000}"/>
    <cellStyle name="Normal 8 2 3 2 7 2 2" xfId="23803" xr:uid="{E624E83B-8CC9-4EF2-8233-CC5F6E38DA02}"/>
    <cellStyle name="Normal 8 2 3 2 7 2 3" xfId="32249" xr:uid="{18D927E1-2C6A-4816-96E4-03AEA17C09BC}"/>
    <cellStyle name="Normal 8 2 3 2 7 2 4" xfId="15362" xr:uid="{7EA02D6B-CF60-4BC7-9321-B56E288C0DB0}"/>
    <cellStyle name="Normal 8 2 3 2 7 3" xfId="19585" xr:uid="{373B89C9-645F-4856-B58D-7BCF61937157}"/>
    <cellStyle name="Normal 8 2 3 2 7 4" xfId="28030" xr:uid="{81F185CB-D4F8-49CF-9164-FD2AE0AC1BC0}"/>
    <cellStyle name="Normal 8 2 3 2 7 5" xfId="11144" xr:uid="{CD0668E5-191D-46B3-B27A-E1F349287050}"/>
    <cellStyle name="Normal 8 2 3 2 8" xfId="4855" xr:uid="{00000000-0005-0000-0000-0000BB1C0000}"/>
    <cellStyle name="Normal 8 2 3 2 8 2" xfId="21738" xr:uid="{F3D8D913-4279-4A6E-809D-A7382805AF9F}"/>
    <cellStyle name="Normal 8 2 3 2 8 3" xfId="30184" xr:uid="{B33B96B1-7C88-42F8-A3C9-146102B6C718}"/>
    <cellStyle name="Normal 8 2 3 2 8 4" xfId="13297" xr:uid="{F96984E4-8BB8-4E34-8127-B7D9F4B56CE1}"/>
    <cellStyle name="Normal 8 2 3 2 9" xfId="17520" xr:uid="{E9B60D5F-9C89-410A-8847-646AD7FFAE10}"/>
    <cellStyle name="Normal 8 2 3 3" xfId="491" xr:uid="{00000000-0005-0000-0000-0000BC1C0000}"/>
    <cellStyle name="Normal 8 2 3 3 10" xfId="9081" xr:uid="{F93CBA26-8A45-461D-8256-6981EF644A91}"/>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24298" xr:uid="{9B6BF644-1163-4C5E-9459-D64945B9C149}"/>
    <cellStyle name="Normal 8 2 3 3 2 2 2 3" xfId="32744" xr:uid="{08D5FBEE-60E0-435E-9B82-DB7CFDF18E10}"/>
    <cellStyle name="Normal 8 2 3 3 2 2 2 4" xfId="15857" xr:uid="{614473B3-BA06-4D0D-B74B-FD8B07F688A6}"/>
    <cellStyle name="Normal 8 2 3 3 2 2 3" xfId="20080" xr:uid="{3C73D8C1-A27F-46FE-8999-2C53204EA187}"/>
    <cellStyle name="Normal 8 2 3 3 2 2 4" xfId="28527" xr:uid="{121CEC74-3687-46F5-8D19-7513643A72CD}"/>
    <cellStyle name="Normal 8 2 3 3 2 2 5" xfId="11639" xr:uid="{A3FB1BB7-8F31-4153-8BDB-D5E1CF988BD5}"/>
    <cellStyle name="Normal 8 2 3 3 2 3" xfId="5270" xr:uid="{00000000-0005-0000-0000-0000C01C0000}"/>
    <cellStyle name="Normal 8 2 3 3 2 3 2" xfId="22153" xr:uid="{8ED76FD0-38EF-43D7-AB64-CEE846FEE716}"/>
    <cellStyle name="Normal 8 2 3 3 2 3 3" xfId="30599" xr:uid="{5C50E6A3-3C3D-46B6-A055-8424BA86E91B}"/>
    <cellStyle name="Normal 8 2 3 3 2 3 4" xfId="13712" xr:uid="{1FD780AA-8799-4230-BFE8-9E3B72A19664}"/>
    <cellStyle name="Normal 8 2 3 3 2 4" xfId="17935" xr:uid="{CE4462A0-3ED9-48B4-9262-891F82E27252}"/>
    <cellStyle name="Normal 8 2 3 3 2 5" xfId="26380" xr:uid="{8690CC0D-CE4C-4AA7-8280-90070068AA9F}"/>
    <cellStyle name="Normal 8 2 3 3 2 6" xfId="9494" xr:uid="{2B40EFD8-2A62-4E1B-AD74-0AE14953D239}"/>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24711" xr:uid="{D9C96BC4-4EAB-4A3E-A95E-D4220BF836ED}"/>
    <cellStyle name="Normal 8 2 3 3 3 2 2 3" xfId="33157" xr:uid="{2F203619-BFFB-4739-8826-FA4EB9CB90FD}"/>
    <cellStyle name="Normal 8 2 3 3 3 2 2 4" xfId="16270" xr:uid="{C522FFA5-9CD9-417C-9D3F-AE94B2083410}"/>
    <cellStyle name="Normal 8 2 3 3 3 2 3" xfId="20493" xr:uid="{0A6A765B-449C-468A-ADCF-A75891429BF3}"/>
    <cellStyle name="Normal 8 2 3 3 3 2 4" xfId="28940" xr:uid="{588FBD51-4248-4690-9E2F-C37E9D96D329}"/>
    <cellStyle name="Normal 8 2 3 3 3 2 5" xfId="12052" xr:uid="{B6DDFC42-E0DE-4EFB-BC3D-FF8C065AA901}"/>
    <cellStyle name="Normal 8 2 3 3 3 3" xfId="5683" xr:uid="{00000000-0005-0000-0000-0000C41C0000}"/>
    <cellStyle name="Normal 8 2 3 3 3 3 2" xfId="22566" xr:uid="{A38E5B28-0054-4A16-9636-3C7B08B32425}"/>
    <cellStyle name="Normal 8 2 3 3 3 3 3" xfId="31012" xr:uid="{DCA4834A-4E5A-4C58-A6FA-CD60098332E5}"/>
    <cellStyle name="Normal 8 2 3 3 3 3 4" xfId="14125" xr:uid="{97292EB8-571B-4D0E-BD24-E21040E932CB}"/>
    <cellStyle name="Normal 8 2 3 3 3 4" xfId="18348" xr:uid="{D43F1B87-8A9C-4D24-B210-5F959AB75B1A}"/>
    <cellStyle name="Normal 8 2 3 3 3 5" xfId="26793" xr:uid="{DF65239E-CD87-466B-8C94-8E7341C2BCE3}"/>
    <cellStyle name="Normal 8 2 3 3 3 6" xfId="9907" xr:uid="{0CF3472D-E3EE-4227-9AD3-E78E71F7A0D2}"/>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25124" xr:uid="{ED4C4C1B-1D83-47B9-851B-5404FC107B73}"/>
    <cellStyle name="Normal 8 2 3 3 4 2 2 3" xfId="33570" xr:uid="{DA77CEA6-93B0-442B-AF7F-89AB72169A79}"/>
    <cellStyle name="Normal 8 2 3 3 4 2 2 4" xfId="16683" xr:uid="{F83121E0-CD80-4032-954E-5AB6F681DB05}"/>
    <cellStyle name="Normal 8 2 3 3 4 2 3" xfId="20906" xr:uid="{4EBCB4AA-E5EB-40A4-BE03-7AFA98D7D2C4}"/>
    <cellStyle name="Normal 8 2 3 3 4 2 4" xfId="29353" xr:uid="{64FBD994-95E7-45D4-A9EC-A7AC0E6D338D}"/>
    <cellStyle name="Normal 8 2 3 3 4 2 5" xfId="12465" xr:uid="{E55129F4-7E7F-4334-AECB-C7E767F87E71}"/>
    <cellStyle name="Normal 8 2 3 3 4 3" xfId="6096" xr:uid="{00000000-0005-0000-0000-0000C81C0000}"/>
    <cellStyle name="Normal 8 2 3 3 4 3 2" xfId="22979" xr:uid="{75995032-CDF7-4100-928D-0C4ABE4084F6}"/>
    <cellStyle name="Normal 8 2 3 3 4 3 3" xfId="31425" xr:uid="{85CB3269-8E59-48C8-9326-A951008C0197}"/>
    <cellStyle name="Normal 8 2 3 3 4 3 4" xfId="14538" xr:uid="{4EC5DD60-BD6E-4794-B0D9-82BD8ABE962D}"/>
    <cellStyle name="Normal 8 2 3 3 4 4" xfId="18761" xr:uid="{7ECF7E48-E1A4-4D56-9A31-AD909EDDAD28}"/>
    <cellStyle name="Normal 8 2 3 3 4 5" xfId="27206" xr:uid="{51F01B05-9E8E-42AB-8BF9-ED1C4B700DEC}"/>
    <cellStyle name="Normal 8 2 3 3 4 6" xfId="10320" xr:uid="{934107AA-5A70-4B34-A3B6-D524A7B5BB1C}"/>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25537" xr:uid="{1E13BEA7-DA0C-4EC3-A430-9AC9D7B2B1FD}"/>
    <cellStyle name="Normal 8 2 3 3 5 2 2 3" xfId="33983" xr:uid="{6B95AC71-418C-4600-8469-E8BEBA6A8A6D}"/>
    <cellStyle name="Normal 8 2 3 3 5 2 2 4" xfId="17096" xr:uid="{258FF85F-E1F5-4749-8E45-3768BA48DA49}"/>
    <cellStyle name="Normal 8 2 3 3 5 2 3" xfId="21319" xr:uid="{FF8DDA11-03D7-45AE-90E8-E79EFC9C69A9}"/>
    <cellStyle name="Normal 8 2 3 3 5 2 4" xfId="29766" xr:uid="{BB9D45F9-0B81-4014-A8D4-62D89AA2D89C}"/>
    <cellStyle name="Normal 8 2 3 3 5 2 5" xfId="12878" xr:uid="{DDC67026-7EBC-44F4-930C-B7AAE546EC30}"/>
    <cellStyle name="Normal 8 2 3 3 5 3" xfId="6509" xr:uid="{00000000-0005-0000-0000-0000CC1C0000}"/>
    <cellStyle name="Normal 8 2 3 3 5 3 2" xfId="23392" xr:uid="{54D23A2E-81A2-46FF-9ADF-D5900776BFA4}"/>
    <cellStyle name="Normal 8 2 3 3 5 3 3" xfId="31838" xr:uid="{174575BC-D7CE-41C2-9A50-C9ACC382FA6E}"/>
    <cellStyle name="Normal 8 2 3 3 5 3 4" xfId="14951" xr:uid="{D5B91F9D-27A5-4838-832B-6666767C407A}"/>
    <cellStyle name="Normal 8 2 3 3 5 4" xfId="19174" xr:uid="{86BBA9DF-6FC3-4CB2-9F95-AFBC2F6B16FB}"/>
    <cellStyle name="Normal 8 2 3 3 5 5" xfId="27619" xr:uid="{1F3D8FCC-BA5F-4314-988B-6DE89A999B3B}"/>
    <cellStyle name="Normal 8 2 3 3 5 6" xfId="10733" xr:uid="{FBD24C2A-0146-45DE-90AA-A8512D402E1C}"/>
    <cellStyle name="Normal 8 2 3 3 6" xfId="2638" xr:uid="{00000000-0005-0000-0000-0000CD1C0000}"/>
    <cellStyle name="Normal 8 2 3 3 6 2" xfId="6922" xr:uid="{00000000-0005-0000-0000-0000CE1C0000}"/>
    <cellStyle name="Normal 8 2 3 3 6 2 2" xfId="23805" xr:uid="{39B38402-8A74-4F8A-A4DF-039C9BF70606}"/>
    <cellStyle name="Normal 8 2 3 3 6 2 3" xfId="32251" xr:uid="{E3F7757A-0667-4AFC-868C-1871BEC69A54}"/>
    <cellStyle name="Normal 8 2 3 3 6 2 4" xfId="15364" xr:uid="{AF4FAB16-1EE7-4EB8-A993-EFB223652C3A}"/>
    <cellStyle name="Normal 8 2 3 3 6 3" xfId="19587" xr:uid="{EA6B34A0-AC7E-4AB2-A4C0-4FEF020CD5BB}"/>
    <cellStyle name="Normal 8 2 3 3 6 4" xfId="28032" xr:uid="{31142324-DD57-4ECA-9848-A78395C5C009}"/>
    <cellStyle name="Normal 8 2 3 3 6 5" xfId="11146" xr:uid="{C9F03A8A-2D7B-499A-B2D0-AFDB8AB18C9F}"/>
    <cellStyle name="Normal 8 2 3 3 7" xfId="4857" xr:uid="{00000000-0005-0000-0000-0000CF1C0000}"/>
    <cellStyle name="Normal 8 2 3 3 7 2" xfId="21740" xr:uid="{81B7982E-67D8-4F66-A8EF-B58EE35B90FB}"/>
    <cellStyle name="Normal 8 2 3 3 7 3" xfId="30186" xr:uid="{4A0895EE-BDAB-454E-9395-3815BB2742B7}"/>
    <cellStyle name="Normal 8 2 3 3 7 4" xfId="13299" xr:uid="{701FC2C9-8DC0-4E5E-B442-509FCEFDDB88}"/>
    <cellStyle name="Normal 8 2 3 3 8" xfId="17522" xr:uid="{E69F4339-AA9F-468C-9FDB-17869384777D}"/>
    <cellStyle name="Normal 8 2 3 3 9" xfId="25967" xr:uid="{A7976B48-2AC5-4818-95EA-D5A945575AC6}"/>
    <cellStyle name="Normal 8 2 3 4" xfId="955" xr:uid="{00000000-0005-0000-0000-0000D01C0000}"/>
    <cellStyle name="Normal 8 2 3 4 2" xfId="3189" xr:uid="{00000000-0005-0000-0000-0000D11C0000}"/>
    <cellStyle name="Normal 8 2 3 4 2 2" xfId="7412" xr:uid="{00000000-0005-0000-0000-0000D21C0000}"/>
    <cellStyle name="Normal 8 2 3 4 2 2 2" xfId="24295" xr:uid="{2CD736B5-C606-43C9-BF8B-A14D67B7417E}"/>
    <cellStyle name="Normal 8 2 3 4 2 2 3" xfId="32741" xr:uid="{9DA9F836-4251-475E-8010-628A55307597}"/>
    <cellStyle name="Normal 8 2 3 4 2 2 4" xfId="15854" xr:uid="{1F46B3DE-2739-43F5-A823-BC8F8B3FBE7C}"/>
    <cellStyle name="Normal 8 2 3 4 2 3" xfId="20077" xr:uid="{754CB569-564C-4450-B140-2F69EC940D64}"/>
    <cellStyle name="Normal 8 2 3 4 2 4" xfId="28524" xr:uid="{24F55608-0CF9-4842-B07B-F7EDC31ED9D4}"/>
    <cellStyle name="Normal 8 2 3 4 2 5" xfId="11636" xr:uid="{F9856649-F118-48C6-8752-D3334C7F5CD7}"/>
    <cellStyle name="Normal 8 2 3 4 3" xfId="5267" xr:uid="{00000000-0005-0000-0000-0000D31C0000}"/>
    <cellStyle name="Normal 8 2 3 4 3 2" xfId="22150" xr:uid="{78B45087-E8B1-4CD5-9ECC-C411C154DE69}"/>
    <cellStyle name="Normal 8 2 3 4 3 3" xfId="30596" xr:uid="{D2887CF7-1AA1-4907-A877-C3059583148B}"/>
    <cellStyle name="Normal 8 2 3 4 3 4" xfId="13709" xr:uid="{0648D880-EB74-44E4-A522-540E1A459FC6}"/>
    <cellStyle name="Normal 8 2 3 4 4" xfId="17932" xr:uid="{6BFB1BFB-1AD1-4490-8DA9-D43615CD56CE}"/>
    <cellStyle name="Normal 8 2 3 4 5" xfId="26377" xr:uid="{5BE9653A-1088-44F5-85A2-B5BAF806AE05}"/>
    <cellStyle name="Normal 8 2 3 4 6" xfId="9491" xr:uid="{02F6BF45-EC11-49C9-9AE6-67DCB6A9F10C}"/>
    <cellStyle name="Normal 8 2 3 5" xfId="1372" xr:uid="{00000000-0005-0000-0000-0000D41C0000}"/>
    <cellStyle name="Normal 8 2 3 5 2" xfId="3602" xr:uid="{00000000-0005-0000-0000-0000D51C0000}"/>
    <cellStyle name="Normal 8 2 3 5 2 2" xfId="7825" xr:uid="{00000000-0005-0000-0000-0000D61C0000}"/>
    <cellStyle name="Normal 8 2 3 5 2 2 2" xfId="24708" xr:uid="{AF94AF93-E40A-4A76-A521-552F1ABAF920}"/>
    <cellStyle name="Normal 8 2 3 5 2 2 3" xfId="33154" xr:uid="{1C8E55C9-C917-4E54-91E9-147702D9A2A4}"/>
    <cellStyle name="Normal 8 2 3 5 2 2 4" xfId="16267" xr:uid="{E7CB860D-50A9-4B39-9808-BCBEA112D3B7}"/>
    <cellStyle name="Normal 8 2 3 5 2 3" xfId="20490" xr:uid="{61E27720-284B-4CEA-B195-6DCD02BB5FD1}"/>
    <cellStyle name="Normal 8 2 3 5 2 4" xfId="28937" xr:uid="{394F12DC-DE5B-4856-B821-AE21AEE8304E}"/>
    <cellStyle name="Normal 8 2 3 5 2 5" xfId="12049" xr:uid="{C2E430AD-7BE4-448D-8F03-8E179458039F}"/>
    <cellStyle name="Normal 8 2 3 5 3" xfId="5680" xr:uid="{00000000-0005-0000-0000-0000D71C0000}"/>
    <cellStyle name="Normal 8 2 3 5 3 2" xfId="22563" xr:uid="{2613F4F6-BD98-4DEC-A589-22C9EBC26BBD}"/>
    <cellStyle name="Normal 8 2 3 5 3 3" xfId="31009" xr:uid="{042118B2-28E1-43D3-96A9-347E8BEFE123}"/>
    <cellStyle name="Normal 8 2 3 5 3 4" xfId="14122" xr:uid="{6CCDAA43-065F-4C04-B97E-1E9CC35C27D6}"/>
    <cellStyle name="Normal 8 2 3 5 4" xfId="18345" xr:uid="{C7EFECF0-EF91-450E-AB82-BBD3037542E3}"/>
    <cellStyle name="Normal 8 2 3 5 5" xfId="26790" xr:uid="{6BA804CB-9BF9-4644-9707-A2DF41149730}"/>
    <cellStyle name="Normal 8 2 3 5 6" xfId="9904" xr:uid="{9D4E3073-CBAE-4141-B157-181DE9FD510A}"/>
    <cellStyle name="Normal 8 2 3 6" xfId="1785" xr:uid="{00000000-0005-0000-0000-0000D81C0000}"/>
    <cellStyle name="Normal 8 2 3 6 2" xfId="4015" xr:uid="{00000000-0005-0000-0000-0000D91C0000}"/>
    <cellStyle name="Normal 8 2 3 6 2 2" xfId="8238" xr:uid="{00000000-0005-0000-0000-0000DA1C0000}"/>
    <cellStyle name="Normal 8 2 3 6 2 2 2" xfId="25121" xr:uid="{A68D2B5C-96AE-4F9F-A6F0-D02E5D370CF2}"/>
    <cellStyle name="Normal 8 2 3 6 2 2 3" xfId="33567" xr:uid="{E3D255F0-6C26-42B4-BE6E-A74F4D1726B6}"/>
    <cellStyle name="Normal 8 2 3 6 2 2 4" xfId="16680" xr:uid="{B89883CE-6156-496E-9986-FB7DF211E49B}"/>
    <cellStyle name="Normal 8 2 3 6 2 3" xfId="20903" xr:uid="{0EE52AD2-02DB-456A-A53A-E8E69679BDCF}"/>
    <cellStyle name="Normal 8 2 3 6 2 4" xfId="29350" xr:uid="{6A0CB2D1-C11D-4D9A-BB7A-92B13762E736}"/>
    <cellStyle name="Normal 8 2 3 6 2 5" xfId="12462" xr:uid="{AE2B0366-00AD-47B5-876F-1AC7F5A272C2}"/>
    <cellStyle name="Normal 8 2 3 6 3" xfId="6093" xr:uid="{00000000-0005-0000-0000-0000DB1C0000}"/>
    <cellStyle name="Normal 8 2 3 6 3 2" xfId="22976" xr:uid="{4D53E66C-6557-4075-ABF9-D6D70B8411AD}"/>
    <cellStyle name="Normal 8 2 3 6 3 3" xfId="31422" xr:uid="{B3ECDBCF-66B5-4FD8-8EA7-A1889AA461B3}"/>
    <cellStyle name="Normal 8 2 3 6 3 4" xfId="14535" xr:uid="{3CAA43D6-B668-4EFD-950B-C23BDAFE6A47}"/>
    <cellStyle name="Normal 8 2 3 6 4" xfId="18758" xr:uid="{A40D8ADE-5E95-4407-B14E-C0CA4625CA8D}"/>
    <cellStyle name="Normal 8 2 3 6 5" xfId="27203" xr:uid="{FC4D72CF-F36C-4E54-A985-FA19C1D1E7F9}"/>
    <cellStyle name="Normal 8 2 3 6 6" xfId="10317" xr:uid="{570300EE-C560-4767-8A8B-DEB683B69A78}"/>
    <cellStyle name="Normal 8 2 3 7" xfId="2199" xr:uid="{00000000-0005-0000-0000-0000DC1C0000}"/>
    <cellStyle name="Normal 8 2 3 7 2" xfId="4428" xr:uid="{00000000-0005-0000-0000-0000DD1C0000}"/>
    <cellStyle name="Normal 8 2 3 7 2 2" xfId="8651" xr:uid="{00000000-0005-0000-0000-0000DE1C0000}"/>
    <cellStyle name="Normal 8 2 3 7 2 2 2" xfId="25534" xr:uid="{738B981E-EC4A-40FB-BDE1-6CEB034CD4C8}"/>
    <cellStyle name="Normal 8 2 3 7 2 2 3" xfId="33980" xr:uid="{F543C89F-917F-429E-B7F1-DC69CF0B617C}"/>
    <cellStyle name="Normal 8 2 3 7 2 2 4" xfId="17093" xr:uid="{25FC553A-054D-42B3-ACD9-0B73E393C93C}"/>
    <cellStyle name="Normal 8 2 3 7 2 3" xfId="21316" xr:uid="{5BB155D0-0541-4361-A1C8-257DB267F448}"/>
    <cellStyle name="Normal 8 2 3 7 2 4" xfId="29763" xr:uid="{CFA9907E-6065-42A3-80E9-A2BF53F2ED46}"/>
    <cellStyle name="Normal 8 2 3 7 2 5" xfId="12875" xr:uid="{5F5DDC3A-1000-4470-A0C4-3D5DBAA53EB2}"/>
    <cellStyle name="Normal 8 2 3 7 3" xfId="6506" xr:uid="{00000000-0005-0000-0000-0000DF1C0000}"/>
    <cellStyle name="Normal 8 2 3 7 3 2" xfId="23389" xr:uid="{D211DA7E-4D0B-40AC-96AA-14FD77227DC8}"/>
    <cellStyle name="Normal 8 2 3 7 3 3" xfId="31835" xr:uid="{BEC4C909-A9A8-4187-AF71-AB1E6CDFAF57}"/>
    <cellStyle name="Normal 8 2 3 7 3 4" xfId="14948" xr:uid="{992F0CA1-8A0C-405A-9C50-FD58D9104730}"/>
    <cellStyle name="Normal 8 2 3 7 4" xfId="19171" xr:uid="{95518786-239F-4270-9A48-53659B948950}"/>
    <cellStyle name="Normal 8 2 3 7 5" xfId="27616" xr:uid="{434AF615-2711-4229-A72D-2AA1D062AF42}"/>
    <cellStyle name="Normal 8 2 3 7 6" xfId="10730" xr:uid="{FB959A53-6453-4AA8-BAC1-536838AFCEC2}"/>
    <cellStyle name="Normal 8 2 3 8" xfId="2635" xr:uid="{00000000-0005-0000-0000-0000E01C0000}"/>
    <cellStyle name="Normal 8 2 3 8 2" xfId="6919" xr:uid="{00000000-0005-0000-0000-0000E11C0000}"/>
    <cellStyle name="Normal 8 2 3 8 2 2" xfId="23802" xr:uid="{966EC704-FE52-4AB3-8E48-312FCE1B2671}"/>
    <cellStyle name="Normal 8 2 3 8 2 3" xfId="32248" xr:uid="{9CC4931A-A96C-4031-92F6-A7358FC9C1BD}"/>
    <cellStyle name="Normal 8 2 3 8 2 4" xfId="15361" xr:uid="{EACD29CE-5A51-4CD4-8EDB-E4FF9FFFA56A}"/>
    <cellStyle name="Normal 8 2 3 8 3" xfId="19584" xr:uid="{A6C9719E-6DDE-451C-B271-351A79BA6F42}"/>
    <cellStyle name="Normal 8 2 3 8 4" xfId="28029" xr:uid="{421F8F00-645F-476B-AD7C-7922EF3E3A33}"/>
    <cellStyle name="Normal 8 2 3 8 5" xfId="11143" xr:uid="{56130764-7475-40F5-8EC2-3769059291B6}"/>
    <cellStyle name="Normal 8 2 3 9" xfId="4854" xr:uid="{00000000-0005-0000-0000-0000E21C0000}"/>
    <cellStyle name="Normal 8 2 3 9 2" xfId="21737" xr:uid="{18F949EB-B5E0-488A-96AE-D614F54926C7}"/>
    <cellStyle name="Normal 8 2 3 9 3" xfId="30183" xr:uid="{1457E69F-0A02-49C5-8746-B855B48FEFE3}"/>
    <cellStyle name="Normal 8 2 3 9 4" xfId="13296" xr:uid="{27803EDA-2A40-490E-A3FB-E014719B3C61}"/>
    <cellStyle name="Normal 8 2 4" xfId="492" xr:uid="{00000000-0005-0000-0000-0000E31C0000}"/>
    <cellStyle name="Normal 8 2 4 10" xfId="25968" xr:uid="{FCAD4ED9-9FFD-4FF8-825B-9F199CFCA697}"/>
    <cellStyle name="Normal 8 2 4 11" xfId="9082" xr:uid="{15663A80-0105-4B65-9C74-DD478918FAF0}"/>
    <cellStyle name="Normal 8 2 4 2" xfId="493" xr:uid="{00000000-0005-0000-0000-0000E41C0000}"/>
    <cellStyle name="Normal 8 2 4 2 10" xfId="9083" xr:uid="{B352E86E-7505-4D5E-905B-C8DFD5A3850C}"/>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24300" xr:uid="{F218BE9D-109C-419B-AA35-C9FED4E06BAA}"/>
    <cellStyle name="Normal 8 2 4 2 2 2 2 3" xfId="32746" xr:uid="{F6D0E772-E9C6-49D9-A620-049B3A22C6C7}"/>
    <cellStyle name="Normal 8 2 4 2 2 2 2 4" xfId="15859" xr:uid="{57685624-1B33-49CD-85E1-83AE82CBD01A}"/>
    <cellStyle name="Normal 8 2 4 2 2 2 3" xfId="20082" xr:uid="{6B71E700-4CD5-4054-8046-D7DCBD664766}"/>
    <cellStyle name="Normal 8 2 4 2 2 2 4" xfId="28529" xr:uid="{4422CF73-4A2D-4B7D-B776-53F3FF42EA05}"/>
    <cellStyle name="Normal 8 2 4 2 2 2 5" xfId="11641" xr:uid="{8141D594-9079-4B47-986D-DE46FEBDCB2E}"/>
    <cellStyle name="Normal 8 2 4 2 2 3" xfId="5272" xr:uid="{00000000-0005-0000-0000-0000E81C0000}"/>
    <cellStyle name="Normal 8 2 4 2 2 3 2" xfId="22155" xr:uid="{F12BEF02-CF35-493F-A013-C6551DA97AC9}"/>
    <cellStyle name="Normal 8 2 4 2 2 3 3" xfId="30601" xr:uid="{D15891FD-EFB4-4ABD-BD27-2BBBAE4C83B1}"/>
    <cellStyle name="Normal 8 2 4 2 2 3 4" xfId="13714" xr:uid="{ABDDD1A4-86D3-4D71-8F47-B0EBAA2084EF}"/>
    <cellStyle name="Normal 8 2 4 2 2 4" xfId="17937" xr:uid="{6D7A3FEF-CB22-4BE0-80C6-BD6FB4CD82B5}"/>
    <cellStyle name="Normal 8 2 4 2 2 5" xfId="26382" xr:uid="{8A33DA6B-8697-4309-8199-AE88A689AEB2}"/>
    <cellStyle name="Normal 8 2 4 2 2 6" xfId="9496" xr:uid="{E286C947-F676-4D22-AF5D-C928B0AE98A4}"/>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24713" xr:uid="{7E7D5506-E5E0-4BA8-923A-2EB88F6393CC}"/>
    <cellStyle name="Normal 8 2 4 2 3 2 2 3" xfId="33159" xr:uid="{C8E1C1FF-05ED-461D-B6DF-6CCA34452E9B}"/>
    <cellStyle name="Normal 8 2 4 2 3 2 2 4" xfId="16272" xr:uid="{F44FE15E-B259-4C95-B56A-A7456D508BB3}"/>
    <cellStyle name="Normal 8 2 4 2 3 2 3" xfId="20495" xr:uid="{3266579E-7571-4A3B-BB72-CAA9A7B9B362}"/>
    <cellStyle name="Normal 8 2 4 2 3 2 4" xfId="28942" xr:uid="{D80BCCBF-91F9-4E45-8923-A8CC752AA4B9}"/>
    <cellStyle name="Normal 8 2 4 2 3 2 5" xfId="12054" xr:uid="{E961037A-2811-4702-A2B8-A8CFA15DADF8}"/>
    <cellStyle name="Normal 8 2 4 2 3 3" xfId="5685" xr:uid="{00000000-0005-0000-0000-0000EC1C0000}"/>
    <cellStyle name="Normal 8 2 4 2 3 3 2" xfId="22568" xr:uid="{0528C9E4-9066-4C24-9B90-D16399DC6DE1}"/>
    <cellStyle name="Normal 8 2 4 2 3 3 3" xfId="31014" xr:uid="{328F8487-3C40-4DD6-B38B-AF6C8A299790}"/>
    <cellStyle name="Normal 8 2 4 2 3 3 4" xfId="14127" xr:uid="{502FB91C-E1D9-4813-9473-1E5EC8DDC8F3}"/>
    <cellStyle name="Normal 8 2 4 2 3 4" xfId="18350" xr:uid="{3C0EA040-2985-420F-BCCF-BA99730889E1}"/>
    <cellStyle name="Normal 8 2 4 2 3 5" xfId="26795" xr:uid="{5F661776-299F-4EE1-9672-C66033D4D702}"/>
    <cellStyle name="Normal 8 2 4 2 3 6" xfId="9909" xr:uid="{BD16559E-2BB6-4F83-A32D-9A5595D12F37}"/>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25126" xr:uid="{3779A8EA-5527-42F8-A28A-9CBF431FD0C6}"/>
    <cellStyle name="Normal 8 2 4 2 4 2 2 3" xfId="33572" xr:uid="{080841BD-772E-4DD1-9332-D0B2DEF84380}"/>
    <cellStyle name="Normal 8 2 4 2 4 2 2 4" xfId="16685" xr:uid="{EB9664C8-3BDF-424D-AEF3-B5F8E46804E0}"/>
    <cellStyle name="Normal 8 2 4 2 4 2 3" xfId="20908" xr:uid="{857F760F-497D-4DF9-A589-7B2474ACB0BA}"/>
    <cellStyle name="Normal 8 2 4 2 4 2 4" xfId="29355" xr:uid="{B1EE54EE-646F-4A4E-9209-E72DAE8E6ADE}"/>
    <cellStyle name="Normal 8 2 4 2 4 2 5" xfId="12467" xr:uid="{747E1B1D-6F98-4E38-B5A8-2F7397825C3B}"/>
    <cellStyle name="Normal 8 2 4 2 4 3" xfId="6098" xr:uid="{00000000-0005-0000-0000-0000F01C0000}"/>
    <cellStyle name="Normal 8 2 4 2 4 3 2" xfId="22981" xr:uid="{9B2E75B4-E5E3-49D5-A475-233B72687260}"/>
    <cellStyle name="Normal 8 2 4 2 4 3 3" xfId="31427" xr:uid="{2A8C87A6-CFCF-47FB-B514-E2B3F1356FB8}"/>
    <cellStyle name="Normal 8 2 4 2 4 3 4" xfId="14540" xr:uid="{EDA65585-4678-4786-ABE6-EFD654722CEA}"/>
    <cellStyle name="Normal 8 2 4 2 4 4" xfId="18763" xr:uid="{4B15BAC8-FC19-47B5-90A7-A93CBFAF34E0}"/>
    <cellStyle name="Normal 8 2 4 2 4 5" xfId="27208" xr:uid="{F7F1896B-837D-4A7A-A44E-61497C412738}"/>
    <cellStyle name="Normal 8 2 4 2 4 6" xfId="10322" xr:uid="{8B1F66FF-AA05-4F52-A96B-F8905ABB85BD}"/>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25539" xr:uid="{13E9A3FC-1AB0-4738-9A0E-27A1F38ADC4B}"/>
    <cellStyle name="Normal 8 2 4 2 5 2 2 3" xfId="33985" xr:uid="{70C5EA82-A1EA-4795-8DD4-DED05DDAAC10}"/>
    <cellStyle name="Normal 8 2 4 2 5 2 2 4" xfId="17098" xr:uid="{A1285963-8C03-4465-A492-3946F7F8512D}"/>
    <cellStyle name="Normal 8 2 4 2 5 2 3" xfId="21321" xr:uid="{422A1BC8-A32A-4A91-A173-DA3EBEF23104}"/>
    <cellStyle name="Normal 8 2 4 2 5 2 4" xfId="29768" xr:uid="{B0DA559E-4AEE-4F20-B734-6DB0B0CFCDAC}"/>
    <cellStyle name="Normal 8 2 4 2 5 2 5" xfId="12880" xr:uid="{66B42C27-878E-4E22-83A7-1C29C696DBB4}"/>
    <cellStyle name="Normal 8 2 4 2 5 3" xfId="6511" xr:uid="{00000000-0005-0000-0000-0000F41C0000}"/>
    <cellStyle name="Normal 8 2 4 2 5 3 2" xfId="23394" xr:uid="{886467B9-13C2-475E-927D-9309DBDB6429}"/>
    <cellStyle name="Normal 8 2 4 2 5 3 3" xfId="31840" xr:uid="{6C12A2EC-76C2-4619-A92F-C2F008F11690}"/>
    <cellStyle name="Normal 8 2 4 2 5 3 4" xfId="14953" xr:uid="{08020139-6C89-4614-ACDD-0098D7A0A7F1}"/>
    <cellStyle name="Normal 8 2 4 2 5 4" xfId="19176" xr:uid="{7F001926-3DDE-4BF2-B1BF-2D51008B2B2B}"/>
    <cellStyle name="Normal 8 2 4 2 5 5" xfId="27621" xr:uid="{88E340A4-2607-4584-B985-52F84D4B4BF8}"/>
    <cellStyle name="Normal 8 2 4 2 5 6" xfId="10735" xr:uid="{A97D2545-E3A2-4831-A414-0852107164F1}"/>
    <cellStyle name="Normal 8 2 4 2 6" xfId="2640" xr:uid="{00000000-0005-0000-0000-0000F51C0000}"/>
    <cellStyle name="Normal 8 2 4 2 6 2" xfId="6924" xr:uid="{00000000-0005-0000-0000-0000F61C0000}"/>
    <cellStyle name="Normal 8 2 4 2 6 2 2" xfId="23807" xr:uid="{5E936E48-6CB6-43C1-964F-3BFBA58E1807}"/>
    <cellStyle name="Normal 8 2 4 2 6 2 3" xfId="32253" xr:uid="{F123258D-02EF-49CC-9BC4-EF4CAA74D97D}"/>
    <cellStyle name="Normal 8 2 4 2 6 2 4" xfId="15366" xr:uid="{E55681B9-7CBB-45CB-A3CF-74FCAC1241CE}"/>
    <cellStyle name="Normal 8 2 4 2 6 3" xfId="19589" xr:uid="{FB669498-299E-484D-9827-8D174178D7CD}"/>
    <cellStyle name="Normal 8 2 4 2 6 4" xfId="28034" xr:uid="{657EDF35-4EE1-4191-BF6D-390BFBD75FBF}"/>
    <cellStyle name="Normal 8 2 4 2 6 5" xfId="11148" xr:uid="{6C61ECAA-2FB6-45C4-BDB9-9B0D4809AB85}"/>
    <cellStyle name="Normal 8 2 4 2 7" xfId="4859" xr:uid="{00000000-0005-0000-0000-0000F71C0000}"/>
    <cellStyle name="Normal 8 2 4 2 7 2" xfId="21742" xr:uid="{14279E8B-7344-4B79-B6EB-BA6F3ACDE21C}"/>
    <cellStyle name="Normal 8 2 4 2 7 3" xfId="30188" xr:uid="{71BF4243-EBF0-48CF-B2F4-DB076D574495}"/>
    <cellStyle name="Normal 8 2 4 2 7 4" xfId="13301" xr:uid="{A49E8190-D872-47EC-8BE8-CF01336ABD72}"/>
    <cellStyle name="Normal 8 2 4 2 8" xfId="17524" xr:uid="{8BBFAEFD-98B8-4405-A649-ABBC3AFFCDB6}"/>
    <cellStyle name="Normal 8 2 4 2 9" xfId="25969" xr:uid="{28FEA43F-B057-4EBE-AB89-66A1D196C890}"/>
    <cellStyle name="Normal 8 2 4 3" xfId="959" xr:uid="{00000000-0005-0000-0000-0000F81C0000}"/>
    <cellStyle name="Normal 8 2 4 3 2" xfId="3193" xr:uid="{00000000-0005-0000-0000-0000F91C0000}"/>
    <cellStyle name="Normal 8 2 4 3 2 2" xfId="7416" xr:uid="{00000000-0005-0000-0000-0000FA1C0000}"/>
    <cellStyle name="Normal 8 2 4 3 2 2 2" xfId="24299" xr:uid="{46865E78-73B4-4B0F-AC72-FCD3DE4ABA27}"/>
    <cellStyle name="Normal 8 2 4 3 2 2 3" xfId="32745" xr:uid="{7F9214F7-027A-49F9-899C-E51A14109E93}"/>
    <cellStyle name="Normal 8 2 4 3 2 2 4" xfId="15858" xr:uid="{3F54D8D4-58F0-47ED-8800-119FF488C5E3}"/>
    <cellStyle name="Normal 8 2 4 3 2 3" xfId="20081" xr:uid="{9F5772DC-7611-4C3B-A9B1-8A38434A5ADD}"/>
    <cellStyle name="Normal 8 2 4 3 2 4" xfId="28528" xr:uid="{894F9D82-D871-4424-A558-5DC8BDF849E6}"/>
    <cellStyle name="Normal 8 2 4 3 2 5" xfId="11640" xr:uid="{CC72295C-C894-4CBC-AF18-E6758B6DFAA4}"/>
    <cellStyle name="Normal 8 2 4 3 3" xfId="5271" xr:uid="{00000000-0005-0000-0000-0000FB1C0000}"/>
    <cellStyle name="Normal 8 2 4 3 3 2" xfId="22154" xr:uid="{3F6AD33D-2534-4C78-B1FF-61EB09108AAE}"/>
    <cellStyle name="Normal 8 2 4 3 3 3" xfId="30600" xr:uid="{AFC536F0-EC1D-4E9B-94BE-9670C0142B98}"/>
    <cellStyle name="Normal 8 2 4 3 3 4" xfId="13713" xr:uid="{83B55AB3-A6BE-4C37-81B8-3CFF0292241B}"/>
    <cellStyle name="Normal 8 2 4 3 4" xfId="17936" xr:uid="{D851B69F-5A75-4CBE-A22B-D80DEA10414C}"/>
    <cellStyle name="Normal 8 2 4 3 5" xfId="26381" xr:uid="{014B622A-4D2D-4D2B-B272-2A8010637C54}"/>
    <cellStyle name="Normal 8 2 4 3 6" xfId="9495" xr:uid="{5BC70E6F-D20F-4EB3-82FB-A997E4D5A06B}"/>
    <cellStyle name="Normal 8 2 4 4" xfId="1376" xr:uid="{00000000-0005-0000-0000-0000FC1C0000}"/>
    <cellStyle name="Normal 8 2 4 4 2" xfId="3606" xr:uid="{00000000-0005-0000-0000-0000FD1C0000}"/>
    <cellStyle name="Normal 8 2 4 4 2 2" xfId="7829" xr:uid="{00000000-0005-0000-0000-0000FE1C0000}"/>
    <cellStyle name="Normal 8 2 4 4 2 2 2" xfId="24712" xr:uid="{7BC2B16C-5B3A-4BE8-8682-DE40C6F2744D}"/>
    <cellStyle name="Normal 8 2 4 4 2 2 3" xfId="33158" xr:uid="{41775BAA-0691-4C47-8C1A-86826F990C82}"/>
    <cellStyle name="Normal 8 2 4 4 2 2 4" xfId="16271" xr:uid="{9BF5124C-FE13-4BDB-8192-095D590FA61D}"/>
    <cellStyle name="Normal 8 2 4 4 2 3" xfId="20494" xr:uid="{76FEFD96-A4BB-465D-8512-BE47F4F66D77}"/>
    <cellStyle name="Normal 8 2 4 4 2 4" xfId="28941" xr:uid="{8A7DBD22-FDA3-42E1-95EF-74C0D99DC46C}"/>
    <cellStyle name="Normal 8 2 4 4 2 5" xfId="12053" xr:uid="{F40176F8-C7A3-4726-B910-E2E16097203F}"/>
    <cellStyle name="Normal 8 2 4 4 3" xfId="5684" xr:uid="{00000000-0005-0000-0000-0000FF1C0000}"/>
    <cellStyle name="Normal 8 2 4 4 3 2" xfId="22567" xr:uid="{10627444-2739-4B0B-955F-43C8C34C1469}"/>
    <cellStyle name="Normal 8 2 4 4 3 3" xfId="31013" xr:uid="{44F46A7B-C6DC-4317-9E5D-29FD6FBCEF15}"/>
    <cellStyle name="Normal 8 2 4 4 3 4" xfId="14126" xr:uid="{D89AF704-611C-4CCF-9FF1-FD2801AD18C1}"/>
    <cellStyle name="Normal 8 2 4 4 4" xfId="18349" xr:uid="{3D3624D0-105C-463A-B07B-4BD09B47326C}"/>
    <cellStyle name="Normal 8 2 4 4 5" xfId="26794" xr:uid="{06F6589F-C604-4C97-B2A7-29AD11287AC3}"/>
    <cellStyle name="Normal 8 2 4 4 6" xfId="9908" xr:uid="{1C9E0E79-D7B7-4ABB-8B74-3DDC14E60AC8}"/>
    <cellStyle name="Normal 8 2 4 5" xfId="1789" xr:uid="{00000000-0005-0000-0000-0000001D0000}"/>
    <cellStyle name="Normal 8 2 4 5 2" xfId="4019" xr:uid="{00000000-0005-0000-0000-0000011D0000}"/>
    <cellStyle name="Normal 8 2 4 5 2 2" xfId="8242" xr:uid="{00000000-0005-0000-0000-0000021D0000}"/>
    <cellStyle name="Normal 8 2 4 5 2 2 2" xfId="25125" xr:uid="{0104407D-3DB5-47F9-B03B-AE5690CF41C0}"/>
    <cellStyle name="Normal 8 2 4 5 2 2 3" xfId="33571" xr:uid="{A340DC46-F15E-408A-8336-CCFA3164771B}"/>
    <cellStyle name="Normal 8 2 4 5 2 2 4" xfId="16684" xr:uid="{50616F9C-0586-499A-9438-E6DECBC82AE4}"/>
    <cellStyle name="Normal 8 2 4 5 2 3" xfId="20907" xr:uid="{F9EFDBCD-A18E-484F-A0BF-5712AD059564}"/>
    <cellStyle name="Normal 8 2 4 5 2 4" xfId="29354" xr:uid="{2BB69AE8-5BBE-4960-8CC9-924804BD9545}"/>
    <cellStyle name="Normal 8 2 4 5 2 5" xfId="12466" xr:uid="{92DB2F80-88BB-4406-B5FB-429CA54BB7DB}"/>
    <cellStyle name="Normal 8 2 4 5 3" xfId="6097" xr:uid="{00000000-0005-0000-0000-0000031D0000}"/>
    <cellStyle name="Normal 8 2 4 5 3 2" xfId="22980" xr:uid="{9E97A51F-4764-4EED-9804-31A216D2A9DB}"/>
    <cellStyle name="Normal 8 2 4 5 3 3" xfId="31426" xr:uid="{D8E749A7-AA6E-4E35-87A7-964A73568746}"/>
    <cellStyle name="Normal 8 2 4 5 3 4" xfId="14539" xr:uid="{287B74C6-054C-40D1-BC64-A0CC8D1EA0E3}"/>
    <cellStyle name="Normal 8 2 4 5 4" xfId="18762" xr:uid="{61D80DD5-24A1-4BBD-9B01-3074CF39FE43}"/>
    <cellStyle name="Normal 8 2 4 5 5" xfId="27207" xr:uid="{D7BD14CE-1EAD-4295-B92A-D46DFAD61DE6}"/>
    <cellStyle name="Normal 8 2 4 5 6" xfId="10321" xr:uid="{F23534DD-1D2B-470B-AB0E-604912747D31}"/>
    <cellStyle name="Normal 8 2 4 6" xfId="2203" xr:uid="{00000000-0005-0000-0000-0000041D0000}"/>
    <cellStyle name="Normal 8 2 4 6 2" xfId="4432" xr:uid="{00000000-0005-0000-0000-0000051D0000}"/>
    <cellStyle name="Normal 8 2 4 6 2 2" xfId="8655" xr:uid="{00000000-0005-0000-0000-0000061D0000}"/>
    <cellStyle name="Normal 8 2 4 6 2 2 2" xfId="25538" xr:uid="{29AA8B22-9114-49C9-8F58-5DA3974BEA03}"/>
    <cellStyle name="Normal 8 2 4 6 2 2 3" xfId="33984" xr:uid="{3B12FFE6-083D-4173-BC32-8E562DEC3706}"/>
    <cellStyle name="Normal 8 2 4 6 2 2 4" xfId="17097" xr:uid="{8E21F93D-9E39-42AF-9C64-9342D1FE5BC5}"/>
    <cellStyle name="Normal 8 2 4 6 2 3" xfId="21320" xr:uid="{3D027B7C-9471-4EE0-8DAE-305CB3A9B9B5}"/>
    <cellStyle name="Normal 8 2 4 6 2 4" xfId="29767" xr:uid="{58A0EBFD-F7C5-49D5-9BED-715FD57390EF}"/>
    <cellStyle name="Normal 8 2 4 6 2 5" xfId="12879" xr:uid="{DC3B18D4-70AD-4E87-A39F-37DB8DB34159}"/>
    <cellStyle name="Normal 8 2 4 6 3" xfId="6510" xr:uid="{00000000-0005-0000-0000-0000071D0000}"/>
    <cellStyle name="Normal 8 2 4 6 3 2" xfId="23393" xr:uid="{B42F9585-54B4-4E59-8203-E2692B4BEDA4}"/>
    <cellStyle name="Normal 8 2 4 6 3 3" xfId="31839" xr:uid="{23CFCE59-5C73-4F2D-9DD7-27D76E2D1DA9}"/>
    <cellStyle name="Normal 8 2 4 6 3 4" xfId="14952" xr:uid="{42D13E0D-0619-4107-986A-D53410E7D492}"/>
    <cellStyle name="Normal 8 2 4 6 4" xfId="19175" xr:uid="{203849DF-5419-46DB-A365-CEB42DBBBB78}"/>
    <cellStyle name="Normal 8 2 4 6 5" xfId="27620" xr:uid="{A7249D3D-C353-43EC-B1C9-3308E3B3679F}"/>
    <cellStyle name="Normal 8 2 4 6 6" xfId="10734" xr:uid="{54052CEE-9609-4C87-81D9-CC63B35C6A87}"/>
    <cellStyle name="Normal 8 2 4 7" xfId="2639" xr:uid="{00000000-0005-0000-0000-0000081D0000}"/>
    <cellStyle name="Normal 8 2 4 7 2" xfId="6923" xr:uid="{00000000-0005-0000-0000-0000091D0000}"/>
    <cellStyle name="Normal 8 2 4 7 2 2" xfId="23806" xr:uid="{13401355-1355-4985-8049-6541F1DBCBE7}"/>
    <cellStyle name="Normal 8 2 4 7 2 3" xfId="32252" xr:uid="{70E3C421-7361-4B60-8A66-463C89EC69BC}"/>
    <cellStyle name="Normal 8 2 4 7 2 4" xfId="15365" xr:uid="{038E96F9-0AA7-4E5E-AEA2-10DC284C71BC}"/>
    <cellStyle name="Normal 8 2 4 7 3" xfId="19588" xr:uid="{34B03A09-5173-41FA-967B-0F41DB52138B}"/>
    <cellStyle name="Normal 8 2 4 7 4" xfId="28033" xr:uid="{936739CF-4118-46CB-B4D7-40AB5321724F}"/>
    <cellStyle name="Normal 8 2 4 7 5" xfId="11147" xr:uid="{CCAA1E2B-8488-45AC-8F4C-105BCA39C290}"/>
    <cellStyle name="Normal 8 2 4 8" xfId="4858" xr:uid="{00000000-0005-0000-0000-00000A1D0000}"/>
    <cellStyle name="Normal 8 2 4 8 2" xfId="21741" xr:uid="{5AA5EF91-0B7C-4BFB-B7BD-3C96140479BA}"/>
    <cellStyle name="Normal 8 2 4 8 3" xfId="30187" xr:uid="{C33AAFAF-A625-4466-B26A-D9230094B60F}"/>
    <cellStyle name="Normal 8 2 4 8 4" xfId="13300" xr:uid="{480092E8-289F-4ED9-A2AA-18F9CB7A07EA}"/>
    <cellStyle name="Normal 8 2 4 9" xfId="17523" xr:uid="{D4AAF764-E8E8-439C-AC53-D41C79BD8578}"/>
    <cellStyle name="Normal 8 2 5" xfId="494" xr:uid="{00000000-0005-0000-0000-00000B1D0000}"/>
    <cellStyle name="Normal 8 2 5 10" xfId="9084" xr:uid="{E0981BD6-0238-4184-B545-A3307BC2EECA}"/>
    <cellStyle name="Normal 8 2 5 2" xfId="961" xr:uid="{00000000-0005-0000-0000-00000C1D0000}"/>
    <cellStyle name="Normal 8 2 5 2 2" xfId="3195" xr:uid="{00000000-0005-0000-0000-00000D1D0000}"/>
    <cellStyle name="Normal 8 2 5 2 2 2" xfId="7418" xr:uid="{00000000-0005-0000-0000-00000E1D0000}"/>
    <cellStyle name="Normal 8 2 5 2 2 2 2" xfId="24301" xr:uid="{C609AEDB-36F6-4AD6-9304-F826268C0586}"/>
    <cellStyle name="Normal 8 2 5 2 2 2 3" xfId="32747" xr:uid="{7D5AD45C-B30B-434F-B061-CB72BC02E3FC}"/>
    <cellStyle name="Normal 8 2 5 2 2 2 4" xfId="15860" xr:uid="{AA917AA2-4A22-4EE9-99A4-3C4C16B49A7A}"/>
    <cellStyle name="Normal 8 2 5 2 2 3" xfId="20083" xr:uid="{0F486538-68A7-429C-8761-267A018130A4}"/>
    <cellStyle name="Normal 8 2 5 2 2 4" xfId="28530" xr:uid="{6399095E-1281-473F-8DA5-38DE8BA24526}"/>
    <cellStyle name="Normal 8 2 5 2 2 5" xfId="11642" xr:uid="{E0F41C0D-418F-413A-A216-382769909403}"/>
    <cellStyle name="Normal 8 2 5 2 3" xfId="5273" xr:uid="{00000000-0005-0000-0000-00000F1D0000}"/>
    <cellStyle name="Normal 8 2 5 2 3 2" xfId="22156" xr:uid="{77287E69-5708-4C88-A4B4-E6D5A462786E}"/>
    <cellStyle name="Normal 8 2 5 2 3 3" xfId="30602" xr:uid="{4683BDB1-E655-486C-BE4B-CCD0442BFD22}"/>
    <cellStyle name="Normal 8 2 5 2 3 4" xfId="13715" xr:uid="{9268A17E-A5FE-41F9-A73C-762608327211}"/>
    <cellStyle name="Normal 8 2 5 2 4" xfId="17938" xr:uid="{708344EC-5920-4AD7-85DB-58E57AD38178}"/>
    <cellStyle name="Normal 8 2 5 2 5" xfId="26383" xr:uid="{95C1273E-51BB-46DD-8AF2-CD471AA4FD7D}"/>
    <cellStyle name="Normal 8 2 5 2 6" xfId="9497" xr:uid="{96563C43-A663-4143-A7F5-F0B8973FFA7E}"/>
    <cellStyle name="Normal 8 2 5 3" xfId="1378" xr:uid="{00000000-0005-0000-0000-0000101D0000}"/>
    <cellStyle name="Normal 8 2 5 3 2" xfId="3608" xr:uid="{00000000-0005-0000-0000-0000111D0000}"/>
    <cellStyle name="Normal 8 2 5 3 2 2" xfId="7831" xr:uid="{00000000-0005-0000-0000-0000121D0000}"/>
    <cellStyle name="Normal 8 2 5 3 2 2 2" xfId="24714" xr:uid="{72CF3B19-9B26-4705-B042-DB1904F84388}"/>
    <cellStyle name="Normal 8 2 5 3 2 2 3" xfId="33160" xr:uid="{29BF806D-77A3-4E1E-89C3-D27F603F5337}"/>
    <cellStyle name="Normal 8 2 5 3 2 2 4" xfId="16273" xr:uid="{74B7DCA8-FFE4-4F9A-8636-D69AA659E31C}"/>
    <cellStyle name="Normal 8 2 5 3 2 3" xfId="20496" xr:uid="{2D996D60-1E54-4DE1-B3A9-208CF0BD4461}"/>
    <cellStyle name="Normal 8 2 5 3 2 4" xfId="28943" xr:uid="{EA8CE3D4-DA86-46C3-A065-EF1BEE803131}"/>
    <cellStyle name="Normal 8 2 5 3 2 5" xfId="12055" xr:uid="{C7458160-2B72-456C-9AD6-FB4DDD943A09}"/>
    <cellStyle name="Normal 8 2 5 3 3" xfId="5686" xr:uid="{00000000-0005-0000-0000-0000131D0000}"/>
    <cellStyle name="Normal 8 2 5 3 3 2" xfId="22569" xr:uid="{3F1D7737-B67D-4BAB-AF13-5ADDE43CCDA7}"/>
    <cellStyle name="Normal 8 2 5 3 3 3" xfId="31015" xr:uid="{6F8A632C-58E1-47E5-874E-866C627C2834}"/>
    <cellStyle name="Normal 8 2 5 3 3 4" xfId="14128" xr:uid="{6A1B15FB-00E2-48DB-8D5A-E439D9E02EC1}"/>
    <cellStyle name="Normal 8 2 5 3 4" xfId="18351" xr:uid="{86F825F6-C4E0-4A3A-A5AE-FA4152746F30}"/>
    <cellStyle name="Normal 8 2 5 3 5" xfId="26796" xr:uid="{163F9351-94A9-4A57-84FB-19767E2933CB}"/>
    <cellStyle name="Normal 8 2 5 3 6" xfId="9910" xr:uid="{0C4F44E9-95A3-4990-B3B8-2F1748B21E6F}"/>
    <cellStyle name="Normal 8 2 5 4" xfId="1791" xr:uid="{00000000-0005-0000-0000-0000141D0000}"/>
    <cellStyle name="Normal 8 2 5 4 2" xfId="4021" xr:uid="{00000000-0005-0000-0000-0000151D0000}"/>
    <cellStyle name="Normal 8 2 5 4 2 2" xfId="8244" xr:uid="{00000000-0005-0000-0000-0000161D0000}"/>
    <cellStyle name="Normal 8 2 5 4 2 2 2" xfId="25127" xr:uid="{C1B75E42-A47B-42C8-9BE2-FEAEA77A7077}"/>
    <cellStyle name="Normal 8 2 5 4 2 2 3" xfId="33573" xr:uid="{D725DD4D-75C3-43DF-9963-16A78F874C9D}"/>
    <cellStyle name="Normal 8 2 5 4 2 2 4" xfId="16686" xr:uid="{5C7AA0A5-9F82-4DEA-BFFF-38367A57EF3A}"/>
    <cellStyle name="Normal 8 2 5 4 2 3" xfId="20909" xr:uid="{8FD82E64-E7C2-428D-A456-EB45EE70AE98}"/>
    <cellStyle name="Normal 8 2 5 4 2 4" xfId="29356" xr:uid="{5CFDC7CD-040E-4F51-8FF1-13E436FFA8C0}"/>
    <cellStyle name="Normal 8 2 5 4 2 5" xfId="12468" xr:uid="{E0699A71-5326-4B48-AB5C-F843B15F8193}"/>
    <cellStyle name="Normal 8 2 5 4 3" xfId="6099" xr:uid="{00000000-0005-0000-0000-0000171D0000}"/>
    <cellStyle name="Normal 8 2 5 4 3 2" xfId="22982" xr:uid="{AE3BE61E-CCB5-4AB3-A01A-550BB09B2D9E}"/>
    <cellStyle name="Normal 8 2 5 4 3 3" xfId="31428" xr:uid="{52893ACE-8B85-4781-A27D-2E14B2325DF6}"/>
    <cellStyle name="Normal 8 2 5 4 3 4" xfId="14541" xr:uid="{7B3E0554-53BC-48A6-8730-C801F94DF898}"/>
    <cellStyle name="Normal 8 2 5 4 4" xfId="18764" xr:uid="{4D6E25DA-72E6-45B8-B2AB-987F3A49CE32}"/>
    <cellStyle name="Normal 8 2 5 4 5" xfId="27209" xr:uid="{0D612C88-7BA8-4B17-9E47-7B7930F212B3}"/>
    <cellStyle name="Normal 8 2 5 4 6" xfId="10323" xr:uid="{13882378-37DF-466D-ADB5-F5D7B1D7FD85}"/>
    <cellStyle name="Normal 8 2 5 5" xfId="2205" xr:uid="{00000000-0005-0000-0000-0000181D0000}"/>
    <cellStyle name="Normal 8 2 5 5 2" xfId="4434" xr:uid="{00000000-0005-0000-0000-0000191D0000}"/>
    <cellStyle name="Normal 8 2 5 5 2 2" xfId="8657" xr:uid="{00000000-0005-0000-0000-00001A1D0000}"/>
    <cellStyle name="Normal 8 2 5 5 2 2 2" xfId="25540" xr:uid="{3EB13AFB-5B03-4748-9CC9-3DEB534E37F1}"/>
    <cellStyle name="Normal 8 2 5 5 2 2 3" xfId="33986" xr:uid="{64CAFCD7-F9AF-4B89-8F07-8AFAC34CC604}"/>
    <cellStyle name="Normal 8 2 5 5 2 2 4" xfId="17099" xr:uid="{352DA86B-06D5-461A-809E-8AD297E007CC}"/>
    <cellStyle name="Normal 8 2 5 5 2 3" xfId="21322" xr:uid="{43F30EB7-E572-4C78-B0B3-2CF006958DE4}"/>
    <cellStyle name="Normal 8 2 5 5 2 4" xfId="29769" xr:uid="{F2B5E6F5-0AF2-48E4-A8C3-C4643F240C29}"/>
    <cellStyle name="Normal 8 2 5 5 2 5" xfId="12881" xr:uid="{CB02925E-D70A-49ED-A544-F51AFD8F8250}"/>
    <cellStyle name="Normal 8 2 5 5 3" xfId="6512" xr:uid="{00000000-0005-0000-0000-00001B1D0000}"/>
    <cellStyle name="Normal 8 2 5 5 3 2" xfId="23395" xr:uid="{20E295C1-836D-48DA-BAA6-8DDF22E7327C}"/>
    <cellStyle name="Normal 8 2 5 5 3 3" xfId="31841" xr:uid="{B69D235D-A3D1-40BA-9BFF-382137F2F458}"/>
    <cellStyle name="Normal 8 2 5 5 3 4" xfId="14954" xr:uid="{D2ABDA08-7264-4EC5-A13C-B251B5C57D5E}"/>
    <cellStyle name="Normal 8 2 5 5 4" xfId="19177" xr:uid="{FAB4BCE9-B953-4F97-B6BD-B672AEED38EC}"/>
    <cellStyle name="Normal 8 2 5 5 5" xfId="27622" xr:uid="{80A99238-12E4-4BBF-A9F7-E0387EF5AB27}"/>
    <cellStyle name="Normal 8 2 5 5 6" xfId="10736" xr:uid="{51E4864C-4588-47F7-94E6-82C794C2A87F}"/>
    <cellStyle name="Normal 8 2 5 6" xfId="2641" xr:uid="{00000000-0005-0000-0000-00001C1D0000}"/>
    <cellStyle name="Normal 8 2 5 6 2" xfId="6925" xr:uid="{00000000-0005-0000-0000-00001D1D0000}"/>
    <cellStyle name="Normal 8 2 5 6 2 2" xfId="23808" xr:uid="{242D1CD1-F4D9-48E3-8497-D8FF218CAB29}"/>
    <cellStyle name="Normal 8 2 5 6 2 3" xfId="32254" xr:uid="{065D41BA-A4AA-44DD-9660-B66ED1096398}"/>
    <cellStyle name="Normal 8 2 5 6 2 4" xfId="15367" xr:uid="{2DF853CD-24DA-43F9-8F87-F0B32018FD05}"/>
    <cellStyle name="Normal 8 2 5 6 3" xfId="19590" xr:uid="{2D12BEA1-5142-4E68-8D4C-1539A50A2DBB}"/>
    <cellStyle name="Normal 8 2 5 6 4" xfId="28035" xr:uid="{0E6EF322-7ACB-4BF7-9CCB-4690D284A053}"/>
    <cellStyle name="Normal 8 2 5 6 5" xfId="11149" xr:uid="{8CC194D0-F813-42F7-A9AE-7E3ABFE4836B}"/>
    <cellStyle name="Normal 8 2 5 7" xfId="4860" xr:uid="{00000000-0005-0000-0000-00001E1D0000}"/>
    <cellStyle name="Normal 8 2 5 7 2" xfId="21743" xr:uid="{03A1DE30-2E3E-44B4-A945-DBACAF4A4270}"/>
    <cellStyle name="Normal 8 2 5 7 3" xfId="30189" xr:uid="{8F428B2C-9862-413E-8C8D-4FBC9DA795B8}"/>
    <cellStyle name="Normal 8 2 5 7 4" xfId="13302" xr:uid="{96208E31-A3A3-4206-A28E-8B781894C078}"/>
    <cellStyle name="Normal 8 2 5 8" xfId="17525" xr:uid="{B478BABC-8AAC-4233-AAE1-9B16A442BA00}"/>
    <cellStyle name="Normal 8 2 5 9" xfId="25970" xr:uid="{1C8A9347-F821-4ACD-B01D-79A0ECB2C7BC}"/>
    <cellStyle name="Normal 8 2 6" xfId="946" xr:uid="{00000000-0005-0000-0000-00001F1D0000}"/>
    <cellStyle name="Normal 8 2 6 2" xfId="3180" xr:uid="{00000000-0005-0000-0000-0000201D0000}"/>
    <cellStyle name="Normal 8 2 6 2 2" xfId="7403" xr:uid="{00000000-0005-0000-0000-0000211D0000}"/>
    <cellStyle name="Normal 8 2 6 2 2 2" xfId="24286" xr:uid="{FC00BF4B-B04F-4457-8EB1-4E4349A1BD08}"/>
    <cellStyle name="Normal 8 2 6 2 2 3" xfId="32732" xr:uid="{3BD22EC9-994F-432A-A339-61DDAA13E95E}"/>
    <cellStyle name="Normal 8 2 6 2 2 4" xfId="15845" xr:uid="{B94EA3A5-685B-4223-BFEA-ED50C1013EA9}"/>
    <cellStyle name="Normal 8 2 6 2 3" xfId="20068" xr:uid="{02D8D313-239F-4C95-99A1-6B5BD02D1E1D}"/>
    <cellStyle name="Normal 8 2 6 2 4" xfId="28515" xr:uid="{EAC99819-A7B5-4E76-91E6-121BFE8AF26F}"/>
    <cellStyle name="Normal 8 2 6 2 5" xfId="11627" xr:uid="{FA3A0FA4-C41C-408E-A6AB-A72973A041A0}"/>
    <cellStyle name="Normal 8 2 6 3" xfId="5258" xr:uid="{00000000-0005-0000-0000-0000221D0000}"/>
    <cellStyle name="Normal 8 2 6 3 2" xfId="22141" xr:uid="{8CDD4015-B281-465E-B575-B47821601020}"/>
    <cellStyle name="Normal 8 2 6 3 3" xfId="30587" xr:uid="{261E844D-D02B-4B30-9A62-A65030F8B601}"/>
    <cellStyle name="Normal 8 2 6 3 4" xfId="13700" xr:uid="{F42D0768-C324-425E-81A2-30F0256A0783}"/>
    <cellStyle name="Normal 8 2 6 4" xfId="17923" xr:uid="{EA1AA2AE-FE34-4B8B-A93B-110117EA827F}"/>
    <cellStyle name="Normal 8 2 6 5" xfId="26368" xr:uid="{A54E4F16-CD44-49A0-8164-B5D181C3D6FD}"/>
    <cellStyle name="Normal 8 2 6 6" xfId="9482" xr:uid="{4C2728C4-99F3-47DB-AC4A-3FA5EA8B0985}"/>
    <cellStyle name="Normal 8 2 7" xfId="1363" xr:uid="{00000000-0005-0000-0000-0000231D0000}"/>
    <cellStyle name="Normal 8 2 7 2" xfId="3593" xr:uid="{00000000-0005-0000-0000-0000241D0000}"/>
    <cellStyle name="Normal 8 2 7 2 2" xfId="7816" xr:uid="{00000000-0005-0000-0000-0000251D0000}"/>
    <cellStyle name="Normal 8 2 7 2 2 2" xfId="24699" xr:uid="{378D15AA-5A04-4D48-B9FC-FC48BC123F25}"/>
    <cellStyle name="Normal 8 2 7 2 2 3" xfId="33145" xr:uid="{3B02BFFA-A8F0-4362-AB28-A3D1ACE413A0}"/>
    <cellStyle name="Normal 8 2 7 2 2 4" xfId="16258" xr:uid="{1BF41B41-0229-4789-9781-99947D8DD3A8}"/>
    <cellStyle name="Normal 8 2 7 2 3" xfId="20481" xr:uid="{D49460AE-8A4C-475F-AAB6-102C30AEFC4C}"/>
    <cellStyle name="Normal 8 2 7 2 4" xfId="28928" xr:uid="{D3E9B9F2-46FD-4781-815F-58D0573F5649}"/>
    <cellStyle name="Normal 8 2 7 2 5" xfId="12040" xr:uid="{2B5BDEE8-1AAC-498A-A6EE-6F1DB646F627}"/>
    <cellStyle name="Normal 8 2 7 3" xfId="5671" xr:uid="{00000000-0005-0000-0000-0000261D0000}"/>
    <cellStyle name="Normal 8 2 7 3 2" xfId="22554" xr:uid="{913C7A16-A64C-449A-B709-E348CD678AA5}"/>
    <cellStyle name="Normal 8 2 7 3 3" xfId="31000" xr:uid="{DA54C055-7150-434D-ACFA-8B7DC29AB396}"/>
    <cellStyle name="Normal 8 2 7 3 4" xfId="14113" xr:uid="{166434FB-2B88-4B08-B0A4-F758E50A68EE}"/>
    <cellStyle name="Normal 8 2 7 4" xfId="18336" xr:uid="{D4BEE239-8CAB-4EE7-9E0A-927A595D26DF}"/>
    <cellStyle name="Normal 8 2 7 5" xfId="26781" xr:uid="{29DEA26A-2536-4329-A3F0-98121BCF29A3}"/>
    <cellStyle name="Normal 8 2 7 6" xfId="9895" xr:uid="{4D9652FD-B347-4DD0-9397-72F6EE20F23C}"/>
    <cellStyle name="Normal 8 2 8" xfId="1776" xr:uid="{00000000-0005-0000-0000-0000271D0000}"/>
    <cellStyle name="Normal 8 2 8 2" xfId="4006" xr:uid="{00000000-0005-0000-0000-0000281D0000}"/>
    <cellStyle name="Normal 8 2 8 2 2" xfId="8229" xr:uid="{00000000-0005-0000-0000-0000291D0000}"/>
    <cellStyle name="Normal 8 2 8 2 2 2" xfId="25112" xr:uid="{77196873-BE60-4DD9-B960-98D9CE16BF04}"/>
    <cellStyle name="Normal 8 2 8 2 2 3" xfId="33558" xr:uid="{81AC218D-2214-4B91-B5D4-775BE72A4B96}"/>
    <cellStyle name="Normal 8 2 8 2 2 4" xfId="16671" xr:uid="{BC3DF1F7-46B2-49D9-B397-BD4F433A0604}"/>
    <cellStyle name="Normal 8 2 8 2 3" xfId="20894" xr:uid="{DA3BCCE0-81F8-4661-9EE8-A8B415620B27}"/>
    <cellStyle name="Normal 8 2 8 2 4" xfId="29341" xr:uid="{EA45B63B-8373-4B1B-B79E-2C3329CD614F}"/>
    <cellStyle name="Normal 8 2 8 2 5" xfId="12453" xr:uid="{8CF79D0E-22E8-41D8-AE54-948207306411}"/>
    <cellStyle name="Normal 8 2 8 3" xfId="6084" xr:uid="{00000000-0005-0000-0000-00002A1D0000}"/>
    <cellStyle name="Normal 8 2 8 3 2" xfId="22967" xr:uid="{6FAF54D1-7C4A-435C-8E72-0C6B638DB059}"/>
    <cellStyle name="Normal 8 2 8 3 3" xfId="31413" xr:uid="{0D18F61E-7324-49A0-BAA4-1CBA3928CF0E}"/>
    <cellStyle name="Normal 8 2 8 3 4" xfId="14526" xr:uid="{8F94ABC5-AD9E-4A28-AE4C-A8FF54E69DB7}"/>
    <cellStyle name="Normal 8 2 8 4" xfId="18749" xr:uid="{81820839-A417-4123-83DA-7BA7C3358230}"/>
    <cellStyle name="Normal 8 2 8 5" xfId="27194" xr:uid="{27C98999-A3D8-4D64-9CE8-99DDE904AFA8}"/>
    <cellStyle name="Normal 8 2 8 6" xfId="10308" xr:uid="{E3B584BC-F188-41FF-B72B-58466A50CCC2}"/>
    <cellStyle name="Normal 8 2 9" xfId="2190" xr:uid="{00000000-0005-0000-0000-00002B1D0000}"/>
    <cellStyle name="Normal 8 2 9 2" xfId="4419" xr:uid="{00000000-0005-0000-0000-00002C1D0000}"/>
    <cellStyle name="Normal 8 2 9 2 2" xfId="8642" xr:uid="{00000000-0005-0000-0000-00002D1D0000}"/>
    <cellStyle name="Normal 8 2 9 2 2 2" xfId="25525" xr:uid="{AB2A9AB3-C2BB-41E9-AA3D-92E85F65B9FC}"/>
    <cellStyle name="Normal 8 2 9 2 2 3" xfId="33971" xr:uid="{0794C20E-A615-4D84-B4A9-7C588566C5A5}"/>
    <cellStyle name="Normal 8 2 9 2 2 4" xfId="17084" xr:uid="{4546A8E3-58BB-4A19-BBC7-500F7F1CE59F}"/>
    <cellStyle name="Normal 8 2 9 2 3" xfId="21307" xr:uid="{E4FFD8AB-0598-4585-9B10-F6C5DF4A7203}"/>
    <cellStyle name="Normal 8 2 9 2 4" xfId="29754" xr:uid="{31591B0A-05CF-4092-AB78-DA1D85804FB0}"/>
    <cellStyle name="Normal 8 2 9 2 5" xfId="12866" xr:uid="{F8789C7B-28FA-4157-8479-150A9DDEE4F2}"/>
    <cellStyle name="Normal 8 2 9 3" xfId="6497" xr:uid="{00000000-0005-0000-0000-00002E1D0000}"/>
    <cellStyle name="Normal 8 2 9 3 2" xfId="23380" xr:uid="{E59235FD-D21D-47D6-8DD2-C62745811312}"/>
    <cellStyle name="Normal 8 2 9 3 3" xfId="31826" xr:uid="{3E63065D-52B7-45CA-9DE1-D0DF878CAB63}"/>
    <cellStyle name="Normal 8 2 9 3 4" xfId="14939" xr:uid="{26D20301-42A3-4021-B707-34E1998E8BBE}"/>
    <cellStyle name="Normal 8 2 9 4" xfId="19162" xr:uid="{23B1BF7A-F7EA-4A25-9447-6800E6EFFD76}"/>
    <cellStyle name="Normal 8 2 9 5" xfId="27607" xr:uid="{2FD3C277-CD5F-4695-B435-39A868899070}"/>
    <cellStyle name="Normal 8 2 9 6" xfId="10721" xr:uid="{FE941F71-CEA8-470A-A191-A1ABBDA0F77F}"/>
    <cellStyle name="Normal 8 3" xfId="495" xr:uid="{00000000-0005-0000-0000-00002F1D0000}"/>
    <cellStyle name="Normal 8 3 10" xfId="4861" xr:uid="{00000000-0005-0000-0000-0000301D0000}"/>
    <cellStyle name="Normal 8 3 10 2" xfId="21744" xr:uid="{26918C21-D366-4C11-9ED6-0DB2BDEFD9EE}"/>
    <cellStyle name="Normal 8 3 10 3" xfId="30190" xr:uid="{6E04101C-D770-45F9-89F8-D65B717C7160}"/>
    <cellStyle name="Normal 8 3 10 4" xfId="13303" xr:uid="{7AEE4BE1-1F6B-4460-B9C5-718DF5CD2F2E}"/>
    <cellStyle name="Normal 8 3 11" xfId="17526" xr:uid="{EE876E11-2D54-4274-A36D-E395B3024E38}"/>
    <cellStyle name="Normal 8 3 12" xfId="25971" xr:uid="{34EF3DE2-C5A1-446C-928E-845E7ED110B6}"/>
    <cellStyle name="Normal 8 3 13" xfId="34214" xr:uid="{78624B84-3E33-45C7-96A4-2576BA47D451}"/>
    <cellStyle name="Normal 8 3 14" xfId="9085" xr:uid="{B4975D9C-2A46-488F-A610-4782B5DE3F18}"/>
    <cellStyle name="Normal 8 3 2" xfId="496" xr:uid="{00000000-0005-0000-0000-0000311D0000}"/>
    <cellStyle name="Normal 8 3 2 10" xfId="17527" xr:uid="{605F454B-4236-49B5-8AD6-15F7D026D8AB}"/>
    <cellStyle name="Normal 8 3 2 11" xfId="25972" xr:uid="{80E09749-8EFC-4A8D-90FA-0FD1EA84CD67}"/>
    <cellStyle name="Normal 8 3 2 12" xfId="9086" xr:uid="{93C69C05-D594-44DB-8B5C-1D079CB079EA}"/>
    <cellStyle name="Normal 8 3 2 2" xfId="497" xr:uid="{00000000-0005-0000-0000-0000321D0000}"/>
    <cellStyle name="Normal 8 3 2 2 10" xfId="25973" xr:uid="{1AFFD1D1-0253-49BF-8755-7D228A51E605}"/>
    <cellStyle name="Normal 8 3 2 2 11" xfId="9087" xr:uid="{DBBB9BC5-6431-4194-95D5-DCFCC456B2A0}"/>
    <cellStyle name="Normal 8 3 2 2 2" xfId="498" xr:uid="{00000000-0005-0000-0000-0000331D0000}"/>
    <cellStyle name="Normal 8 3 2 2 2 10" xfId="9088" xr:uid="{3253F8E7-AF5A-4325-A8A0-0359554DD29C}"/>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24305" xr:uid="{C0C170BC-F22F-4812-AE39-FF94F63B59FA}"/>
    <cellStyle name="Normal 8 3 2 2 2 2 2 2 3" xfId="32751" xr:uid="{85E98B18-26C5-4FFE-8669-2D0AA7FFD3BF}"/>
    <cellStyle name="Normal 8 3 2 2 2 2 2 2 4" xfId="15864" xr:uid="{C7B732AE-29EF-498A-ABC7-6E4D0428F742}"/>
    <cellStyle name="Normal 8 3 2 2 2 2 2 3" xfId="20087" xr:uid="{1D594860-4276-4F27-84F9-6B3F6623F280}"/>
    <cellStyle name="Normal 8 3 2 2 2 2 2 4" xfId="28534" xr:uid="{D469FB19-9894-4AA0-8F56-EFBDF94AE97D}"/>
    <cellStyle name="Normal 8 3 2 2 2 2 2 5" xfId="11646" xr:uid="{34166632-6F25-4119-87A9-6485369E1B81}"/>
    <cellStyle name="Normal 8 3 2 2 2 2 3" xfId="5277" xr:uid="{00000000-0005-0000-0000-0000371D0000}"/>
    <cellStyle name="Normal 8 3 2 2 2 2 3 2" xfId="22160" xr:uid="{0268B171-BEE7-4841-AE49-130435D99305}"/>
    <cellStyle name="Normal 8 3 2 2 2 2 3 3" xfId="30606" xr:uid="{834DF915-CC75-41A7-B142-315E6E711397}"/>
    <cellStyle name="Normal 8 3 2 2 2 2 3 4" xfId="13719" xr:uid="{B8CF0788-52C9-4098-886B-B418975F45FF}"/>
    <cellStyle name="Normal 8 3 2 2 2 2 4" xfId="17942" xr:uid="{5EAF7E21-E0A7-4337-B94B-B7FCAC8168C6}"/>
    <cellStyle name="Normal 8 3 2 2 2 2 5" xfId="26387" xr:uid="{AB76848E-E263-450F-8253-63B5C0D74804}"/>
    <cellStyle name="Normal 8 3 2 2 2 2 6" xfId="9501" xr:uid="{AF255FA7-1760-4A70-B8E5-FB815CDC6648}"/>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24718" xr:uid="{0A3E1C9F-2BBA-495C-9BDD-66D346254A1D}"/>
    <cellStyle name="Normal 8 3 2 2 2 3 2 2 3" xfId="33164" xr:uid="{42810F93-AC63-4AD5-BF9E-E1426A5075CD}"/>
    <cellStyle name="Normal 8 3 2 2 2 3 2 2 4" xfId="16277" xr:uid="{61260F81-E0B9-4BF2-A11B-B2714817E452}"/>
    <cellStyle name="Normal 8 3 2 2 2 3 2 3" xfId="20500" xr:uid="{A82A19DB-8DE9-4A06-BF9E-A170ADF4C7E1}"/>
    <cellStyle name="Normal 8 3 2 2 2 3 2 4" xfId="28947" xr:uid="{4A641A50-350B-4669-AD5D-35453871E26E}"/>
    <cellStyle name="Normal 8 3 2 2 2 3 2 5" xfId="12059" xr:uid="{095BFB61-7071-4BBA-B6CD-CC7BD48F23DD}"/>
    <cellStyle name="Normal 8 3 2 2 2 3 3" xfId="5690" xr:uid="{00000000-0005-0000-0000-00003B1D0000}"/>
    <cellStyle name="Normal 8 3 2 2 2 3 3 2" xfId="22573" xr:uid="{76F7F36A-5DA8-4607-8EFB-CF24194CF56B}"/>
    <cellStyle name="Normal 8 3 2 2 2 3 3 3" xfId="31019" xr:uid="{6EF6FFCE-C6B2-43FC-A61E-224895917E6B}"/>
    <cellStyle name="Normal 8 3 2 2 2 3 3 4" xfId="14132" xr:uid="{EA8A2D4A-487B-4F38-A0AF-4D6D95940B7F}"/>
    <cellStyle name="Normal 8 3 2 2 2 3 4" xfId="18355" xr:uid="{72DA462C-8DB4-4A87-90B5-C1F1B73C00E0}"/>
    <cellStyle name="Normal 8 3 2 2 2 3 5" xfId="26800" xr:uid="{A5005F47-FC75-43D8-9E93-052034676D11}"/>
    <cellStyle name="Normal 8 3 2 2 2 3 6" xfId="9914" xr:uid="{A785F4B7-1C8D-4AF8-B616-E55A9E36AAAB}"/>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25131" xr:uid="{24DD733A-D8E4-48EE-9304-4C12D1EAD803}"/>
    <cellStyle name="Normal 8 3 2 2 2 4 2 2 3" xfId="33577" xr:uid="{4D58D1F6-4607-404C-997D-A11420E7B3A1}"/>
    <cellStyle name="Normal 8 3 2 2 2 4 2 2 4" xfId="16690" xr:uid="{5C12D24E-C3E0-401A-BA88-8144934326C2}"/>
    <cellStyle name="Normal 8 3 2 2 2 4 2 3" xfId="20913" xr:uid="{662A6FF7-9AD7-4069-9694-5120263B808F}"/>
    <cellStyle name="Normal 8 3 2 2 2 4 2 4" xfId="29360" xr:uid="{84D32DC0-B650-40EA-8700-318D80B621C4}"/>
    <cellStyle name="Normal 8 3 2 2 2 4 2 5" xfId="12472" xr:uid="{06720F88-3B35-43AD-BC49-BF507E7A3F73}"/>
    <cellStyle name="Normal 8 3 2 2 2 4 3" xfId="6103" xr:uid="{00000000-0005-0000-0000-00003F1D0000}"/>
    <cellStyle name="Normal 8 3 2 2 2 4 3 2" xfId="22986" xr:uid="{EA635F5E-0CE9-4F38-B6F9-F402CE6B8F0A}"/>
    <cellStyle name="Normal 8 3 2 2 2 4 3 3" xfId="31432" xr:uid="{CFCD632C-EF94-4FEB-BB0F-C124A6175C63}"/>
    <cellStyle name="Normal 8 3 2 2 2 4 3 4" xfId="14545" xr:uid="{11C2313D-6F76-4F8E-8AE8-68C745A889DB}"/>
    <cellStyle name="Normal 8 3 2 2 2 4 4" xfId="18768" xr:uid="{510BC316-DCD1-441D-96E4-A9F6F467BA72}"/>
    <cellStyle name="Normal 8 3 2 2 2 4 5" xfId="27213" xr:uid="{82F02253-94E7-44A3-89C1-B8ACA24FF047}"/>
    <cellStyle name="Normal 8 3 2 2 2 4 6" xfId="10327" xr:uid="{3E9C2003-E96D-483E-83EA-FF79CE69EB5F}"/>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25544" xr:uid="{74043F14-B92B-4DB2-B983-E174EBBCE8FE}"/>
    <cellStyle name="Normal 8 3 2 2 2 5 2 2 3" xfId="33990" xr:uid="{B5784503-2B18-456D-A09D-57586E8A3E3D}"/>
    <cellStyle name="Normal 8 3 2 2 2 5 2 2 4" xfId="17103" xr:uid="{3D0F26F9-FF56-4C1A-9854-3D8228BC327B}"/>
    <cellStyle name="Normal 8 3 2 2 2 5 2 3" xfId="21326" xr:uid="{D6924D40-EDF6-474A-885B-7FAC3AF67384}"/>
    <cellStyle name="Normal 8 3 2 2 2 5 2 4" xfId="29773" xr:uid="{44170CAD-BEA7-4935-9BB3-85A6270F9DFF}"/>
    <cellStyle name="Normal 8 3 2 2 2 5 2 5" xfId="12885" xr:uid="{9C2DAA20-028F-4A5B-AC66-E77F6F1565E2}"/>
    <cellStyle name="Normal 8 3 2 2 2 5 3" xfId="6516" xr:uid="{00000000-0005-0000-0000-0000431D0000}"/>
    <cellStyle name="Normal 8 3 2 2 2 5 3 2" xfId="23399" xr:uid="{DA2B96FC-A1A5-4A49-A8E5-CC88082CF8F5}"/>
    <cellStyle name="Normal 8 3 2 2 2 5 3 3" xfId="31845" xr:uid="{E545F7B8-AC57-41C6-9B12-A40DE60428DA}"/>
    <cellStyle name="Normal 8 3 2 2 2 5 3 4" xfId="14958" xr:uid="{F610C0D9-FF89-468D-8D82-7F16CAB0E415}"/>
    <cellStyle name="Normal 8 3 2 2 2 5 4" xfId="19181" xr:uid="{5B5902BE-89E8-441C-956C-A0BB6973B1E6}"/>
    <cellStyle name="Normal 8 3 2 2 2 5 5" xfId="27626" xr:uid="{CF552F7A-6B64-48B0-A5E8-0C7C9BA7C85C}"/>
    <cellStyle name="Normal 8 3 2 2 2 5 6" xfId="10740" xr:uid="{A78DDF76-2674-4473-B1C1-BA115AAF7033}"/>
    <cellStyle name="Normal 8 3 2 2 2 6" xfId="2645" xr:uid="{00000000-0005-0000-0000-0000441D0000}"/>
    <cellStyle name="Normal 8 3 2 2 2 6 2" xfId="6929" xr:uid="{00000000-0005-0000-0000-0000451D0000}"/>
    <cellStyle name="Normal 8 3 2 2 2 6 2 2" xfId="23812" xr:uid="{670128F1-64AE-4EF7-93F9-33735264AAF1}"/>
    <cellStyle name="Normal 8 3 2 2 2 6 2 3" xfId="32258" xr:uid="{0ED22774-28DC-4687-A71A-E0CF05E415FF}"/>
    <cellStyle name="Normal 8 3 2 2 2 6 2 4" xfId="15371" xr:uid="{084695FA-D3D4-4111-9D4E-7A244E3360BE}"/>
    <cellStyle name="Normal 8 3 2 2 2 6 3" xfId="19594" xr:uid="{E7CC10DF-A405-4509-B9AA-CAFF4D1D2432}"/>
    <cellStyle name="Normal 8 3 2 2 2 6 4" xfId="28039" xr:uid="{EAC24A32-BE2A-4BCF-8197-D51151E491B3}"/>
    <cellStyle name="Normal 8 3 2 2 2 6 5" xfId="11153" xr:uid="{27D48EEE-2D2F-43D4-9620-1C033F27438C}"/>
    <cellStyle name="Normal 8 3 2 2 2 7" xfId="4864" xr:uid="{00000000-0005-0000-0000-0000461D0000}"/>
    <cellStyle name="Normal 8 3 2 2 2 7 2" xfId="21747" xr:uid="{BB294B7C-9563-482B-94EB-FB6C6598E0BE}"/>
    <cellStyle name="Normal 8 3 2 2 2 7 3" xfId="30193" xr:uid="{3B7D6796-AB62-4D48-B172-3A625A6342FD}"/>
    <cellStyle name="Normal 8 3 2 2 2 7 4" xfId="13306" xr:uid="{52A8BD10-861F-4CF6-AA81-4C9F07B16C42}"/>
    <cellStyle name="Normal 8 3 2 2 2 8" xfId="17529" xr:uid="{F3B33BD6-75D6-4BD8-B05B-67FD106540CD}"/>
    <cellStyle name="Normal 8 3 2 2 2 9" xfId="25974" xr:uid="{D328B00F-6543-474C-9882-271E24B1DF12}"/>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24304" xr:uid="{EC120665-1938-4A62-92EE-7DBD3FC615B3}"/>
    <cellStyle name="Normal 8 3 2 2 3 2 2 3" xfId="32750" xr:uid="{1E0B20B3-0CF3-4E0C-A3DF-242517B3353F}"/>
    <cellStyle name="Normal 8 3 2 2 3 2 2 4" xfId="15863" xr:uid="{34FC3636-9DF3-4DB3-9F2E-F8978FF3ECCB}"/>
    <cellStyle name="Normal 8 3 2 2 3 2 3" xfId="20086" xr:uid="{52F43FDE-EF5C-47DA-A708-96AAA664E251}"/>
    <cellStyle name="Normal 8 3 2 2 3 2 4" xfId="28533" xr:uid="{4C14AEB3-0DC9-4F97-906B-816034D503CB}"/>
    <cellStyle name="Normal 8 3 2 2 3 2 5" xfId="11645" xr:uid="{5D204490-512B-43C0-B203-52AA6A1AC68D}"/>
    <cellStyle name="Normal 8 3 2 2 3 3" xfId="5276" xr:uid="{00000000-0005-0000-0000-00004A1D0000}"/>
    <cellStyle name="Normal 8 3 2 2 3 3 2" xfId="22159" xr:uid="{A2C63DDA-92D8-4907-9D5F-E240CD23B2E2}"/>
    <cellStyle name="Normal 8 3 2 2 3 3 3" xfId="30605" xr:uid="{E60C54BB-AB83-43E2-BB52-025384C37452}"/>
    <cellStyle name="Normal 8 3 2 2 3 3 4" xfId="13718" xr:uid="{17D9FA4C-7BCF-4EA1-98B4-CA5A61CEC4E2}"/>
    <cellStyle name="Normal 8 3 2 2 3 4" xfId="17941" xr:uid="{80AFF4B3-1715-43AE-B8A4-10139CF18155}"/>
    <cellStyle name="Normal 8 3 2 2 3 5" xfId="26386" xr:uid="{976A3CE5-A0DE-4FC3-AA2A-6C33C91B7F4C}"/>
    <cellStyle name="Normal 8 3 2 2 3 6" xfId="9500" xr:uid="{97A7529C-AB75-41E7-B461-B488589C74C8}"/>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24717" xr:uid="{7D034799-B8C1-4DE3-A715-C693584B680C}"/>
    <cellStyle name="Normal 8 3 2 2 4 2 2 3" xfId="33163" xr:uid="{8C9F6061-871E-440C-B1E3-B410D787CD74}"/>
    <cellStyle name="Normal 8 3 2 2 4 2 2 4" xfId="16276" xr:uid="{33FDA473-3184-42FD-A5A4-9DF8CEADA269}"/>
    <cellStyle name="Normal 8 3 2 2 4 2 3" xfId="20499" xr:uid="{A383A023-D8B0-44AA-A767-FB67065A4AC9}"/>
    <cellStyle name="Normal 8 3 2 2 4 2 4" xfId="28946" xr:uid="{E2A9EE85-019E-48ED-B279-51B576B78262}"/>
    <cellStyle name="Normal 8 3 2 2 4 2 5" xfId="12058" xr:uid="{305480CA-AB0E-4349-B3FB-204BD0C5EFEC}"/>
    <cellStyle name="Normal 8 3 2 2 4 3" xfId="5689" xr:uid="{00000000-0005-0000-0000-00004E1D0000}"/>
    <cellStyle name="Normal 8 3 2 2 4 3 2" xfId="22572" xr:uid="{A3488BF9-36CE-4DB3-ACFB-5D66FBE1CED1}"/>
    <cellStyle name="Normal 8 3 2 2 4 3 3" xfId="31018" xr:uid="{13028082-86EC-4B09-85E2-064C89C1C8F4}"/>
    <cellStyle name="Normal 8 3 2 2 4 3 4" xfId="14131" xr:uid="{A85891A1-C34C-493C-9F7F-9D10AFB53B91}"/>
    <cellStyle name="Normal 8 3 2 2 4 4" xfId="18354" xr:uid="{F418664A-5FE2-4F18-8D82-AF88C78E9338}"/>
    <cellStyle name="Normal 8 3 2 2 4 5" xfId="26799" xr:uid="{6FD48BF6-6FB3-46DF-899B-DB05AE59CF2F}"/>
    <cellStyle name="Normal 8 3 2 2 4 6" xfId="9913" xr:uid="{25D9F66D-CD07-4ABC-84C4-50B94FD9FF13}"/>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25130" xr:uid="{71EE5A94-FDC3-494B-842D-9F727B905E6E}"/>
    <cellStyle name="Normal 8 3 2 2 5 2 2 3" xfId="33576" xr:uid="{7D34734F-0740-47EC-A2A1-7C1DF3AA064F}"/>
    <cellStyle name="Normal 8 3 2 2 5 2 2 4" xfId="16689" xr:uid="{5C662C10-D733-4E18-8F99-8F32372B1D0F}"/>
    <cellStyle name="Normal 8 3 2 2 5 2 3" xfId="20912" xr:uid="{FD0105A3-DBE6-421E-A6FF-2C7DD089507B}"/>
    <cellStyle name="Normal 8 3 2 2 5 2 4" xfId="29359" xr:uid="{28E557C5-BC31-4E02-9F17-7743E8AF6D8E}"/>
    <cellStyle name="Normal 8 3 2 2 5 2 5" xfId="12471" xr:uid="{A84624BA-E9DA-4EFB-883C-AB1072D62EE8}"/>
    <cellStyle name="Normal 8 3 2 2 5 3" xfId="6102" xr:uid="{00000000-0005-0000-0000-0000521D0000}"/>
    <cellStyle name="Normal 8 3 2 2 5 3 2" xfId="22985" xr:uid="{BB7E387D-5110-4C3C-B85A-AC67DDF2E6E1}"/>
    <cellStyle name="Normal 8 3 2 2 5 3 3" xfId="31431" xr:uid="{A9139877-0C8C-402C-B430-AE97EA59A242}"/>
    <cellStyle name="Normal 8 3 2 2 5 3 4" xfId="14544" xr:uid="{19505861-9D40-49B3-B2A6-01B59909A790}"/>
    <cellStyle name="Normal 8 3 2 2 5 4" xfId="18767" xr:uid="{E8623518-40BD-4052-BDB5-595A0EA351C2}"/>
    <cellStyle name="Normal 8 3 2 2 5 5" xfId="27212" xr:uid="{73F14C99-6CEE-4C76-BD9B-61110304A7DF}"/>
    <cellStyle name="Normal 8 3 2 2 5 6" xfId="10326" xr:uid="{0ECB447E-2F32-4D26-A207-2D9F7DA485E3}"/>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25543" xr:uid="{B6744543-17A5-4B4F-8AFC-51BB2A095A77}"/>
    <cellStyle name="Normal 8 3 2 2 6 2 2 3" xfId="33989" xr:uid="{0F0935AB-C735-463A-B7A8-61A85784AA3A}"/>
    <cellStyle name="Normal 8 3 2 2 6 2 2 4" xfId="17102" xr:uid="{898700DE-0D80-47D8-AB95-E4319D212CFB}"/>
    <cellStyle name="Normal 8 3 2 2 6 2 3" xfId="21325" xr:uid="{01380369-ACC5-4572-9991-038DB14E708B}"/>
    <cellStyle name="Normal 8 3 2 2 6 2 4" xfId="29772" xr:uid="{5A27005C-0408-4A8D-B2D4-E33395078300}"/>
    <cellStyle name="Normal 8 3 2 2 6 2 5" xfId="12884" xr:uid="{D358650B-A44E-480F-974B-AA1ADD4490DE}"/>
    <cellStyle name="Normal 8 3 2 2 6 3" xfId="6515" xr:uid="{00000000-0005-0000-0000-0000561D0000}"/>
    <cellStyle name="Normal 8 3 2 2 6 3 2" xfId="23398" xr:uid="{59A804EC-4CB4-4365-9D27-4C57970BB582}"/>
    <cellStyle name="Normal 8 3 2 2 6 3 3" xfId="31844" xr:uid="{0F60AB45-05BC-4B77-BD7C-33C30D63D212}"/>
    <cellStyle name="Normal 8 3 2 2 6 3 4" xfId="14957" xr:uid="{75E52A43-715C-42E4-88ED-23278BECF71C}"/>
    <cellStyle name="Normal 8 3 2 2 6 4" xfId="19180" xr:uid="{A564FA53-2642-4B89-99B3-6B35098C8F85}"/>
    <cellStyle name="Normal 8 3 2 2 6 5" xfId="27625" xr:uid="{DC32224A-16FC-4C06-B08C-BCE80DEE1511}"/>
    <cellStyle name="Normal 8 3 2 2 6 6" xfId="10739" xr:uid="{86F4A066-20AE-4516-A103-3F3EA384769B}"/>
    <cellStyle name="Normal 8 3 2 2 7" xfId="2644" xr:uid="{00000000-0005-0000-0000-0000571D0000}"/>
    <cellStyle name="Normal 8 3 2 2 7 2" xfId="6928" xr:uid="{00000000-0005-0000-0000-0000581D0000}"/>
    <cellStyle name="Normal 8 3 2 2 7 2 2" xfId="23811" xr:uid="{33DB7B12-1368-46B7-9E6D-43F918BC37EF}"/>
    <cellStyle name="Normal 8 3 2 2 7 2 3" xfId="32257" xr:uid="{B8F34809-CE02-4996-82CE-C36B7779BC75}"/>
    <cellStyle name="Normal 8 3 2 2 7 2 4" xfId="15370" xr:uid="{8B742E66-7744-48DC-A8F2-81BD864700F9}"/>
    <cellStyle name="Normal 8 3 2 2 7 3" xfId="19593" xr:uid="{1A909960-F935-4778-8EC9-39511E59D807}"/>
    <cellStyle name="Normal 8 3 2 2 7 4" xfId="28038" xr:uid="{F4D8DB37-493F-48F2-B002-272669115F9E}"/>
    <cellStyle name="Normal 8 3 2 2 7 5" xfId="11152" xr:uid="{73626AAF-94C2-4DEC-8E3D-D0DF0DCE459D}"/>
    <cellStyle name="Normal 8 3 2 2 8" xfId="4863" xr:uid="{00000000-0005-0000-0000-0000591D0000}"/>
    <cellStyle name="Normal 8 3 2 2 8 2" xfId="21746" xr:uid="{AAA08BAA-4E65-4178-8E50-EBE78B07D3F5}"/>
    <cellStyle name="Normal 8 3 2 2 8 3" xfId="30192" xr:uid="{7E016382-C11E-45B0-850C-3E37F5DA1814}"/>
    <cellStyle name="Normal 8 3 2 2 8 4" xfId="13305" xr:uid="{37AD1591-EEF1-431B-B4DE-62D78A8D9A0A}"/>
    <cellStyle name="Normal 8 3 2 2 9" xfId="17528" xr:uid="{D0232FDC-DD7E-4D30-9142-70996E974DFA}"/>
    <cellStyle name="Normal 8 3 2 3" xfId="499" xr:uid="{00000000-0005-0000-0000-00005A1D0000}"/>
    <cellStyle name="Normal 8 3 2 3 10" xfId="9089" xr:uid="{08E22BE7-757E-409B-B536-2FD8F9959B52}"/>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24306" xr:uid="{56BB88D4-7F66-4806-96B0-D677B9B968F5}"/>
    <cellStyle name="Normal 8 3 2 3 2 2 2 3" xfId="32752" xr:uid="{3C39B12E-7CA9-4BDB-9B8D-B49A49174E4C}"/>
    <cellStyle name="Normal 8 3 2 3 2 2 2 4" xfId="15865" xr:uid="{00D826AE-8F0E-4B51-B04E-E2ACB57B9F24}"/>
    <cellStyle name="Normal 8 3 2 3 2 2 3" xfId="20088" xr:uid="{F011AD02-858C-43C2-A884-7B3A731668B2}"/>
    <cellStyle name="Normal 8 3 2 3 2 2 4" xfId="28535" xr:uid="{FB4CC169-3AC7-428C-A888-3F36F744681D}"/>
    <cellStyle name="Normal 8 3 2 3 2 2 5" xfId="11647" xr:uid="{0F10649C-A02D-433E-A45F-442BF279BF5D}"/>
    <cellStyle name="Normal 8 3 2 3 2 3" xfId="5278" xr:uid="{00000000-0005-0000-0000-00005E1D0000}"/>
    <cellStyle name="Normal 8 3 2 3 2 3 2" xfId="22161" xr:uid="{DF678846-4488-4431-BD69-E4B99F9ADC7F}"/>
    <cellStyle name="Normal 8 3 2 3 2 3 3" xfId="30607" xr:uid="{BC77186F-FB45-4833-9A3B-54E928CB81A7}"/>
    <cellStyle name="Normal 8 3 2 3 2 3 4" xfId="13720" xr:uid="{CEB0B986-7F6F-46EC-92BC-9D64B70CBF69}"/>
    <cellStyle name="Normal 8 3 2 3 2 4" xfId="17943" xr:uid="{0EB7E39A-707F-4B60-A841-1F9133A7D3B0}"/>
    <cellStyle name="Normal 8 3 2 3 2 5" xfId="26388" xr:uid="{91D6A40B-3DDD-4837-BF0B-DFE96B6E43AE}"/>
    <cellStyle name="Normal 8 3 2 3 2 6" xfId="9502" xr:uid="{C6D1C99B-C927-488E-B7B7-9E0E07F4E16A}"/>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24719" xr:uid="{46F6627A-5907-42DD-82EC-616225DFD25C}"/>
    <cellStyle name="Normal 8 3 2 3 3 2 2 3" xfId="33165" xr:uid="{87EF9FC2-1EE7-47C8-B894-B719CCCC07C0}"/>
    <cellStyle name="Normal 8 3 2 3 3 2 2 4" xfId="16278" xr:uid="{02739BBB-83A7-4942-95A0-BCE6846F24DC}"/>
    <cellStyle name="Normal 8 3 2 3 3 2 3" xfId="20501" xr:uid="{C88E0BD1-DC11-458C-A831-0CC56B5497E0}"/>
    <cellStyle name="Normal 8 3 2 3 3 2 4" xfId="28948" xr:uid="{45C35122-2970-4FDF-B02D-7D5ADD70F429}"/>
    <cellStyle name="Normal 8 3 2 3 3 2 5" xfId="12060" xr:uid="{2917E5A7-CC81-4278-8469-A4D6E54F1513}"/>
    <cellStyle name="Normal 8 3 2 3 3 3" xfId="5691" xr:uid="{00000000-0005-0000-0000-0000621D0000}"/>
    <cellStyle name="Normal 8 3 2 3 3 3 2" xfId="22574" xr:uid="{6FFB975B-E475-4D03-842E-C412E7A93A08}"/>
    <cellStyle name="Normal 8 3 2 3 3 3 3" xfId="31020" xr:uid="{9B17A877-5451-4534-B2A3-B65047AA91D7}"/>
    <cellStyle name="Normal 8 3 2 3 3 3 4" xfId="14133" xr:uid="{3BAAEFCF-393F-41AA-B976-0B0C6979CC48}"/>
    <cellStyle name="Normal 8 3 2 3 3 4" xfId="18356" xr:uid="{02C6BDBF-1ABA-4378-A95A-4CD68EB81A05}"/>
    <cellStyle name="Normal 8 3 2 3 3 5" xfId="26801" xr:uid="{B53ACB5D-22D3-4A71-B8F2-2CCA95A7ACC6}"/>
    <cellStyle name="Normal 8 3 2 3 3 6" xfId="9915" xr:uid="{A0AFD37C-EE49-4712-9FDC-D283FD7A0C3B}"/>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25132" xr:uid="{3AA8F2A6-0F6B-4B34-AB53-C0B5A71762B9}"/>
    <cellStyle name="Normal 8 3 2 3 4 2 2 3" xfId="33578" xr:uid="{7AD16B19-A66B-47D8-866A-BACA4EE282D9}"/>
    <cellStyle name="Normal 8 3 2 3 4 2 2 4" xfId="16691" xr:uid="{9A341A6C-39A1-4EE2-BD7D-CE9B11CC6142}"/>
    <cellStyle name="Normal 8 3 2 3 4 2 3" xfId="20914" xr:uid="{AB7E7016-1527-4F98-9F4E-A61DBE03A3B4}"/>
    <cellStyle name="Normal 8 3 2 3 4 2 4" xfId="29361" xr:uid="{8A6978E5-4C3B-472E-8E44-E791E8DFDFF9}"/>
    <cellStyle name="Normal 8 3 2 3 4 2 5" xfId="12473" xr:uid="{1FD57A7D-752B-4F61-BF50-FA19E0D417BA}"/>
    <cellStyle name="Normal 8 3 2 3 4 3" xfId="6104" xr:uid="{00000000-0005-0000-0000-0000661D0000}"/>
    <cellStyle name="Normal 8 3 2 3 4 3 2" xfId="22987" xr:uid="{6EE5A4BC-5C51-4B70-9630-0F0D65C5FA6C}"/>
    <cellStyle name="Normal 8 3 2 3 4 3 3" xfId="31433" xr:uid="{CC6B88AA-7B61-4CED-B1C0-BC8B3B41009A}"/>
    <cellStyle name="Normal 8 3 2 3 4 3 4" xfId="14546" xr:uid="{25F13453-61FA-464D-AC18-F8EE44C2FDA1}"/>
    <cellStyle name="Normal 8 3 2 3 4 4" xfId="18769" xr:uid="{B33B0FC5-8F85-41D0-B592-90C47636A61B}"/>
    <cellStyle name="Normal 8 3 2 3 4 5" xfId="27214" xr:uid="{D32D4F88-1C3B-43CD-A730-AB3DDBD766AA}"/>
    <cellStyle name="Normal 8 3 2 3 4 6" xfId="10328" xr:uid="{D8E85C49-83F6-4E90-A357-A9583561548A}"/>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25545" xr:uid="{E57EB88B-B642-4653-93A6-30F332DC8B6A}"/>
    <cellStyle name="Normal 8 3 2 3 5 2 2 3" xfId="33991" xr:uid="{C4120A4A-A535-4DEF-BEE8-D1EA44F4A940}"/>
    <cellStyle name="Normal 8 3 2 3 5 2 2 4" xfId="17104" xr:uid="{1DDF983F-008A-4BA8-8523-50F5C57F1E64}"/>
    <cellStyle name="Normal 8 3 2 3 5 2 3" xfId="21327" xr:uid="{797AA3E9-0C55-4863-BEAE-7200CCE6905A}"/>
    <cellStyle name="Normal 8 3 2 3 5 2 4" xfId="29774" xr:uid="{EF236E2F-B513-46F4-AAC6-5F021D69C617}"/>
    <cellStyle name="Normal 8 3 2 3 5 2 5" xfId="12886" xr:uid="{FD6048BB-9964-4E6F-9390-77283F62531A}"/>
    <cellStyle name="Normal 8 3 2 3 5 3" xfId="6517" xr:uid="{00000000-0005-0000-0000-00006A1D0000}"/>
    <cellStyle name="Normal 8 3 2 3 5 3 2" xfId="23400" xr:uid="{A684530F-4CA1-4050-AA03-0439795575AA}"/>
    <cellStyle name="Normal 8 3 2 3 5 3 3" xfId="31846" xr:uid="{5952AFE2-94B6-479B-B4AE-E28A592790CC}"/>
    <cellStyle name="Normal 8 3 2 3 5 3 4" xfId="14959" xr:uid="{5C744472-45C3-4A64-9D41-D6D15164A146}"/>
    <cellStyle name="Normal 8 3 2 3 5 4" xfId="19182" xr:uid="{EC1D755F-3CF5-4123-92BA-6E6518C70FBB}"/>
    <cellStyle name="Normal 8 3 2 3 5 5" xfId="27627" xr:uid="{1774D901-5FF2-4C25-BF1F-66782C349E75}"/>
    <cellStyle name="Normal 8 3 2 3 5 6" xfId="10741" xr:uid="{A93682C9-135B-4BB0-BBA8-05D3BC2BAF26}"/>
    <cellStyle name="Normal 8 3 2 3 6" xfId="2646" xr:uid="{00000000-0005-0000-0000-00006B1D0000}"/>
    <cellStyle name="Normal 8 3 2 3 6 2" xfId="6930" xr:uid="{00000000-0005-0000-0000-00006C1D0000}"/>
    <cellStyle name="Normal 8 3 2 3 6 2 2" xfId="23813" xr:uid="{4748A976-A240-4A9B-982F-D89633022134}"/>
    <cellStyle name="Normal 8 3 2 3 6 2 3" xfId="32259" xr:uid="{0424DAEE-2814-4986-B07F-8996CA3BC5C0}"/>
    <cellStyle name="Normal 8 3 2 3 6 2 4" xfId="15372" xr:uid="{3C5140F6-B6C7-4372-92B1-5BAA87C3F8F1}"/>
    <cellStyle name="Normal 8 3 2 3 6 3" xfId="19595" xr:uid="{7F834C76-55E8-421C-848A-DD3D481FA1F5}"/>
    <cellStyle name="Normal 8 3 2 3 6 4" xfId="28040" xr:uid="{6E1DAB14-B2AF-4BF7-84E0-3F4890FA8637}"/>
    <cellStyle name="Normal 8 3 2 3 6 5" xfId="11154" xr:uid="{2F6DB924-A1B6-46BD-B020-56A242F80129}"/>
    <cellStyle name="Normal 8 3 2 3 7" xfId="4865" xr:uid="{00000000-0005-0000-0000-00006D1D0000}"/>
    <cellStyle name="Normal 8 3 2 3 7 2" xfId="21748" xr:uid="{B28EC05C-D925-4ED9-B341-D5A531965883}"/>
    <cellStyle name="Normal 8 3 2 3 7 3" xfId="30194" xr:uid="{6DC7399F-143F-477A-8CE2-1AD1C9999535}"/>
    <cellStyle name="Normal 8 3 2 3 7 4" xfId="13307" xr:uid="{5A2F816F-45FC-4A2B-9C0F-C5B33AD22E95}"/>
    <cellStyle name="Normal 8 3 2 3 8" xfId="17530" xr:uid="{C0DB7823-0A3C-4CA9-928C-21D80670EF62}"/>
    <cellStyle name="Normal 8 3 2 3 9" xfId="25975" xr:uid="{A66ECE0E-7948-4732-BEBD-7DB735FECE2F}"/>
    <cellStyle name="Normal 8 3 2 4" xfId="963" xr:uid="{00000000-0005-0000-0000-00006E1D0000}"/>
    <cellStyle name="Normal 8 3 2 4 2" xfId="3197" xr:uid="{00000000-0005-0000-0000-00006F1D0000}"/>
    <cellStyle name="Normal 8 3 2 4 2 2" xfId="7420" xr:uid="{00000000-0005-0000-0000-0000701D0000}"/>
    <cellStyle name="Normal 8 3 2 4 2 2 2" xfId="24303" xr:uid="{18ABCBC2-AB4E-404A-A2AC-476A918FB78F}"/>
    <cellStyle name="Normal 8 3 2 4 2 2 3" xfId="32749" xr:uid="{363387ED-B860-45FD-8308-B6F7051B2EDF}"/>
    <cellStyle name="Normal 8 3 2 4 2 2 4" xfId="15862" xr:uid="{2F0DD262-BD2C-45B3-953D-5ED0C58C93B4}"/>
    <cellStyle name="Normal 8 3 2 4 2 3" xfId="20085" xr:uid="{EA74C996-CB7F-4BA8-A9AC-7C7EBA467F70}"/>
    <cellStyle name="Normal 8 3 2 4 2 4" xfId="28532" xr:uid="{0329BE5B-A28D-4DA8-BC8F-50C2EF064BC0}"/>
    <cellStyle name="Normal 8 3 2 4 2 5" xfId="11644" xr:uid="{A189D32C-BF17-4EED-A5D4-F75E0E616056}"/>
    <cellStyle name="Normal 8 3 2 4 3" xfId="5275" xr:uid="{00000000-0005-0000-0000-0000711D0000}"/>
    <cellStyle name="Normal 8 3 2 4 3 2" xfId="22158" xr:uid="{8ADC95F0-F7EC-4DA1-9E0F-4674D8EFA2E9}"/>
    <cellStyle name="Normal 8 3 2 4 3 3" xfId="30604" xr:uid="{90C4F0ED-D551-4A90-80C5-CD56B54ED768}"/>
    <cellStyle name="Normal 8 3 2 4 3 4" xfId="13717" xr:uid="{1126C463-80E4-4D19-BCC9-2F4AF4B3B4A1}"/>
    <cellStyle name="Normal 8 3 2 4 4" xfId="17940" xr:uid="{E9E9644D-3E6E-4FCB-98FF-9292338268B7}"/>
    <cellStyle name="Normal 8 3 2 4 5" xfId="26385" xr:uid="{B038C294-8445-4F4D-82AD-5051DCE3AA3E}"/>
    <cellStyle name="Normal 8 3 2 4 6" xfId="9499" xr:uid="{19FEC76D-DE8C-4FDC-8071-7DDCEA7B87BB}"/>
    <cellStyle name="Normal 8 3 2 5" xfId="1380" xr:uid="{00000000-0005-0000-0000-0000721D0000}"/>
    <cellStyle name="Normal 8 3 2 5 2" xfId="3610" xr:uid="{00000000-0005-0000-0000-0000731D0000}"/>
    <cellStyle name="Normal 8 3 2 5 2 2" xfId="7833" xr:uid="{00000000-0005-0000-0000-0000741D0000}"/>
    <cellStyle name="Normal 8 3 2 5 2 2 2" xfId="24716" xr:uid="{7F6F00A3-DFF2-4C9A-8F29-1ED78DAFF924}"/>
    <cellStyle name="Normal 8 3 2 5 2 2 3" xfId="33162" xr:uid="{AC656F16-2C2E-428A-A27C-747B1B046311}"/>
    <cellStyle name="Normal 8 3 2 5 2 2 4" xfId="16275" xr:uid="{2C6958DB-016E-4360-95A0-8300BD8E5943}"/>
    <cellStyle name="Normal 8 3 2 5 2 3" xfId="20498" xr:uid="{9826AB6F-076A-431A-AD25-B73E8CB64E03}"/>
    <cellStyle name="Normal 8 3 2 5 2 4" xfId="28945" xr:uid="{6B941984-72CD-43E3-A484-C18F1BA7D20B}"/>
    <cellStyle name="Normal 8 3 2 5 2 5" xfId="12057" xr:uid="{531D5C8A-B9BC-408D-8C1F-38BAD7520026}"/>
    <cellStyle name="Normal 8 3 2 5 3" xfId="5688" xr:uid="{00000000-0005-0000-0000-0000751D0000}"/>
    <cellStyle name="Normal 8 3 2 5 3 2" xfId="22571" xr:uid="{A107E213-0B92-4DF7-BC4A-084CB00421BB}"/>
    <cellStyle name="Normal 8 3 2 5 3 3" xfId="31017" xr:uid="{F3BF4CFA-93EC-45B6-B16D-C7EE574ADA7D}"/>
    <cellStyle name="Normal 8 3 2 5 3 4" xfId="14130" xr:uid="{CD9414FB-1CD5-456E-A585-3ED03B3BDD1E}"/>
    <cellStyle name="Normal 8 3 2 5 4" xfId="18353" xr:uid="{8FB066D3-849F-48D2-9B34-1962D2B86285}"/>
    <cellStyle name="Normal 8 3 2 5 5" xfId="26798" xr:uid="{95991572-6894-4A7C-AA9A-454017B01B17}"/>
    <cellStyle name="Normal 8 3 2 5 6" xfId="9912" xr:uid="{1A6377D7-C2C0-4ED9-8250-6464C1BA6ABF}"/>
    <cellStyle name="Normal 8 3 2 6" xfId="1793" xr:uid="{00000000-0005-0000-0000-0000761D0000}"/>
    <cellStyle name="Normal 8 3 2 6 2" xfId="4023" xr:uid="{00000000-0005-0000-0000-0000771D0000}"/>
    <cellStyle name="Normal 8 3 2 6 2 2" xfId="8246" xr:uid="{00000000-0005-0000-0000-0000781D0000}"/>
    <cellStyle name="Normal 8 3 2 6 2 2 2" xfId="25129" xr:uid="{21115FC0-9838-4198-97CB-E22FE9489B3E}"/>
    <cellStyle name="Normal 8 3 2 6 2 2 3" xfId="33575" xr:uid="{E1B42E7D-8419-439D-8BC8-79537754CD96}"/>
    <cellStyle name="Normal 8 3 2 6 2 2 4" xfId="16688" xr:uid="{3870A030-0967-434C-B99F-33A7E0DF93A3}"/>
    <cellStyle name="Normal 8 3 2 6 2 3" xfId="20911" xr:uid="{58C4BFB1-4328-4186-8E60-438B5CB6DD76}"/>
    <cellStyle name="Normal 8 3 2 6 2 4" xfId="29358" xr:uid="{534B005D-DF9D-4D05-9C6D-735BDDEBB776}"/>
    <cellStyle name="Normal 8 3 2 6 2 5" xfId="12470" xr:uid="{E426F4E7-C771-4923-A27E-DD4ECED16055}"/>
    <cellStyle name="Normal 8 3 2 6 3" xfId="6101" xr:uid="{00000000-0005-0000-0000-0000791D0000}"/>
    <cellStyle name="Normal 8 3 2 6 3 2" xfId="22984" xr:uid="{E7B6DC3C-13A7-499C-AD0E-DBB152030644}"/>
    <cellStyle name="Normal 8 3 2 6 3 3" xfId="31430" xr:uid="{6CCD34C8-3571-46A7-B333-883C5CA30FF6}"/>
    <cellStyle name="Normal 8 3 2 6 3 4" xfId="14543" xr:uid="{C54612DF-F8FC-448E-B850-8A0BF99C6A40}"/>
    <cellStyle name="Normal 8 3 2 6 4" xfId="18766" xr:uid="{DAFE1124-46EB-42AA-B3E2-39DE456324B2}"/>
    <cellStyle name="Normal 8 3 2 6 5" xfId="27211" xr:uid="{0A4E31F0-9293-436B-961B-FC38A938158C}"/>
    <cellStyle name="Normal 8 3 2 6 6" xfId="10325" xr:uid="{03955077-A749-46C3-A71F-C06194ADA7C0}"/>
    <cellStyle name="Normal 8 3 2 7" xfId="2207" xr:uid="{00000000-0005-0000-0000-00007A1D0000}"/>
    <cellStyle name="Normal 8 3 2 7 2" xfId="4436" xr:uid="{00000000-0005-0000-0000-00007B1D0000}"/>
    <cellStyle name="Normal 8 3 2 7 2 2" xfId="8659" xr:uid="{00000000-0005-0000-0000-00007C1D0000}"/>
    <cellStyle name="Normal 8 3 2 7 2 2 2" xfId="25542" xr:uid="{62A296CA-97E5-45CD-B27E-F4AD47FC4AB1}"/>
    <cellStyle name="Normal 8 3 2 7 2 2 3" xfId="33988" xr:uid="{371281FC-240E-4D60-8385-DAC6AA088C40}"/>
    <cellStyle name="Normal 8 3 2 7 2 2 4" xfId="17101" xr:uid="{680DD977-B6F5-44B3-AB04-82384F5D6A52}"/>
    <cellStyle name="Normal 8 3 2 7 2 3" xfId="21324" xr:uid="{9986C7B9-0BE2-492E-82DA-68A9BEBC92E5}"/>
    <cellStyle name="Normal 8 3 2 7 2 4" xfId="29771" xr:uid="{FDFFE4BE-8E17-49D6-AB53-0B2311C735C8}"/>
    <cellStyle name="Normal 8 3 2 7 2 5" xfId="12883" xr:uid="{D4A0CCD3-D43C-4C93-9361-9486995A8563}"/>
    <cellStyle name="Normal 8 3 2 7 3" xfId="6514" xr:uid="{00000000-0005-0000-0000-00007D1D0000}"/>
    <cellStyle name="Normal 8 3 2 7 3 2" xfId="23397" xr:uid="{D4D14940-2541-4D19-8D64-7DFE62E20378}"/>
    <cellStyle name="Normal 8 3 2 7 3 3" xfId="31843" xr:uid="{26DF5158-9229-43ED-B42D-7B9AFB191177}"/>
    <cellStyle name="Normal 8 3 2 7 3 4" xfId="14956" xr:uid="{976B1A0A-025F-486D-A1B4-29017CA16F1C}"/>
    <cellStyle name="Normal 8 3 2 7 4" xfId="19179" xr:uid="{601EC142-9DED-4BC5-A4EF-96E9EB5DB3F9}"/>
    <cellStyle name="Normal 8 3 2 7 5" xfId="27624" xr:uid="{75FB0373-75C5-4DF4-AF6B-20A2B95CADFD}"/>
    <cellStyle name="Normal 8 3 2 7 6" xfId="10738" xr:uid="{526C9A0C-349B-4372-B37C-81C582CD168F}"/>
    <cellStyle name="Normal 8 3 2 8" xfId="2643" xr:uid="{00000000-0005-0000-0000-00007E1D0000}"/>
    <cellStyle name="Normal 8 3 2 8 2" xfId="6927" xr:uid="{00000000-0005-0000-0000-00007F1D0000}"/>
    <cellStyle name="Normal 8 3 2 8 2 2" xfId="23810" xr:uid="{DCD2550A-6F87-409A-97EA-9112EAE6B93B}"/>
    <cellStyle name="Normal 8 3 2 8 2 3" xfId="32256" xr:uid="{9C8F2AEC-6B6A-4874-9E1E-F2032FBD87B4}"/>
    <cellStyle name="Normal 8 3 2 8 2 4" xfId="15369" xr:uid="{8FEE120E-1020-4615-99D8-939ECE549DC0}"/>
    <cellStyle name="Normal 8 3 2 8 3" xfId="19592" xr:uid="{46AE7C1D-B0AB-4CED-AC47-2F20AF70205B}"/>
    <cellStyle name="Normal 8 3 2 8 4" xfId="28037" xr:uid="{06E02B26-63FB-441F-AA95-2A471CA4A993}"/>
    <cellStyle name="Normal 8 3 2 8 5" xfId="11151" xr:uid="{9C49090F-48E6-4B1F-B219-21230189E3A5}"/>
    <cellStyle name="Normal 8 3 2 9" xfId="4862" xr:uid="{00000000-0005-0000-0000-0000801D0000}"/>
    <cellStyle name="Normal 8 3 2 9 2" xfId="21745" xr:uid="{60F49025-52E1-4FAF-8DC5-07E7F84EB19D}"/>
    <cellStyle name="Normal 8 3 2 9 3" xfId="30191" xr:uid="{BD772DA5-9D69-4956-B6F5-B65ADCB8F52D}"/>
    <cellStyle name="Normal 8 3 2 9 4" xfId="13304" xr:uid="{C258638A-C42A-4C3D-9E0E-48326BA45C9E}"/>
    <cellStyle name="Normal 8 3 3" xfId="500" xr:uid="{00000000-0005-0000-0000-0000811D0000}"/>
    <cellStyle name="Normal 8 3 3 10" xfId="25976" xr:uid="{76FC4BAD-1FDE-43F6-85CC-54FB16647A6C}"/>
    <cellStyle name="Normal 8 3 3 11" xfId="9090" xr:uid="{845F35F1-107B-433E-BE85-54F439141730}"/>
    <cellStyle name="Normal 8 3 3 2" xfId="501" xr:uid="{00000000-0005-0000-0000-0000821D0000}"/>
    <cellStyle name="Normal 8 3 3 2 10" xfId="9091" xr:uid="{1AE71408-F8D2-49F0-A9E5-93ABF0D85BA5}"/>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24308" xr:uid="{69179E11-CE5C-453D-AFC8-C259C0C45C18}"/>
    <cellStyle name="Normal 8 3 3 2 2 2 2 3" xfId="32754" xr:uid="{F5D6D571-4E7F-4843-8CD5-7E7A13B9CA1E}"/>
    <cellStyle name="Normal 8 3 3 2 2 2 2 4" xfId="15867" xr:uid="{4C438824-8C30-4566-853B-267D5D5D9DB2}"/>
    <cellStyle name="Normal 8 3 3 2 2 2 3" xfId="20090" xr:uid="{9051B696-49C9-4DDD-98E3-F0042F5FB3C6}"/>
    <cellStyle name="Normal 8 3 3 2 2 2 4" xfId="28537" xr:uid="{415521A0-B9E9-4736-B5EF-D7CDCF1BC227}"/>
    <cellStyle name="Normal 8 3 3 2 2 2 5" xfId="11649" xr:uid="{A35B0209-2BDD-43F5-AC22-2C1F6015A804}"/>
    <cellStyle name="Normal 8 3 3 2 2 3" xfId="5280" xr:uid="{00000000-0005-0000-0000-0000861D0000}"/>
    <cellStyle name="Normal 8 3 3 2 2 3 2" xfId="22163" xr:uid="{A09096D7-E8F8-422B-AD51-A9B04F6F1C2E}"/>
    <cellStyle name="Normal 8 3 3 2 2 3 3" xfId="30609" xr:uid="{16937D4C-5EAD-49E3-8DCB-572224C688D1}"/>
    <cellStyle name="Normal 8 3 3 2 2 3 4" xfId="13722" xr:uid="{3EEDF242-642F-46F5-A42D-5552BE9C8988}"/>
    <cellStyle name="Normal 8 3 3 2 2 4" xfId="17945" xr:uid="{C7CDB814-8BF2-4ED4-AD82-2045DD872D14}"/>
    <cellStyle name="Normal 8 3 3 2 2 5" xfId="26390" xr:uid="{216F582B-BD76-427E-99DF-B23734E78993}"/>
    <cellStyle name="Normal 8 3 3 2 2 6" xfId="9504" xr:uid="{401C3681-9D5D-49CF-9382-0363C5C83765}"/>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24721" xr:uid="{8C346A11-7F3A-4F7F-BE0C-DE96766561BB}"/>
    <cellStyle name="Normal 8 3 3 2 3 2 2 3" xfId="33167" xr:uid="{054FA06D-D28A-415C-9D7D-B8E05EA8542B}"/>
    <cellStyle name="Normal 8 3 3 2 3 2 2 4" xfId="16280" xr:uid="{17DB1D02-631F-4AD6-8BFA-32559FF06F52}"/>
    <cellStyle name="Normal 8 3 3 2 3 2 3" xfId="20503" xr:uid="{86800236-F83E-4E68-B856-B9E663D99CC4}"/>
    <cellStyle name="Normal 8 3 3 2 3 2 4" xfId="28950" xr:uid="{CA04AAC2-B4A3-4782-9794-D07F2FA46257}"/>
    <cellStyle name="Normal 8 3 3 2 3 2 5" xfId="12062" xr:uid="{FB62B19E-CE56-46F8-B6B0-5F478DE1FBE6}"/>
    <cellStyle name="Normal 8 3 3 2 3 3" xfId="5693" xr:uid="{00000000-0005-0000-0000-00008A1D0000}"/>
    <cellStyle name="Normal 8 3 3 2 3 3 2" xfId="22576" xr:uid="{457D462E-E020-4876-8845-F03A230C7B9D}"/>
    <cellStyle name="Normal 8 3 3 2 3 3 3" xfId="31022" xr:uid="{63B58FB3-412F-451E-BEC0-2E5A84496596}"/>
    <cellStyle name="Normal 8 3 3 2 3 3 4" xfId="14135" xr:uid="{FA4D63AE-3215-4E14-B33A-82CDBDF8312F}"/>
    <cellStyle name="Normal 8 3 3 2 3 4" xfId="18358" xr:uid="{1CB96217-DEA3-424C-BF40-82370A68F8F5}"/>
    <cellStyle name="Normal 8 3 3 2 3 5" xfId="26803" xr:uid="{EF255991-C0A8-48F4-B6B0-DBF8FD759616}"/>
    <cellStyle name="Normal 8 3 3 2 3 6" xfId="9917" xr:uid="{0AB222E9-F671-405D-8A79-1E46A6FE796B}"/>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25134" xr:uid="{1C860DB8-970C-4C3B-B33F-F8D364F067ED}"/>
    <cellStyle name="Normal 8 3 3 2 4 2 2 3" xfId="33580" xr:uid="{21E7979C-D26D-4846-B65E-8723014B32CF}"/>
    <cellStyle name="Normal 8 3 3 2 4 2 2 4" xfId="16693" xr:uid="{6C42851B-D41E-4886-8A81-2B00F327CE67}"/>
    <cellStyle name="Normal 8 3 3 2 4 2 3" xfId="20916" xr:uid="{28253227-BAA1-4892-887E-93608EFDE34B}"/>
    <cellStyle name="Normal 8 3 3 2 4 2 4" xfId="29363" xr:uid="{35F76987-3334-43B6-BC13-2B6B5B00104F}"/>
    <cellStyle name="Normal 8 3 3 2 4 2 5" xfId="12475" xr:uid="{26BEFBCB-24D8-4ADE-83F8-21A46930C46B}"/>
    <cellStyle name="Normal 8 3 3 2 4 3" xfId="6106" xr:uid="{00000000-0005-0000-0000-00008E1D0000}"/>
    <cellStyle name="Normal 8 3 3 2 4 3 2" xfId="22989" xr:uid="{252685A8-A290-4D67-B0BD-0D50508B5370}"/>
    <cellStyle name="Normal 8 3 3 2 4 3 3" xfId="31435" xr:uid="{BAD88064-BC32-4824-9034-17B3F1A92FBF}"/>
    <cellStyle name="Normal 8 3 3 2 4 3 4" xfId="14548" xr:uid="{BC3B89B2-F242-4910-BADB-A26A0BA5E266}"/>
    <cellStyle name="Normal 8 3 3 2 4 4" xfId="18771" xr:uid="{466347CD-54FC-481D-82F5-0DA202A5EB6D}"/>
    <cellStyle name="Normal 8 3 3 2 4 5" xfId="27216" xr:uid="{E884AA83-A3ED-417D-84F3-E46C0B942BF8}"/>
    <cellStyle name="Normal 8 3 3 2 4 6" xfId="10330" xr:uid="{C193A6F8-873B-4228-B272-DE96D82AC3EC}"/>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25547" xr:uid="{B2CAEF80-534D-41C6-B170-3CFB26A33625}"/>
    <cellStyle name="Normal 8 3 3 2 5 2 2 3" xfId="33993" xr:uid="{45D8480A-93C2-4D12-9A37-7526B510774C}"/>
    <cellStyle name="Normal 8 3 3 2 5 2 2 4" xfId="17106" xr:uid="{4148111C-7AAE-430A-BA85-28CBBECCE5D2}"/>
    <cellStyle name="Normal 8 3 3 2 5 2 3" xfId="21329" xr:uid="{98A33B07-4448-4E1C-AADE-D48DF6CBD334}"/>
    <cellStyle name="Normal 8 3 3 2 5 2 4" xfId="29776" xr:uid="{97E2AB5C-EA1A-4E78-9615-A7739FD2803D}"/>
    <cellStyle name="Normal 8 3 3 2 5 2 5" xfId="12888" xr:uid="{D0589023-46E9-44AD-B4AE-BF4823BF4763}"/>
    <cellStyle name="Normal 8 3 3 2 5 3" xfId="6519" xr:uid="{00000000-0005-0000-0000-0000921D0000}"/>
    <cellStyle name="Normal 8 3 3 2 5 3 2" xfId="23402" xr:uid="{ACA70036-D23F-417C-AD7B-6065F49FFBAC}"/>
    <cellStyle name="Normal 8 3 3 2 5 3 3" xfId="31848" xr:uid="{FEE5E1FA-3600-4E2C-9459-81A47FF2F5B9}"/>
    <cellStyle name="Normal 8 3 3 2 5 3 4" xfId="14961" xr:uid="{5E1DBB06-DB74-4567-9DD7-D65085E7E9B8}"/>
    <cellStyle name="Normal 8 3 3 2 5 4" xfId="19184" xr:uid="{3178F79C-0F73-4231-AE23-2EC60865689C}"/>
    <cellStyle name="Normal 8 3 3 2 5 5" xfId="27629" xr:uid="{9C097465-5353-4A64-973B-3529A11148C0}"/>
    <cellStyle name="Normal 8 3 3 2 5 6" xfId="10743" xr:uid="{ED0E9F61-DD6C-4BB0-8E02-33DF3C76CD77}"/>
    <cellStyle name="Normal 8 3 3 2 6" xfId="2648" xr:uid="{00000000-0005-0000-0000-0000931D0000}"/>
    <cellStyle name="Normal 8 3 3 2 6 2" xfId="6932" xr:uid="{00000000-0005-0000-0000-0000941D0000}"/>
    <cellStyle name="Normal 8 3 3 2 6 2 2" xfId="23815" xr:uid="{7F759DA1-6CBD-49DC-9CEF-5C5DE92C876F}"/>
    <cellStyle name="Normal 8 3 3 2 6 2 3" xfId="32261" xr:uid="{F23F2417-90E5-4C6D-A6C3-9F05A50C5EE8}"/>
    <cellStyle name="Normal 8 3 3 2 6 2 4" xfId="15374" xr:uid="{6A49C240-D93B-46A1-A2CB-91F63F582DFF}"/>
    <cellStyle name="Normal 8 3 3 2 6 3" xfId="19597" xr:uid="{223A8D37-8A1B-4A15-BA40-C97B3E8E9643}"/>
    <cellStyle name="Normal 8 3 3 2 6 4" xfId="28042" xr:uid="{CF16F600-81DD-41F6-9B37-2B3731EC540C}"/>
    <cellStyle name="Normal 8 3 3 2 6 5" xfId="11156" xr:uid="{40C148C8-E061-44D7-80F7-09F0142B8773}"/>
    <cellStyle name="Normal 8 3 3 2 7" xfId="4867" xr:uid="{00000000-0005-0000-0000-0000951D0000}"/>
    <cellStyle name="Normal 8 3 3 2 7 2" xfId="21750" xr:uid="{E3A79690-866B-45A5-8C7C-20D9127141C5}"/>
    <cellStyle name="Normal 8 3 3 2 7 3" xfId="30196" xr:uid="{391322E2-80F1-4752-A8C4-7B9F7B8D1EB4}"/>
    <cellStyle name="Normal 8 3 3 2 7 4" xfId="13309" xr:uid="{4771AD00-5131-48DD-AC02-9D7C7942CEC3}"/>
    <cellStyle name="Normal 8 3 3 2 8" xfId="17532" xr:uid="{1BA5C95B-BB99-498F-8B04-042C23447E94}"/>
    <cellStyle name="Normal 8 3 3 2 9" xfId="25977" xr:uid="{75E89494-8E63-4DD7-8E5C-8D4550B5522B}"/>
    <cellStyle name="Normal 8 3 3 3" xfId="967" xr:uid="{00000000-0005-0000-0000-0000961D0000}"/>
    <cellStyle name="Normal 8 3 3 3 2" xfId="3201" xr:uid="{00000000-0005-0000-0000-0000971D0000}"/>
    <cellStyle name="Normal 8 3 3 3 2 2" xfId="7424" xr:uid="{00000000-0005-0000-0000-0000981D0000}"/>
    <cellStyle name="Normal 8 3 3 3 2 2 2" xfId="24307" xr:uid="{C335A597-A14C-4F36-85DC-5FF9A48E90FA}"/>
    <cellStyle name="Normal 8 3 3 3 2 2 3" xfId="32753" xr:uid="{1C09D912-F520-4BA7-B8BC-73A07F282638}"/>
    <cellStyle name="Normal 8 3 3 3 2 2 4" xfId="15866" xr:uid="{5E34D897-3977-4834-A14E-B279BE6D81C2}"/>
    <cellStyle name="Normal 8 3 3 3 2 3" xfId="20089" xr:uid="{435DA8D1-FD3E-4821-8CEE-6520AE0E5DDC}"/>
    <cellStyle name="Normal 8 3 3 3 2 4" xfId="28536" xr:uid="{2585C1F7-5AD9-4770-9882-74A0C6BCBB8C}"/>
    <cellStyle name="Normal 8 3 3 3 2 5" xfId="11648" xr:uid="{9FA4792F-5BD2-4708-B76F-9160FCD16B0B}"/>
    <cellStyle name="Normal 8 3 3 3 3" xfId="5279" xr:uid="{00000000-0005-0000-0000-0000991D0000}"/>
    <cellStyle name="Normal 8 3 3 3 3 2" xfId="22162" xr:uid="{AB4B0C65-4EEA-4CB9-8778-7B500D823230}"/>
    <cellStyle name="Normal 8 3 3 3 3 3" xfId="30608" xr:uid="{C7AABAA5-11B7-490A-96E6-A542111CA424}"/>
    <cellStyle name="Normal 8 3 3 3 3 4" xfId="13721" xr:uid="{33EEA294-CB15-4C25-8E12-67F03A3FF189}"/>
    <cellStyle name="Normal 8 3 3 3 4" xfId="17944" xr:uid="{94B25A6B-24FF-43E3-BA7B-BB85003C8002}"/>
    <cellStyle name="Normal 8 3 3 3 5" xfId="26389" xr:uid="{A9E95818-1365-4339-ABA9-84B80F171C68}"/>
    <cellStyle name="Normal 8 3 3 3 6" xfId="9503" xr:uid="{C8617C5C-6326-42BF-8A15-2B1F0AB68AE2}"/>
    <cellStyle name="Normal 8 3 3 4" xfId="1384" xr:uid="{00000000-0005-0000-0000-00009A1D0000}"/>
    <cellStyle name="Normal 8 3 3 4 2" xfId="3614" xr:uid="{00000000-0005-0000-0000-00009B1D0000}"/>
    <cellStyle name="Normal 8 3 3 4 2 2" xfId="7837" xr:uid="{00000000-0005-0000-0000-00009C1D0000}"/>
    <cellStyle name="Normal 8 3 3 4 2 2 2" xfId="24720" xr:uid="{7DEB116B-5A81-4265-AE76-EE1A0C9D6126}"/>
    <cellStyle name="Normal 8 3 3 4 2 2 3" xfId="33166" xr:uid="{40AB5F1E-057F-4C7F-80B3-38B5AB14FE60}"/>
    <cellStyle name="Normal 8 3 3 4 2 2 4" xfId="16279" xr:uid="{E159CF0C-E866-4C43-8CBE-0CFB81D5D35E}"/>
    <cellStyle name="Normal 8 3 3 4 2 3" xfId="20502" xr:uid="{7F391138-5B9E-4758-973B-87B9B9FC4AE2}"/>
    <cellStyle name="Normal 8 3 3 4 2 4" xfId="28949" xr:uid="{BC1773FD-E94E-42F2-9C63-A1E2B6A5722E}"/>
    <cellStyle name="Normal 8 3 3 4 2 5" xfId="12061" xr:uid="{DCA26D7E-FB23-4234-A18C-18688233561F}"/>
    <cellStyle name="Normal 8 3 3 4 3" xfId="5692" xr:uid="{00000000-0005-0000-0000-00009D1D0000}"/>
    <cellStyle name="Normal 8 3 3 4 3 2" xfId="22575" xr:uid="{16B2AE81-74F1-4AF9-8B14-F95090ECE476}"/>
    <cellStyle name="Normal 8 3 3 4 3 3" xfId="31021" xr:uid="{D04BACEB-C826-44E5-915D-5146C0A1C960}"/>
    <cellStyle name="Normal 8 3 3 4 3 4" xfId="14134" xr:uid="{4AE11DF4-CA72-42C9-9C1D-3073D37A975A}"/>
    <cellStyle name="Normal 8 3 3 4 4" xfId="18357" xr:uid="{B196E3AC-0891-421F-B15E-8B79D78FC3EC}"/>
    <cellStyle name="Normal 8 3 3 4 5" xfId="26802" xr:uid="{324F7617-9816-4983-A8EC-ABEDCB42AA19}"/>
    <cellStyle name="Normal 8 3 3 4 6" xfId="9916" xr:uid="{B974E19E-13F6-45E7-9D84-2D196E4BBCA9}"/>
    <cellStyle name="Normal 8 3 3 5" xfId="1797" xr:uid="{00000000-0005-0000-0000-00009E1D0000}"/>
    <cellStyle name="Normal 8 3 3 5 2" xfId="4027" xr:uid="{00000000-0005-0000-0000-00009F1D0000}"/>
    <cellStyle name="Normal 8 3 3 5 2 2" xfId="8250" xr:uid="{00000000-0005-0000-0000-0000A01D0000}"/>
    <cellStyle name="Normal 8 3 3 5 2 2 2" xfId="25133" xr:uid="{E8D1CE90-AF69-404C-96DE-A8F91512D37A}"/>
    <cellStyle name="Normal 8 3 3 5 2 2 3" xfId="33579" xr:uid="{28744594-08ED-45F8-A7B3-C86A3E96A2BE}"/>
    <cellStyle name="Normal 8 3 3 5 2 2 4" xfId="16692" xr:uid="{DBDD616E-5254-44A6-9400-5E46B35CE5A4}"/>
    <cellStyle name="Normal 8 3 3 5 2 3" xfId="20915" xr:uid="{59F04A5A-E38C-481F-A455-FED61DBD6DD6}"/>
    <cellStyle name="Normal 8 3 3 5 2 4" xfId="29362" xr:uid="{9C11ADF3-8AC1-4D16-8724-E13DB6940A66}"/>
    <cellStyle name="Normal 8 3 3 5 2 5" xfId="12474" xr:uid="{12E9779A-E1ED-44C1-8B79-77C709B7CBEC}"/>
    <cellStyle name="Normal 8 3 3 5 3" xfId="6105" xr:uid="{00000000-0005-0000-0000-0000A11D0000}"/>
    <cellStyle name="Normal 8 3 3 5 3 2" xfId="22988" xr:uid="{B8B9DC9F-86F6-4506-A415-EFA0C97F9B65}"/>
    <cellStyle name="Normal 8 3 3 5 3 3" xfId="31434" xr:uid="{EF6F64D6-9A38-4381-8067-A2A2BF5FC693}"/>
    <cellStyle name="Normal 8 3 3 5 3 4" xfId="14547" xr:uid="{81EDF0C3-1A7B-4008-AE06-6E837B54113B}"/>
    <cellStyle name="Normal 8 3 3 5 4" xfId="18770" xr:uid="{A9F8721D-D096-4ABB-AD0A-8CDEB117F59F}"/>
    <cellStyle name="Normal 8 3 3 5 5" xfId="27215" xr:uid="{9DF657FC-E907-4731-94E7-47D0CADBC12F}"/>
    <cellStyle name="Normal 8 3 3 5 6" xfId="10329" xr:uid="{FCF9EC4C-1880-4641-92E3-DFC7E85DEA3F}"/>
    <cellStyle name="Normal 8 3 3 6" xfId="2211" xr:uid="{00000000-0005-0000-0000-0000A21D0000}"/>
    <cellStyle name="Normal 8 3 3 6 2" xfId="4440" xr:uid="{00000000-0005-0000-0000-0000A31D0000}"/>
    <cellStyle name="Normal 8 3 3 6 2 2" xfId="8663" xr:uid="{00000000-0005-0000-0000-0000A41D0000}"/>
    <cellStyle name="Normal 8 3 3 6 2 2 2" xfId="25546" xr:uid="{FA36C183-666E-40D8-ABDE-03145156A29E}"/>
    <cellStyle name="Normal 8 3 3 6 2 2 3" xfId="33992" xr:uid="{54CB6388-68B6-4891-81BD-5A3471436121}"/>
    <cellStyle name="Normal 8 3 3 6 2 2 4" xfId="17105" xr:uid="{8426706B-58F8-401F-82E2-B098D875949E}"/>
    <cellStyle name="Normal 8 3 3 6 2 3" xfId="21328" xr:uid="{D861C501-6F78-44F8-B2D9-2C2123BE2423}"/>
    <cellStyle name="Normal 8 3 3 6 2 4" xfId="29775" xr:uid="{D5245FB4-CFE5-4D9F-80FF-9DBA56F9D81B}"/>
    <cellStyle name="Normal 8 3 3 6 2 5" xfId="12887" xr:uid="{0D2C8775-3CA3-4A28-8E96-2C90A95F392E}"/>
    <cellStyle name="Normal 8 3 3 6 3" xfId="6518" xr:uid="{00000000-0005-0000-0000-0000A51D0000}"/>
    <cellStyle name="Normal 8 3 3 6 3 2" xfId="23401" xr:uid="{C9A78050-BA17-4A58-ADE1-471D0DCF86A5}"/>
    <cellStyle name="Normal 8 3 3 6 3 3" xfId="31847" xr:uid="{C1DD7ABF-D1ED-4378-8484-28D2294C9210}"/>
    <cellStyle name="Normal 8 3 3 6 3 4" xfId="14960" xr:uid="{7BA9D71E-4B9F-4927-92CC-17705CBA6E5E}"/>
    <cellStyle name="Normal 8 3 3 6 4" xfId="19183" xr:uid="{95B8D4A2-DD4C-47BD-B768-845FF7BE2AF4}"/>
    <cellStyle name="Normal 8 3 3 6 5" xfId="27628" xr:uid="{AE655F32-D446-47C4-951E-C183AA120FDC}"/>
    <cellStyle name="Normal 8 3 3 6 6" xfId="10742" xr:uid="{46B86656-1C67-4C7C-BD56-31678BE23056}"/>
    <cellStyle name="Normal 8 3 3 7" xfId="2647" xr:uid="{00000000-0005-0000-0000-0000A61D0000}"/>
    <cellStyle name="Normal 8 3 3 7 2" xfId="6931" xr:uid="{00000000-0005-0000-0000-0000A71D0000}"/>
    <cellStyle name="Normal 8 3 3 7 2 2" xfId="23814" xr:uid="{FC8FD98A-9AB2-4A5D-9189-50A5E6DAA423}"/>
    <cellStyle name="Normal 8 3 3 7 2 3" xfId="32260" xr:uid="{0AA97949-EEB0-42C8-9581-437191B980F9}"/>
    <cellStyle name="Normal 8 3 3 7 2 4" xfId="15373" xr:uid="{37D8CE94-22C9-415D-8AC5-A966B42CD8FF}"/>
    <cellStyle name="Normal 8 3 3 7 3" xfId="19596" xr:uid="{CE3D5790-E578-4A13-81B1-E724524191E8}"/>
    <cellStyle name="Normal 8 3 3 7 4" xfId="28041" xr:uid="{CAB49C36-331F-448C-8282-F94BB9F444EC}"/>
    <cellStyle name="Normal 8 3 3 7 5" xfId="11155" xr:uid="{5AFAE894-50E0-42A4-81F0-751F8F7EBFF6}"/>
    <cellStyle name="Normal 8 3 3 8" xfId="4866" xr:uid="{00000000-0005-0000-0000-0000A81D0000}"/>
    <cellStyle name="Normal 8 3 3 8 2" xfId="21749" xr:uid="{70ABC927-3280-4E05-82F1-AD21FA89B519}"/>
    <cellStyle name="Normal 8 3 3 8 3" xfId="30195" xr:uid="{A5530C2D-9755-424B-8E4F-9F3C30009C96}"/>
    <cellStyle name="Normal 8 3 3 8 4" xfId="13308" xr:uid="{B02258C5-7A22-429E-8234-1A002958ABC1}"/>
    <cellStyle name="Normal 8 3 3 9" xfId="17531" xr:uid="{969345EB-960A-438B-AADE-65C7A907FE48}"/>
    <cellStyle name="Normal 8 3 4" xfId="502" xr:uid="{00000000-0005-0000-0000-0000A91D0000}"/>
    <cellStyle name="Normal 8 3 4 10" xfId="9092" xr:uid="{26534C0D-0ED1-47C3-9E2A-E3B84727970E}"/>
    <cellStyle name="Normal 8 3 4 2" xfId="969" xr:uid="{00000000-0005-0000-0000-0000AA1D0000}"/>
    <cellStyle name="Normal 8 3 4 2 2" xfId="3203" xr:uid="{00000000-0005-0000-0000-0000AB1D0000}"/>
    <cellStyle name="Normal 8 3 4 2 2 2" xfId="7426" xr:uid="{00000000-0005-0000-0000-0000AC1D0000}"/>
    <cellStyle name="Normal 8 3 4 2 2 2 2" xfId="24309" xr:uid="{54A611A7-E501-4F1F-A737-A36FDDB14A16}"/>
    <cellStyle name="Normal 8 3 4 2 2 2 3" xfId="32755" xr:uid="{4C322329-3019-4252-A3C4-F8A86C2E6C7B}"/>
    <cellStyle name="Normal 8 3 4 2 2 2 4" xfId="15868" xr:uid="{A92E40D6-667D-427F-B6ED-2BA137F23E81}"/>
    <cellStyle name="Normal 8 3 4 2 2 3" xfId="20091" xr:uid="{3465810D-CD8E-4734-9897-FCAE01620387}"/>
    <cellStyle name="Normal 8 3 4 2 2 4" xfId="28538" xr:uid="{C6B8CE7C-E28C-4ED4-984B-898B2BC9BCB3}"/>
    <cellStyle name="Normal 8 3 4 2 2 5" xfId="11650" xr:uid="{46BDB239-6B89-46DA-9EA2-6565B45B163A}"/>
    <cellStyle name="Normal 8 3 4 2 3" xfId="5281" xr:uid="{00000000-0005-0000-0000-0000AD1D0000}"/>
    <cellStyle name="Normal 8 3 4 2 3 2" xfId="22164" xr:uid="{46C8E531-31A0-46B1-B590-6A5786F352DD}"/>
    <cellStyle name="Normal 8 3 4 2 3 3" xfId="30610" xr:uid="{CF9512B5-0B70-4DBE-ABC4-1F9DD46CC98C}"/>
    <cellStyle name="Normal 8 3 4 2 3 4" xfId="13723" xr:uid="{989931F0-8C04-4B13-A991-8567ECB87BE3}"/>
    <cellStyle name="Normal 8 3 4 2 4" xfId="17946" xr:uid="{3F859EFE-93D0-4651-88F7-238926801C06}"/>
    <cellStyle name="Normal 8 3 4 2 5" xfId="26391" xr:uid="{C951E8FB-EB8E-4E80-AA2E-D38874F944D3}"/>
    <cellStyle name="Normal 8 3 4 2 6" xfId="9505" xr:uid="{8F13CD33-5819-4266-8808-1E22D54AE172}"/>
    <cellStyle name="Normal 8 3 4 3" xfId="1386" xr:uid="{00000000-0005-0000-0000-0000AE1D0000}"/>
    <cellStyle name="Normal 8 3 4 3 2" xfId="3616" xr:uid="{00000000-0005-0000-0000-0000AF1D0000}"/>
    <cellStyle name="Normal 8 3 4 3 2 2" xfId="7839" xr:uid="{00000000-0005-0000-0000-0000B01D0000}"/>
    <cellStyle name="Normal 8 3 4 3 2 2 2" xfId="24722" xr:uid="{9354E932-F7A5-437F-99F6-99AC9BC7E377}"/>
    <cellStyle name="Normal 8 3 4 3 2 2 3" xfId="33168" xr:uid="{1F043845-46B4-4B37-9240-DB4046111BEC}"/>
    <cellStyle name="Normal 8 3 4 3 2 2 4" xfId="16281" xr:uid="{DB1580F3-590D-4317-86A3-4FA30C0B19DA}"/>
    <cellStyle name="Normal 8 3 4 3 2 3" xfId="20504" xr:uid="{3AF4C670-2C40-4A18-8D8D-9B3142620EA9}"/>
    <cellStyle name="Normal 8 3 4 3 2 4" xfId="28951" xr:uid="{67275364-306F-4074-86CE-86AA8E7A3ED7}"/>
    <cellStyle name="Normal 8 3 4 3 2 5" xfId="12063" xr:uid="{955E9C05-9538-48BC-B6F9-77C45AB7C375}"/>
    <cellStyle name="Normal 8 3 4 3 3" xfId="5694" xr:uid="{00000000-0005-0000-0000-0000B11D0000}"/>
    <cellStyle name="Normal 8 3 4 3 3 2" xfId="22577" xr:uid="{A78BF474-C25F-4A67-8BD4-CB5B778FE6FE}"/>
    <cellStyle name="Normal 8 3 4 3 3 3" xfId="31023" xr:uid="{9D5074C1-48B3-44C7-B8DB-B7257CEE5B0A}"/>
    <cellStyle name="Normal 8 3 4 3 3 4" xfId="14136" xr:uid="{51346D46-F2B3-42B7-8CAC-7288AF628487}"/>
    <cellStyle name="Normal 8 3 4 3 4" xfId="18359" xr:uid="{C662FEB4-2905-4479-B03E-6D6FF26BCA11}"/>
    <cellStyle name="Normal 8 3 4 3 5" xfId="26804" xr:uid="{62D1E35C-0170-480F-9982-980223C63183}"/>
    <cellStyle name="Normal 8 3 4 3 6" xfId="9918" xr:uid="{0A84BA04-3A2F-44B3-9F6A-D574EC785A4C}"/>
    <cellStyle name="Normal 8 3 4 4" xfId="1799" xr:uid="{00000000-0005-0000-0000-0000B21D0000}"/>
    <cellStyle name="Normal 8 3 4 4 2" xfId="4029" xr:uid="{00000000-0005-0000-0000-0000B31D0000}"/>
    <cellStyle name="Normal 8 3 4 4 2 2" xfId="8252" xr:uid="{00000000-0005-0000-0000-0000B41D0000}"/>
    <cellStyle name="Normal 8 3 4 4 2 2 2" xfId="25135" xr:uid="{92569B68-CF1F-4122-82F2-70548BEBF6F2}"/>
    <cellStyle name="Normal 8 3 4 4 2 2 3" xfId="33581" xr:uid="{E5207ACA-63B9-4A8E-AFE1-76E24B0C6830}"/>
    <cellStyle name="Normal 8 3 4 4 2 2 4" xfId="16694" xr:uid="{A2E6BB47-B8E1-4A08-B748-3650D59920B0}"/>
    <cellStyle name="Normal 8 3 4 4 2 3" xfId="20917" xr:uid="{B05E254B-F70B-42E0-B2BC-38DB78A8FFB3}"/>
    <cellStyle name="Normal 8 3 4 4 2 4" xfId="29364" xr:uid="{5F4667CF-062E-4886-B144-F4DB57AAFE29}"/>
    <cellStyle name="Normal 8 3 4 4 2 5" xfId="12476" xr:uid="{DFB9BCAC-4B60-4FB3-A5C2-4F1CEC688C0A}"/>
    <cellStyle name="Normal 8 3 4 4 3" xfId="6107" xr:uid="{00000000-0005-0000-0000-0000B51D0000}"/>
    <cellStyle name="Normal 8 3 4 4 3 2" xfId="22990" xr:uid="{C654343D-5B76-4372-9505-B599BDE4F12F}"/>
    <cellStyle name="Normal 8 3 4 4 3 3" xfId="31436" xr:uid="{8372967B-3CDA-460B-A218-DE0F6AB486A0}"/>
    <cellStyle name="Normal 8 3 4 4 3 4" xfId="14549" xr:uid="{6DDC63A4-CEE5-4063-A4A8-B6072B16D4DA}"/>
    <cellStyle name="Normal 8 3 4 4 4" xfId="18772" xr:uid="{6BDF445F-58B5-4FCE-A12B-0086B8D93C16}"/>
    <cellStyle name="Normal 8 3 4 4 5" xfId="27217" xr:uid="{F493F8EC-9354-44A8-B047-F380C75B67B5}"/>
    <cellStyle name="Normal 8 3 4 4 6" xfId="10331" xr:uid="{6822795F-C7E3-4CE8-8198-7F1F26E2C044}"/>
    <cellStyle name="Normal 8 3 4 5" xfId="2213" xr:uid="{00000000-0005-0000-0000-0000B61D0000}"/>
    <cellStyle name="Normal 8 3 4 5 2" xfId="4442" xr:uid="{00000000-0005-0000-0000-0000B71D0000}"/>
    <cellStyle name="Normal 8 3 4 5 2 2" xfId="8665" xr:uid="{00000000-0005-0000-0000-0000B81D0000}"/>
    <cellStyle name="Normal 8 3 4 5 2 2 2" xfId="25548" xr:uid="{DDB1F13D-B392-4957-80AE-BE87863D0BAF}"/>
    <cellStyle name="Normal 8 3 4 5 2 2 3" xfId="33994" xr:uid="{58A180D0-1B35-4054-97D2-312A6CFD1F7D}"/>
    <cellStyle name="Normal 8 3 4 5 2 2 4" xfId="17107" xr:uid="{58409654-2F26-4ECD-85DD-297EA0146CD8}"/>
    <cellStyle name="Normal 8 3 4 5 2 3" xfId="21330" xr:uid="{3A303DBB-1233-44F1-9B64-60884D5F9CEB}"/>
    <cellStyle name="Normal 8 3 4 5 2 4" xfId="29777" xr:uid="{9243F2CE-5D5B-4F16-BFAF-EFEEED7080C3}"/>
    <cellStyle name="Normal 8 3 4 5 2 5" xfId="12889" xr:uid="{7E2C6C19-DA5E-48E3-9DF5-7BA3767A1F93}"/>
    <cellStyle name="Normal 8 3 4 5 3" xfId="6520" xr:uid="{00000000-0005-0000-0000-0000B91D0000}"/>
    <cellStyle name="Normal 8 3 4 5 3 2" xfId="23403" xr:uid="{65909B08-C895-4664-ABC6-0A7308010335}"/>
    <cellStyle name="Normal 8 3 4 5 3 3" xfId="31849" xr:uid="{96954243-B330-49D8-BE9F-0779C040AFF2}"/>
    <cellStyle name="Normal 8 3 4 5 3 4" xfId="14962" xr:uid="{D6AC6137-60C6-40E0-BDD0-1678872F41B1}"/>
    <cellStyle name="Normal 8 3 4 5 4" xfId="19185" xr:uid="{C130B8B3-12DC-4633-B8DD-9160D1BF104B}"/>
    <cellStyle name="Normal 8 3 4 5 5" xfId="27630" xr:uid="{DEBE4753-3AE4-4F37-955B-48AE37B0C7F5}"/>
    <cellStyle name="Normal 8 3 4 5 6" xfId="10744" xr:uid="{FBCEC212-6D07-4A8B-A64D-299A5A50E60C}"/>
    <cellStyle name="Normal 8 3 4 6" xfId="2649" xr:uid="{00000000-0005-0000-0000-0000BA1D0000}"/>
    <cellStyle name="Normal 8 3 4 6 2" xfId="6933" xr:uid="{00000000-0005-0000-0000-0000BB1D0000}"/>
    <cellStyle name="Normal 8 3 4 6 2 2" xfId="23816" xr:uid="{D083599F-087C-42B2-BF00-BBAC3A391141}"/>
    <cellStyle name="Normal 8 3 4 6 2 3" xfId="32262" xr:uid="{4DC1ED49-1823-4A12-B923-F7E09F5B1C5D}"/>
    <cellStyle name="Normal 8 3 4 6 2 4" xfId="15375" xr:uid="{B1DD7A8E-B765-4860-A9B9-8D61243D0530}"/>
    <cellStyle name="Normal 8 3 4 6 3" xfId="19598" xr:uid="{244FB955-D112-444E-ABAF-8A07702CD0A0}"/>
    <cellStyle name="Normal 8 3 4 6 4" xfId="28043" xr:uid="{471F3D8E-265A-4D24-81D3-CA5C13DA2DB1}"/>
    <cellStyle name="Normal 8 3 4 6 5" xfId="11157" xr:uid="{2307D17D-6FF2-47F0-9C40-70FA4D6F075C}"/>
    <cellStyle name="Normal 8 3 4 7" xfId="4868" xr:uid="{00000000-0005-0000-0000-0000BC1D0000}"/>
    <cellStyle name="Normal 8 3 4 7 2" xfId="21751" xr:uid="{72CE9323-6C81-464A-822F-381740CE26CA}"/>
    <cellStyle name="Normal 8 3 4 7 3" xfId="30197" xr:uid="{73B0D67F-B8C5-45A0-9261-B96E70109860}"/>
    <cellStyle name="Normal 8 3 4 7 4" xfId="13310" xr:uid="{3E5FABC4-12D9-49B1-91A7-B26D48FF145D}"/>
    <cellStyle name="Normal 8 3 4 8" xfId="17533" xr:uid="{05BD45B7-1E78-490F-9FD2-1A4C5B8CA5EB}"/>
    <cellStyle name="Normal 8 3 4 9" xfId="25978" xr:uid="{D34BD2B4-2095-4669-A116-A53F1E5C42DB}"/>
    <cellStyle name="Normal 8 3 5" xfId="962" xr:uid="{00000000-0005-0000-0000-0000BD1D0000}"/>
    <cellStyle name="Normal 8 3 5 2" xfId="3196" xr:uid="{00000000-0005-0000-0000-0000BE1D0000}"/>
    <cellStyle name="Normal 8 3 5 2 2" xfId="7419" xr:uid="{00000000-0005-0000-0000-0000BF1D0000}"/>
    <cellStyle name="Normal 8 3 5 2 2 2" xfId="24302" xr:uid="{22ACEAB7-7D4E-4744-9368-98E6DB2030D2}"/>
    <cellStyle name="Normal 8 3 5 2 2 3" xfId="32748" xr:uid="{2D120A5F-C53F-4B16-B3EB-37F7EC9F5862}"/>
    <cellStyle name="Normal 8 3 5 2 2 4" xfId="15861" xr:uid="{38A69846-CC94-4526-87DC-C1F171B52BB9}"/>
    <cellStyle name="Normal 8 3 5 2 3" xfId="20084" xr:uid="{651FE0C3-31FE-4E69-A009-81CBE9098B09}"/>
    <cellStyle name="Normal 8 3 5 2 4" xfId="28531" xr:uid="{270A2071-5C03-4758-8CB8-EAB0D832AFD2}"/>
    <cellStyle name="Normal 8 3 5 2 5" xfId="11643" xr:uid="{FF124864-96F4-42F8-ACC8-8043290B9A2D}"/>
    <cellStyle name="Normal 8 3 5 3" xfId="5274" xr:uid="{00000000-0005-0000-0000-0000C01D0000}"/>
    <cellStyle name="Normal 8 3 5 3 2" xfId="22157" xr:uid="{ED7E52BD-FAFD-498F-82C0-7AC15FA62B4E}"/>
    <cellStyle name="Normal 8 3 5 3 3" xfId="30603" xr:uid="{4338FA8C-5AC2-4B2B-8A93-94DCEEB82E7F}"/>
    <cellStyle name="Normal 8 3 5 3 4" xfId="13716" xr:uid="{46576888-2370-4FD2-AC25-B79BB6E49E4C}"/>
    <cellStyle name="Normal 8 3 5 4" xfId="17939" xr:uid="{63E8955C-4716-4515-B2E6-146D87996D7F}"/>
    <cellStyle name="Normal 8 3 5 5" xfId="26384" xr:uid="{68ECF27B-0EA4-4725-94EE-2B6D31C30446}"/>
    <cellStyle name="Normal 8 3 5 6" xfId="9498" xr:uid="{92AFCD3B-78DE-4E7C-B994-E15C13E46873}"/>
    <cellStyle name="Normal 8 3 6" xfId="1379" xr:uid="{00000000-0005-0000-0000-0000C11D0000}"/>
    <cellStyle name="Normal 8 3 6 2" xfId="3609" xr:uid="{00000000-0005-0000-0000-0000C21D0000}"/>
    <cellStyle name="Normal 8 3 6 2 2" xfId="7832" xr:uid="{00000000-0005-0000-0000-0000C31D0000}"/>
    <cellStyle name="Normal 8 3 6 2 2 2" xfId="24715" xr:uid="{02E4C080-CBB1-4535-9E47-6C96874B2FFF}"/>
    <cellStyle name="Normal 8 3 6 2 2 3" xfId="33161" xr:uid="{BD9993BF-3B9D-4A9E-BA69-39124DB10F9A}"/>
    <cellStyle name="Normal 8 3 6 2 2 4" xfId="16274" xr:uid="{2E5126F2-D460-4B7A-A995-BAAF24D164BA}"/>
    <cellStyle name="Normal 8 3 6 2 3" xfId="20497" xr:uid="{35151E5E-2DEA-4009-B5E0-B9AE9B54A049}"/>
    <cellStyle name="Normal 8 3 6 2 4" xfId="28944" xr:uid="{21746C2F-BB64-4011-8FD0-DE1B9EEE19D0}"/>
    <cellStyle name="Normal 8 3 6 2 5" xfId="12056" xr:uid="{5374948D-1922-453F-90BD-BAB96BCF8CD3}"/>
    <cellStyle name="Normal 8 3 6 3" xfId="5687" xr:uid="{00000000-0005-0000-0000-0000C41D0000}"/>
    <cellStyle name="Normal 8 3 6 3 2" xfId="22570" xr:uid="{573E343D-5AC9-4F6A-A917-8C2131AE412D}"/>
    <cellStyle name="Normal 8 3 6 3 3" xfId="31016" xr:uid="{FEA799D7-9881-47A3-AB52-E147B288D2A2}"/>
    <cellStyle name="Normal 8 3 6 3 4" xfId="14129" xr:uid="{383B675B-B298-4F61-8482-AFEB8F2FD639}"/>
    <cellStyle name="Normal 8 3 6 4" xfId="18352" xr:uid="{4D0AC326-1479-4846-B46B-4CA0876E9F0D}"/>
    <cellStyle name="Normal 8 3 6 5" xfId="26797" xr:uid="{D7476277-AE66-455C-840B-283EF350DC54}"/>
    <cellStyle name="Normal 8 3 6 6" xfId="9911" xr:uid="{254E5186-DAFE-4B3D-962A-54CCA312341F}"/>
    <cellStyle name="Normal 8 3 7" xfId="1792" xr:uid="{00000000-0005-0000-0000-0000C51D0000}"/>
    <cellStyle name="Normal 8 3 7 2" xfId="4022" xr:uid="{00000000-0005-0000-0000-0000C61D0000}"/>
    <cellStyle name="Normal 8 3 7 2 2" xfId="8245" xr:uid="{00000000-0005-0000-0000-0000C71D0000}"/>
    <cellStyle name="Normal 8 3 7 2 2 2" xfId="25128" xr:uid="{86AD99AD-64FB-4F26-BD4C-A20BA3D4883B}"/>
    <cellStyle name="Normal 8 3 7 2 2 3" xfId="33574" xr:uid="{230BD3D2-F21E-4527-A9FE-8787936E619E}"/>
    <cellStyle name="Normal 8 3 7 2 2 4" xfId="16687" xr:uid="{0E6C094A-7B58-44F3-BF36-95C077D971C2}"/>
    <cellStyle name="Normal 8 3 7 2 3" xfId="20910" xr:uid="{E5BB3DBE-4011-478C-8E1D-A396995B0FEC}"/>
    <cellStyle name="Normal 8 3 7 2 4" xfId="29357" xr:uid="{363448B5-49D8-4D84-9FD3-1D0AE25CB193}"/>
    <cellStyle name="Normal 8 3 7 2 5" xfId="12469" xr:uid="{96B578C1-4558-47C6-83EB-62BBDFC2BF98}"/>
    <cellStyle name="Normal 8 3 7 3" xfId="6100" xr:uid="{00000000-0005-0000-0000-0000C81D0000}"/>
    <cellStyle name="Normal 8 3 7 3 2" xfId="22983" xr:uid="{BACDDA38-5C64-4270-9B04-C216C5FEB08D}"/>
    <cellStyle name="Normal 8 3 7 3 3" xfId="31429" xr:uid="{4356643D-04E9-498C-980D-E2F1F72494DA}"/>
    <cellStyle name="Normal 8 3 7 3 4" xfId="14542" xr:uid="{47BB64FE-6D66-4164-9E2D-211E59D8BAF4}"/>
    <cellStyle name="Normal 8 3 7 4" xfId="18765" xr:uid="{2CF4EA48-B7A7-41FB-A316-E5DAAFE1F0E9}"/>
    <cellStyle name="Normal 8 3 7 5" xfId="27210" xr:uid="{81D1D5C4-CBE0-431B-B78A-A8DBD3C5216B}"/>
    <cellStyle name="Normal 8 3 7 6" xfId="10324" xr:uid="{57699F00-B377-4468-A145-F0DA110E2F4A}"/>
    <cellStyle name="Normal 8 3 8" xfId="2206" xr:uid="{00000000-0005-0000-0000-0000C91D0000}"/>
    <cellStyle name="Normal 8 3 8 2" xfId="4435" xr:uid="{00000000-0005-0000-0000-0000CA1D0000}"/>
    <cellStyle name="Normal 8 3 8 2 2" xfId="8658" xr:uid="{00000000-0005-0000-0000-0000CB1D0000}"/>
    <cellStyle name="Normal 8 3 8 2 2 2" xfId="25541" xr:uid="{0953018A-60F5-44F0-A8C4-82A36503F6EC}"/>
    <cellStyle name="Normal 8 3 8 2 2 3" xfId="33987" xr:uid="{C94D6771-63FA-4A68-9138-39CC9A37F448}"/>
    <cellStyle name="Normal 8 3 8 2 2 4" xfId="17100" xr:uid="{426FC59A-144A-437F-89EF-EBE54B0C41E4}"/>
    <cellStyle name="Normal 8 3 8 2 3" xfId="21323" xr:uid="{B07B6EDB-40B2-4F15-82C6-BD3EB69E13A1}"/>
    <cellStyle name="Normal 8 3 8 2 4" xfId="29770" xr:uid="{9DBFCBE9-62B1-4BB7-9DFE-EB253124CAA1}"/>
    <cellStyle name="Normal 8 3 8 2 5" xfId="12882" xr:uid="{BCD5F242-23EA-4238-B8A6-F787C49EA1DE}"/>
    <cellStyle name="Normal 8 3 8 3" xfId="6513" xr:uid="{00000000-0005-0000-0000-0000CC1D0000}"/>
    <cellStyle name="Normal 8 3 8 3 2" xfId="23396" xr:uid="{A5EC9C7A-B5CF-4A2B-886B-C4A295E2B5F8}"/>
    <cellStyle name="Normal 8 3 8 3 3" xfId="31842" xr:uid="{65ED7D9C-187B-4709-B6F0-B5955B4FA4F7}"/>
    <cellStyle name="Normal 8 3 8 3 4" xfId="14955" xr:uid="{1BD9690E-5EF5-4A86-8E2C-1D1325EAFC31}"/>
    <cellStyle name="Normal 8 3 8 4" xfId="19178" xr:uid="{72A70B12-2915-498E-8B86-89AE88884E73}"/>
    <cellStyle name="Normal 8 3 8 5" xfId="27623" xr:uid="{338AB322-3A42-4C50-9E78-C5588F6EC74E}"/>
    <cellStyle name="Normal 8 3 8 6" xfId="10737" xr:uid="{A0B7DD87-0CB5-47B9-A681-49DF4DE5623E}"/>
    <cellStyle name="Normal 8 3 9" xfId="2642" xr:uid="{00000000-0005-0000-0000-0000CD1D0000}"/>
    <cellStyle name="Normal 8 3 9 2" xfId="6926" xr:uid="{00000000-0005-0000-0000-0000CE1D0000}"/>
    <cellStyle name="Normal 8 3 9 2 2" xfId="23809" xr:uid="{88683A76-D473-4CC1-B18B-17E6815C52A0}"/>
    <cellStyle name="Normal 8 3 9 2 3" xfId="32255" xr:uid="{04CF0502-5A74-47C7-AB97-13349E3D8551}"/>
    <cellStyle name="Normal 8 3 9 2 4" xfId="15368" xr:uid="{B8D782EE-38B4-4294-9331-A28BDD6A03AC}"/>
    <cellStyle name="Normal 8 3 9 3" xfId="19591" xr:uid="{D707E249-C875-4C62-8D9D-BF2A75118D6C}"/>
    <cellStyle name="Normal 8 3 9 4" xfId="28036" xr:uid="{9C1EBE60-66F0-430A-AEBD-1BD0BEF41945}"/>
    <cellStyle name="Normal 8 3 9 5" xfId="11150" xr:uid="{402BAF5C-CA31-4122-82D6-E7F97ABC1C29}"/>
    <cellStyle name="Normal 8 4" xfId="503" xr:uid="{00000000-0005-0000-0000-0000CF1D0000}"/>
    <cellStyle name="Normal 8 4 10" xfId="17534" xr:uid="{DB3F1825-76A5-4C61-805B-950D84DA04BC}"/>
    <cellStyle name="Normal 8 4 11" xfId="25979" xr:uid="{D83DEB2B-76A5-459E-B12D-FC82982B9112}"/>
    <cellStyle name="Normal 8 4 12" xfId="9093" xr:uid="{61867F47-741F-4A5D-8595-EA9E16B082B1}"/>
    <cellStyle name="Normal 8 4 2" xfId="504" xr:uid="{00000000-0005-0000-0000-0000D01D0000}"/>
    <cellStyle name="Normal 8 4 2 10" xfId="25980" xr:uid="{A01871A5-916C-4A0E-949F-E05232C42F04}"/>
    <cellStyle name="Normal 8 4 2 11" xfId="9094" xr:uid="{83563AAA-D4F1-4884-89BF-CE019F7F0016}"/>
    <cellStyle name="Normal 8 4 2 2" xfId="505" xr:uid="{00000000-0005-0000-0000-0000D11D0000}"/>
    <cellStyle name="Normal 8 4 2 2 10" xfId="9095" xr:uid="{C48399C3-112F-44D8-A7D5-98E48A7ACF83}"/>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24312" xr:uid="{75F993B7-852B-4901-95C1-E496C846599D}"/>
    <cellStyle name="Normal 8 4 2 2 2 2 2 3" xfId="32758" xr:uid="{43E791EF-9D56-4F04-A7BF-28DF0618FD1C}"/>
    <cellStyle name="Normal 8 4 2 2 2 2 2 4" xfId="15871" xr:uid="{EA2BE5EF-2F71-4605-BC97-E92C079D6FCC}"/>
    <cellStyle name="Normal 8 4 2 2 2 2 3" xfId="20094" xr:uid="{1EDFEE84-DAA0-444F-901F-297F17F4EB19}"/>
    <cellStyle name="Normal 8 4 2 2 2 2 4" xfId="28541" xr:uid="{4E56DCDD-5DEE-4BF2-B11A-625028F21208}"/>
    <cellStyle name="Normal 8 4 2 2 2 2 5" xfId="11653" xr:uid="{E363947A-A8F4-4451-97D0-FB2850CFED2B}"/>
    <cellStyle name="Normal 8 4 2 2 2 3" xfId="5284" xr:uid="{00000000-0005-0000-0000-0000D51D0000}"/>
    <cellStyle name="Normal 8 4 2 2 2 3 2" xfId="22167" xr:uid="{9095386C-6290-4A8B-8C1E-283ACDC4A5FF}"/>
    <cellStyle name="Normal 8 4 2 2 2 3 3" xfId="30613" xr:uid="{A304607E-D4C1-42E2-9FCF-DE705E12EECE}"/>
    <cellStyle name="Normal 8 4 2 2 2 3 4" xfId="13726" xr:uid="{3B4CC7B0-0C82-4671-A889-2158A1075005}"/>
    <cellStyle name="Normal 8 4 2 2 2 4" xfId="17949" xr:uid="{36F9B4E8-21F9-4197-82AC-53F2974BA83F}"/>
    <cellStyle name="Normal 8 4 2 2 2 5" xfId="26394" xr:uid="{FEBC3145-1B96-4D33-85E2-BA90D345D9A3}"/>
    <cellStyle name="Normal 8 4 2 2 2 6" xfId="9508" xr:uid="{6F755AC0-E655-4673-996D-B67CE6C00218}"/>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24725" xr:uid="{08C1B32D-3498-4E6F-9131-507CBBEBE143}"/>
    <cellStyle name="Normal 8 4 2 2 3 2 2 3" xfId="33171" xr:uid="{D2747F38-6C1F-43E2-8FB6-DAD90FE5C6B7}"/>
    <cellStyle name="Normal 8 4 2 2 3 2 2 4" xfId="16284" xr:uid="{A4A2874A-7A9B-4D45-A025-3676A73C8ABE}"/>
    <cellStyle name="Normal 8 4 2 2 3 2 3" xfId="20507" xr:uid="{D7B5EDCB-C3C5-406C-AD0A-D64C5A42B752}"/>
    <cellStyle name="Normal 8 4 2 2 3 2 4" xfId="28954" xr:uid="{3056BEAE-F895-41A3-B800-D3F039E726DB}"/>
    <cellStyle name="Normal 8 4 2 2 3 2 5" xfId="12066" xr:uid="{DC08DAFC-4A06-49F0-B0CA-CD73A7F005E3}"/>
    <cellStyle name="Normal 8 4 2 2 3 3" xfId="5697" xr:uid="{00000000-0005-0000-0000-0000D91D0000}"/>
    <cellStyle name="Normal 8 4 2 2 3 3 2" xfId="22580" xr:uid="{E51BD5D6-1100-4295-BD22-0E58840E370C}"/>
    <cellStyle name="Normal 8 4 2 2 3 3 3" xfId="31026" xr:uid="{01D6844B-C9DC-4326-A58E-3DAF4CCD03DD}"/>
    <cellStyle name="Normal 8 4 2 2 3 3 4" xfId="14139" xr:uid="{2DAB3508-4FF4-4DAA-BB39-369DEAEF982B}"/>
    <cellStyle name="Normal 8 4 2 2 3 4" xfId="18362" xr:uid="{13E50EE3-52AB-46D6-91E9-53182C734AC8}"/>
    <cellStyle name="Normal 8 4 2 2 3 5" xfId="26807" xr:uid="{7A131759-2ADB-43D0-A260-77A219FE741E}"/>
    <cellStyle name="Normal 8 4 2 2 3 6" xfId="9921" xr:uid="{4C5FC296-B33C-41E9-8023-1BDD84C53DBD}"/>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25138" xr:uid="{296A3CB0-037B-44A9-B63D-FD5983AE9A55}"/>
    <cellStyle name="Normal 8 4 2 2 4 2 2 3" xfId="33584" xr:uid="{61BE64BB-EA57-492F-BC77-DB77631D9033}"/>
    <cellStyle name="Normal 8 4 2 2 4 2 2 4" xfId="16697" xr:uid="{663ADAB8-02CC-43F6-9501-1D9AECBFD664}"/>
    <cellStyle name="Normal 8 4 2 2 4 2 3" xfId="20920" xr:uid="{6A0CEA29-ACAB-4048-9B8E-AE6D4BE9A577}"/>
    <cellStyle name="Normal 8 4 2 2 4 2 4" xfId="29367" xr:uid="{16A44769-C173-4ABF-ADF3-E0B7B3C1262A}"/>
    <cellStyle name="Normal 8 4 2 2 4 2 5" xfId="12479" xr:uid="{84B4670E-3064-44BF-9C0A-074497FDA508}"/>
    <cellStyle name="Normal 8 4 2 2 4 3" xfId="6110" xr:uid="{00000000-0005-0000-0000-0000DD1D0000}"/>
    <cellStyle name="Normal 8 4 2 2 4 3 2" xfId="22993" xr:uid="{43EA18D8-17F1-456E-9883-AFC4FDE2BF7A}"/>
    <cellStyle name="Normal 8 4 2 2 4 3 3" xfId="31439" xr:uid="{BCBE80B6-ACF2-4E3C-81B4-3B84F44CAC10}"/>
    <cellStyle name="Normal 8 4 2 2 4 3 4" xfId="14552" xr:uid="{93CB10F8-7A5F-4A71-ABCC-BEEE3A34EFF0}"/>
    <cellStyle name="Normal 8 4 2 2 4 4" xfId="18775" xr:uid="{3AEAE9EE-47FE-4FA4-B997-11715FA3422B}"/>
    <cellStyle name="Normal 8 4 2 2 4 5" xfId="27220" xr:uid="{4EB61ECC-7CC8-4486-8109-669391E82C2B}"/>
    <cellStyle name="Normal 8 4 2 2 4 6" xfId="10334" xr:uid="{6E230993-18CB-4479-8FA5-50C37F84C4AE}"/>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25551" xr:uid="{AC389671-B341-489F-99FE-9EAC20E62572}"/>
    <cellStyle name="Normal 8 4 2 2 5 2 2 3" xfId="33997" xr:uid="{D0DE7BBB-A89B-4604-A34B-3B47846044AB}"/>
    <cellStyle name="Normal 8 4 2 2 5 2 2 4" xfId="17110" xr:uid="{4DB771E0-664F-461E-BABA-7467486D9478}"/>
    <cellStyle name="Normal 8 4 2 2 5 2 3" xfId="21333" xr:uid="{D5960320-789C-408F-9E26-8A0191F780D3}"/>
    <cellStyle name="Normal 8 4 2 2 5 2 4" xfId="29780" xr:uid="{77E047FC-E20C-4689-81F1-A13ACBC0C612}"/>
    <cellStyle name="Normal 8 4 2 2 5 2 5" xfId="12892" xr:uid="{8F097165-9E1E-4DCE-97F3-72930CEF1D6A}"/>
    <cellStyle name="Normal 8 4 2 2 5 3" xfId="6523" xr:uid="{00000000-0005-0000-0000-0000E11D0000}"/>
    <cellStyle name="Normal 8 4 2 2 5 3 2" xfId="23406" xr:uid="{AE584640-B5AC-463F-8597-33B5C7348A45}"/>
    <cellStyle name="Normal 8 4 2 2 5 3 3" xfId="31852" xr:uid="{0D8EE429-D6A5-4474-BAE0-4CB2DF089DEB}"/>
    <cellStyle name="Normal 8 4 2 2 5 3 4" xfId="14965" xr:uid="{CFCDB6BD-89F8-46F0-9907-788B0AE73A70}"/>
    <cellStyle name="Normal 8 4 2 2 5 4" xfId="19188" xr:uid="{1B9F507C-D6EF-4C77-9DF9-81C135C19E74}"/>
    <cellStyle name="Normal 8 4 2 2 5 5" xfId="27633" xr:uid="{2E3E892C-051C-4979-8FA5-DB4DAAEBB20D}"/>
    <cellStyle name="Normal 8 4 2 2 5 6" xfId="10747" xr:uid="{21BBBBAB-7B28-473A-A8EE-A0057F9B3202}"/>
    <cellStyle name="Normal 8 4 2 2 6" xfId="2652" xr:uid="{00000000-0005-0000-0000-0000E21D0000}"/>
    <cellStyle name="Normal 8 4 2 2 6 2" xfId="6936" xr:uid="{00000000-0005-0000-0000-0000E31D0000}"/>
    <cellStyle name="Normal 8 4 2 2 6 2 2" xfId="23819" xr:uid="{3791DBD8-CE5E-411D-BB1A-228A6EF5479C}"/>
    <cellStyle name="Normal 8 4 2 2 6 2 3" xfId="32265" xr:uid="{7776A6E5-AE7D-428F-8A06-F26698C56CD4}"/>
    <cellStyle name="Normal 8 4 2 2 6 2 4" xfId="15378" xr:uid="{76B68828-763C-41F8-9A71-73D6379882E7}"/>
    <cellStyle name="Normal 8 4 2 2 6 3" xfId="19601" xr:uid="{306F74CD-BDAA-4759-8071-99B0BCE13649}"/>
    <cellStyle name="Normal 8 4 2 2 6 4" xfId="28046" xr:uid="{C12A7669-E967-431C-B4DF-8CB801DA4008}"/>
    <cellStyle name="Normal 8 4 2 2 6 5" xfId="11160" xr:uid="{542D5B3A-8895-4751-B0BF-8D276FE704BE}"/>
    <cellStyle name="Normal 8 4 2 2 7" xfId="4871" xr:uid="{00000000-0005-0000-0000-0000E41D0000}"/>
    <cellStyle name="Normal 8 4 2 2 7 2" xfId="21754" xr:uid="{6172C1B9-4955-4D8A-ACBA-016808C43604}"/>
    <cellStyle name="Normal 8 4 2 2 7 3" xfId="30200" xr:uid="{A4420D79-74F5-41A6-83C3-06A9A4A6CCDF}"/>
    <cellStyle name="Normal 8 4 2 2 7 4" xfId="13313" xr:uid="{55704463-78AC-46B9-88B0-D53DF8336807}"/>
    <cellStyle name="Normal 8 4 2 2 8" xfId="17536" xr:uid="{BC4B2CE3-8CC9-4037-B7D3-BF0162B1B4AD}"/>
    <cellStyle name="Normal 8 4 2 2 9" xfId="25981" xr:uid="{660AD141-3349-4D59-9E59-0EAC97A007A8}"/>
    <cellStyle name="Normal 8 4 2 3" xfId="971" xr:uid="{00000000-0005-0000-0000-0000E51D0000}"/>
    <cellStyle name="Normal 8 4 2 3 2" xfId="3205" xr:uid="{00000000-0005-0000-0000-0000E61D0000}"/>
    <cellStyle name="Normal 8 4 2 3 2 2" xfId="7428" xr:uid="{00000000-0005-0000-0000-0000E71D0000}"/>
    <cellStyle name="Normal 8 4 2 3 2 2 2" xfId="24311" xr:uid="{BCDC4E70-7931-406F-934A-A3EFF9647A0F}"/>
    <cellStyle name="Normal 8 4 2 3 2 2 3" xfId="32757" xr:uid="{9460D236-0D32-4EBB-AC21-A8B48443EB77}"/>
    <cellStyle name="Normal 8 4 2 3 2 2 4" xfId="15870" xr:uid="{505A5FB0-06D7-469F-A3CA-17DDD684B519}"/>
    <cellStyle name="Normal 8 4 2 3 2 3" xfId="20093" xr:uid="{0A6276CC-3D4F-4779-B032-7A71CBDAF671}"/>
    <cellStyle name="Normal 8 4 2 3 2 4" xfId="28540" xr:uid="{F0DF5085-3DA9-4F4E-8CD4-253A13C31892}"/>
    <cellStyle name="Normal 8 4 2 3 2 5" xfId="11652" xr:uid="{D9483DFA-DF5E-40A5-856E-90F276FA7C28}"/>
    <cellStyle name="Normal 8 4 2 3 3" xfId="5283" xr:uid="{00000000-0005-0000-0000-0000E81D0000}"/>
    <cellStyle name="Normal 8 4 2 3 3 2" xfId="22166" xr:uid="{EFED6C45-B253-4953-96EB-ED6A4AE2C6C9}"/>
    <cellStyle name="Normal 8 4 2 3 3 3" xfId="30612" xr:uid="{A648C12D-FD1F-42C8-9990-A63ED7F04046}"/>
    <cellStyle name="Normal 8 4 2 3 3 4" xfId="13725" xr:uid="{A48ABFAA-8147-4381-8B14-FE4C3FCB5057}"/>
    <cellStyle name="Normal 8 4 2 3 4" xfId="17948" xr:uid="{231B7BBF-F967-42D7-80FF-580A61273821}"/>
    <cellStyle name="Normal 8 4 2 3 5" xfId="26393" xr:uid="{9EAD7C05-6573-44A7-932A-A0B5A82A23C5}"/>
    <cellStyle name="Normal 8 4 2 3 6" xfId="9507" xr:uid="{85125F12-3262-43E3-92F0-59053DF869EC}"/>
    <cellStyle name="Normal 8 4 2 4" xfId="1388" xr:uid="{00000000-0005-0000-0000-0000E91D0000}"/>
    <cellStyle name="Normal 8 4 2 4 2" xfId="3618" xr:uid="{00000000-0005-0000-0000-0000EA1D0000}"/>
    <cellStyle name="Normal 8 4 2 4 2 2" xfId="7841" xr:uid="{00000000-0005-0000-0000-0000EB1D0000}"/>
    <cellStyle name="Normal 8 4 2 4 2 2 2" xfId="24724" xr:uid="{D29F9A59-D336-4949-816D-B635E1A49D32}"/>
    <cellStyle name="Normal 8 4 2 4 2 2 3" xfId="33170" xr:uid="{F726FC3B-1DC2-4A2D-B9FD-4B18B7306A9D}"/>
    <cellStyle name="Normal 8 4 2 4 2 2 4" xfId="16283" xr:uid="{66077470-CC76-4B76-A79A-9B28502384E2}"/>
    <cellStyle name="Normal 8 4 2 4 2 3" xfId="20506" xr:uid="{4DF86F78-8DA8-48F1-8FD1-37A20C76D5B6}"/>
    <cellStyle name="Normal 8 4 2 4 2 4" xfId="28953" xr:uid="{4387CB8C-77DA-4B7E-B27B-ECECD4FD844C}"/>
    <cellStyle name="Normal 8 4 2 4 2 5" xfId="12065" xr:uid="{1B12558F-80F9-489D-AE7C-18A5F4A05AC0}"/>
    <cellStyle name="Normal 8 4 2 4 3" xfId="5696" xr:uid="{00000000-0005-0000-0000-0000EC1D0000}"/>
    <cellStyle name="Normal 8 4 2 4 3 2" xfId="22579" xr:uid="{0E7DE97A-7CCD-4989-8FE2-63A6DB049AEA}"/>
    <cellStyle name="Normal 8 4 2 4 3 3" xfId="31025" xr:uid="{61AF169E-CF90-4BDC-9E1A-23C567F67214}"/>
    <cellStyle name="Normal 8 4 2 4 3 4" xfId="14138" xr:uid="{CAA4FFD8-020F-4D46-BDC5-D8D3D2D6B68E}"/>
    <cellStyle name="Normal 8 4 2 4 4" xfId="18361" xr:uid="{8C5BD075-4782-4554-A376-64C3A531CD21}"/>
    <cellStyle name="Normal 8 4 2 4 5" xfId="26806" xr:uid="{53ECCCFB-C068-4FBF-A128-5D79E08E52DC}"/>
    <cellStyle name="Normal 8 4 2 4 6" xfId="9920" xr:uid="{341C83DD-9E17-4E6C-AFE6-2689AC0CE151}"/>
    <cellStyle name="Normal 8 4 2 5" xfId="1801" xr:uid="{00000000-0005-0000-0000-0000ED1D0000}"/>
    <cellStyle name="Normal 8 4 2 5 2" xfId="4031" xr:uid="{00000000-0005-0000-0000-0000EE1D0000}"/>
    <cellStyle name="Normal 8 4 2 5 2 2" xfId="8254" xr:uid="{00000000-0005-0000-0000-0000EF1D0000}"/>
    <cellStyle name="Normal 8 4 2 5 2 2 2" xfId="25137" xr:uid="{D8072287-B4B3-4655-A67B-B755EBC0FBA9}"/>
    <cellStyle name="Normal 8 4 2 5 2 2 3" xfId="33583" xr:uid="{4A67D865-D565-4E63-800F-1E0A95258BD2}"/>
    <cellStyle name="Normal 8 4 2 5 2 2 4" xfId="16696" xr:uid="{9DA239F7-470F-4139-8D10-3C752573D792}"/>
    <cellStyle name="Normal 8 4 2 5 2 3" xfId="20919" xr:uid="{48322BFE-943C-48D3-998C-ACF95C28AD78}"/>
    <cellStyle name="Normal 8 4 2 5 2 4" xfId="29366" xr:uid="{18E6A2E1-D32D-4254-8540-C43FA8720EB7}"/>
    <cellStyle name="Normal 8 4 2 5 2 5" xfId="12478" xr:uid="{30023BD6-D7A9-467F-B03C-9364A7FEF962}"/>
    <cellStyle name="Normal 8 4 2 5 3" xfId="6109" xr:uid="{00000000-0005-0000-0000-0000F01D0000}"/>
    <cellStyle name="Normal 8 4 2 5 3 2" xfId="22992" xr:uid="{9A44E94D-F7A9-49AC-B8ED-B36A5F0CB5AD}"/>
    <cellStyle name="Normal 8 4 2 5 3 3" xfId="31438" xr:uid="{9965ECF8-245F-4422-AA37-CF1E9CA4ABBC}"/>
    <cellStyle name="Normal 8 4 2 5 3 4" xfId="14551" xr:uid="{C6ED01E2-47ED-4531-8B1F-A66B7A626951}"/>
    <cellStyle name="Normal 8 4 2 5 4" xfId="18774" xr:uid="{7CFF6873-906C-4BDF-AF6C-BF9EF1D6CEA5}"/>
    <cellStyle name="Normal 8 4 2 5 5" xfId="27219" xr:uid="{A8147DB8-67C8-415E-9E0C-0D82C1B25FC4}"/>
    <cellStyle name="Normal 8 4 2 5 6" xfId="10333" xr:uid="{AE5F1B09-8A0A-40E8-A91A-5BDF149123BE}"/>
    <cellStyle name="Normal 8 4 2 6" xfId="2215" xr:uid="{00000000-0005-0000-0000-0000F11D0000}"/>
    <cellStyle name="Normal 8 4 2 6 2" xfId="4444" xr:uid="{00000000-0005-0000-0000-0000F21D0000}"/>
    <cellStyle name="Normal 8 4 2 6 2 2" xfId="8667" xr:uid="{00000000-0005-0000-0000-0000F31D0000}"/>
    <cellStyle name="Normal 8 4 2 6 2 2 2" xfId="25550" xr:uid="{B7E7F014-3C34-43CB-9E59-1D7F4D0C9C8E}"/>
    <cellStyle name="Normal 8 4 2 6 2 2 3" xfId="33996" xr:uid="{EAA6E402-35F1-44B6-AFB4-7D6FBD30B594}"/>
    <cellStyle name="Normal 8 4 2 6 2 2 4" xfId="17109" xr:uid="{2B9CCFFD-FBFD-4313-9B9F-AFCD8CA6511C}"/>
    <cellStyle name="Normal 8 4 2 6 2 3" xfId="21332" xr:uid="{56971F0C-ABD1-4AEC-AC5D-545F032652E4}"/>
    <cellStyle name="Normal 8 4 2 6 2 4" xfId="29779" xr:uid="{06BE36C8-02B9-4F07-A5F5-06FF33D314E9}"/>
    <cellStyle name="Normal 8 4 2 6 2 5" xfId="12891" xr:uid="{C9C33078-290B-45AE-BC55-4E97B6CA4D85}"/>
    <cellStyle name="Normal 8 4 2 6 3" xfId="6522" xr:uid="{00000000-0005-0000-0000-0000F41D0000}"/>
    <cellStyle name="Normal 8 4 2 6 3 2" xfId="23405" xr:uid="{03C9F069-4CE4-42C5-A77D-E59A4CFAF67D}"/>
    <cellStyle name="Normal 8 4 2 6 3 3" xfId="31851" xr:uid="{0FA96626-B249-4B1E-87CB-945EDF9B8661}"/>
    <cellStyle name="Normal 8 4 2 6 3 4" xfId="14964" xr:uid="{526F4B4B-EDC8-48EB-904B-82FDD27A2BEE}"/>
    <cellStyle name="Normal 8 4 2 6 4" xfId="19187" xr:uid="{0A035AF3-4CD8-453D-8DE8-217813B5FA29}"/>
    <cellStyle name="Normal 8 4 2 6 5" xfId="27632" xr:uid="{B3E8CDD0-89E4-4D6E-94C4-5A8330B0014B}"/>
    <cellStyle name="Normal 8 4 2 6 6" xfId="10746" xr:uid="{A8E1E4F7-79B8-43D5-9055-383294DA08EC}"/>
    <cellStyle name="Normal 8 4 2 7" xfId="2651" xr:uid="{00000000-0005-0000-0000-0000F51D0000}"/>
    <cellStyle name="Normal 8 4 2 7 2" xfId="6935" xr:uid="{00000000-0005-0000-0000-0000F61D0000}"/>
    <cellStyle name="Normal 8 4 2 7 2 2" xfId="23818" xr:uid="{88508C12-C544-4B3C-8AF5-B110EADFAC46}"/>
    <cellStyle name="Normal 8 4 2 7 2 3" xfId="32264" xr:uid="{4AAF6B36-7D96-4A9F-B0CC-87E54F1C044F}"/>
    <cellStyle name="Normal 8 4 2 7 2 4" xfId="15377" xr:uid="{E02A1F50-4635-4F24-8352-FC1A3BEDA891}"/>
    <cellStyle name="Normal 8 4 2 7 3" xfId="19600" xr:uid="{1EC57D19-D805-4514-9A3E-AA26CDFFF51F}"/>
    <cellStyle name="Normal 8 4 2 7 4" xfId="28045" xr:uid="{52F3A273-DF34-4B08-AD0F-41815218914C}"/>
    <cellStyle name="Normal 8 4 2 7 5" xfId="11159" xr:uid="{5594C753-F31B-4932-9B62-A176A38D33BC}"/>
    <cellStyle name="Normal 8 4 2 8" xfId="4870" xr:uid="{00000000-0005-0000-0000-0000F71D0000}"/>
    <cellStyle name="Normal 8 4 2 8 2" xfId="21753" xr:uid="{625CF034-0728-4CD4-9C54-07EFCC9AC56F}"/>
    <cellStyle name="Normal 8 4 2 8 3" xfId="30199" xr:uid="{EB5796FD-3394-413F-BCC1-AE0A69FE51E2}"/>
    <cellStyle name="Normal 8 4 2 8 4" xfId="13312" xr:uid="{2B7014C2-1626-4B19-8F74-02FB9FB2DBEA}"/>
    <cellStyle name="Normal 8 4 2 9" xfId="17535" xr:uid="{374C3405-7FFA-40A8-A840-B98DC252EBA2}"/>
    <cellStyle name="Normal 8 4 3" xfId="506" xr:uid="{00000000-0005-0000-0000-0000F81D0000}"/>
    <cellStyle name="Normal 8 4 3 10" xfId="9096" xr:uid="{CBAF4FF0-DF6D-4CC5-9E04-7A6DC577833D}"/>
    <cellStyle name="Normal 8 4 3 2" xfId="973" xr:uid="{00000000-0005-0000-0000-0000F91D0000}"/>
    <cellStyle name="Normal 8 4 3 2 2" xfId="3207" xr:uid="{00000000-0005-0000-0000-0000FA1D0000}"/>
    <cellStyle name="Normal 8 4 3 2 2 2" xfId="7430" xr:uid="{00000000-0005-0000-0000-0000FB1D0000}"/>
    <cellStyle name="Normal 8 4 3 2 2 2 2" xfId="24313" xr:uid="{1827581F-3892-4F7B-9F74-10A54B27CD13}"/>
    <cellStyle name="Normal 8 4 3 2 2 2 3" xfId="32759" xr:uid="{582A104F-EB37-4127-B8FB-1F0FC0752685}"/>
    <cellStyle name="Normal 8 4 3 2 2 2 4" xfId="15872" xr:uid="{429F7F98-6E6A-4B98-A9AD-72E0B938EF28}"/>
    <cellStyle name="Normal 8 4 3 2 2 3" xfId="20095" xr:uid="{DEC4052C-DCC0-4C84-AFC2-19A9260B1F1E}"/>
    <cellStyle name="Normal 8 4 3 2 2 4" xfId="28542" xr:uid="{D7781301-640D-4D17-8156-B731C96DDEE2}"/>
    <cellStyle name="Normal 8 4 3 2 2 5" xfId="11654" xr:uid="{1107CAF2-4CCF-49A5-A1CC-C7F88774C791}"/>
    <cellStyle name="Normal 8 4 3 2 3" xfId="5285" xr:uid="{00000000-0005-0000-0000-0000FC1D0000}"/>
    <cellStyle name="Normal 8 4 3 2 3 2" xfId="22168" xr:uid="{7D0F41E9-EFC4-454C-BB97-7C7BCA7854CF}"/>
    <cellStyle name="Normal 8 4 3 2 3 3" xfId="30614" xr:uid="{8D74C5A3-D88D-442F-9518-DAD583D8317C}"/>
    <cellStyle name="Normal 8 4 3 2 3 4" xfId="13727" xr:uid="{013369D9-D537-436C-BFF1-36CE5F772C1D}"/>
    <cellStyle name="Normal 8 4 3 2 4" xfId="17950" xr:uid="{F407F621-28C3-4956-A384-AEBC213AFBC6}"/>
    <cellStyle name="Normal 8 4 3 2 5" xfId="26395" xr:uid="{A9E108FE-C45E-4A30-998E-6681E750EB19}"/>
    <cellStyle name="Normal 8 4 3 2 6" xfId="9509" xr:uid="{98B5CC1F-A920-407A-94E2-B1C0712DAE29}"/>
    <cellStyle name="Normal 8 4 3 3" xfId="1390" xr:uid="{00000000-0005-0000-0000-0000FD1D0000}"/>
    <cellStyle name="Normal 8 4 3 3 2" xfId="3620" xr:uid="{00000000-0005-0000-0000-0000FE1D0000}"/>
    <cellStyle name="Normal 8 4 3 3 2 2" xfId="7843" xr:uid="{00000000-0005-0000-0000-0000FF1D0000}"/>
    <cellStyle name="Normal 8 4 3 3 2 2 2" xfId="24726" xr:uid="{D79847CD-8937-4823-876C-DE2D4507A2FC}"/>
    <cellStyle name="Normal 8 4 3 3 2 2 3" xfId="33172" xr:uid="{9C6DE927-D160-47FA-9ABC-335AAE8ACE14}"/>
    <cellStyle name="Normal 8 4 3 3 2 2 4" xfId="16285" xr:uid="{AE492AE3-C61F-4F7D-A9F7-C93C14BC4CF8}"/>
    <cellStyle name="Normal 8 4 3 3 2 3" xfId="20508" xr:uid="{7648A1EE-DA92-48D2-B6E2-47E7BC59C80B}"/>
    <cellStyle name="Normal 8 4 3 3 2 4" xfId="28955" xr:uid="{A0F0A945-6424-433E-BFCA-7BD438AF8EAF}"/>
    <cellStyle name="Normal 8 4 3 3 2 5" xfId="12067" xr:uid="{A98A958E-C6E1-4087-A892-D210F286E868}"/>
    <cellStyle name="Normal 8 4 3 3 3" xfId="5698" xr:uid="{00000000-0005-0000-0000-0000001E0000}"/>
    <cellStyle name="Normal 8 4 3 3 3 2" xfId="22581" xr:uid="{CE78D056-07A4-4676-915E-D622017FEB95}"/>
    <cellStyle name="Normal 8 4 3 3 3 3" xfId="31027" xr:uid="{41C4FF6C-10BD-48E9-866A-89A23C193EF1}"/>
    <cellStyle name="Normal 8 4 3 3 3 4" xfId="14140" xr:uid="{CD346549-E8D2-46BA-98A1-F6B9A56DBE55}"/>
    <cellStyle name="Normal 8 4 3 3 4" xfId="18363" xr:uid="{9067E5E7-A223-4251-9CA4-3D0D929D5A6B}"/>
    <cellStyle name="Normal 8 4 3 3 5" xfId="26808" xr:uid="{5856DF7F-35D7-4A6B-BE31-356C9408E951}"/>
    <cellStyle name="Normal 8 4 3 3 6" xfId="9922" xr:uid="{617E19CD-A3DE-4B4C-B0CD-4E7237E7A420}"/>
    <cellStyle name="Normal 8 4 3 4" xfId="1803" xr:uid="{00000000-0005-0000-0000-0000011E0000}"/>
    <cellStyle name="Normal 8 4 3 4 2" xfId="4033" xr:uid="{00000000-0005-0000-0000-0000021E0000}"/>
    <cellStyle name="Normal 8 4 3 4 2 2" xfId="8256" xr:uid="{00000000-0005-0000-0000-0000031E0000}"/>
    <cellStyle name="Normal 8 4 3 4 2 2 2" xfId="25139" xr:uid="{29D83DF9-36D0-4327-B7C7-CC59525074E3}"/>
    <cellStyle name="Normal 8 4 3 4 2 2 3" xfId="33585" xr:uid="{35AF8219-23D7-4E9E-9057-DF6E98A967A9}"/>
    <cellStyle name="Normal 8 4 3 4 2 2 4" xfId="16698" xr:uid="{48BAF1B7-1C46-41C0-A698-C50E8329B8A9}"/>
    <cellStyle name="Normal 8 4 3 4 2 3" xfId="20921" xr:uid="{CC12AD3A-E7B6-4BB7-AD6F-E5AF4777BAAF}"/>
    <cellStyle name="Normal 8 4 3 4 2 4" xfId="29368" xr:uid="{0E9A80F1-8247-4556-8C71-F41FCEC25516}"/>
    <cellStyle name="Normal 8 4 3 4 2 5" xfId="12480" xr:uid="{40BF114D-97D7-4E19-929F-BDF8F8BAEFF6}"/>
    <cellStyle name="Normal 8 4 3 4 3" xfId="6111" xr:uid="{00000000-0005-0000-0000-0000041E0000}"/>
    <cellStyle name="Normal 8 4 3 4 3 2" xfId="22994" xr:uid="{C09A9965-3053-421B-86C7-1BDC71EBCB8B}"/>
    <cellStyle name="Normal 8 4 3 4 3 3" xfId="31440" xr:uid="{890DB39B-4AA6-4D57-84F5-C0A00C063BA7}"/>
    <cellStyle name="Normal 8 4 3 4 3 4" xfId="14553" xr:uid="{C7AF171E-7FDE-4B1A-BC0F-EC7FDE57A43B}"/>
    <cellStyle name="Normal 8 4 3 4 4" xfId="18776" xr:uid="{208BE217-C503-47DE-AE56-6E7B45F1D3E0}"/>
    <cellStyle name="Normal 8 4 3 4 5" xfId="27221" xr:uid="{E3CB621F-6687-4A15-9AE6-8E846FB6F26D}"/>
    <cellStyle name="Normal 8 4 3 4 6" xfId="10335" xr:uid="{DA100C63-F4AB-49B4-8E0E-EC85608D1A23}"/>
    <cellStyle name="Normal 8 4 3 5" xfId="2217" xr:uid="{00000000-0005-0000-0000-0000051E0000}"/>
    <cellStyle name="Normal 8 4 3 5 2" xfId="4446" xr:uid="{00000000-0005-0000-0000-0000061E0000}"/>
    <cellStyle name="Normal 8 4 3 5 2 2" xfId="8669" xr:uid="{00000000-0005-0000-0000-0000071E0000}"/>
    <cellStyle name="Normal 8 4 3 5 2 2 2" xfId="25552" xr:uid="{6B887A87-8795-4D65-B64D-3B03B98E3FB1}"/>
    <cellStyle name="Normal 8 4 3 5 2 2 3" xfId="33998" xr:uid="{BEB052FF-C7EC-4AF4-A6A2-0A3793F0DB7E}"/>
    <cellStyle name="Normal 8 4 3 5 2 2 4" xfId="17111" xr:uid="{8D0AB8AE-D6C3-403C-9FAD-8D7B2077EE5A}"/>
    <cellStyle name="Normal 8 4 3 5 2 3" xfId="21334" xr:uid="{61E547F9-63EF-47AC-A0C5-00A97438DED1}"/>
    <cellStyle name="Normal 8 4 3 5 2 4" xfId="29781" xr:uid="{7028510E-18CC-4CEE-A2C5-BF9A62C9B0FF}"/>
    <cellStyle name="Normal 8 4 3 5 2 5" xfId="12893" xr:uid="{CFE7CC35-36D3-4E3A-90BB-8990380CACDE}"/>
    <cellStyle name="Normal 8 4 3 5 3" xfId="6524" xr:uid="{00000000-0005-0000-0000-0000081E0000}"/>
    <cellStyle name="Normal 8 4 3 5 3 2" xfId="23407" xr:uid="{701211A6-363E-450F-8B38-AED0E731AD0F}"/>
    <cellStyle name="Normal 8 4 3 5 3 3" xfId="31853" xr:uid="{F0CF3470-768A-491A-91B4-40A4754F9C8E}"/>
    <cellStyle name="Normal 8 4 3 5 3 4" xfId="14966" xr:uid="{FA2F9C25-F138-4492-A79F-F29C6B73A601}"/>
    <cellStyle name="Normal 8 4 3 5 4" xfId="19189" xr:uid="{545DD91F-06B3-4891-83E4-472C09CBE140}"/>
    <cellStyle name="Normal 8 4 3 5 5" xfId="27634" xr:uid="{A26DCE98-CE9B-4490-AD11-A8077638F292}"/>
    <cellStyle name="Normal 8 4 3 5 6" xfId="10748" xr:uid="{146E8CC6-8913-4CD9-8F78-D3315A34AA79}"/>
    <cellStyle name="Normal 8 4 3 6" xfId="2653" xr:uid="{00000000-0005-0000-0000-0000091E0000}"/>
    <cellStyle name="Normal 8 4 3 6 2" xfId="6937" xr:uid="{00000000-0005-0000-0000-00000A1E0000}"/>
    <cellStyle name="Normal 8 4 3 6 2 2" xfId="23820" xr:uid="{D60CAD2F-F985-4E43-8019-6DA8AE34E9A9}"/>
    <cellStyle name="Normal 8 4 3 6 2 3" xfId="32266" xr:uid="{DC7AE073-3AE9-49E6-87DD-B3A18660141A}"/>
    <cellStyle name="Normal 8 4 3 6 2 4" xfId="15379" xr:uid="{86D5DC7E-78AB-417B-B5F1-401898BBB621}"/>
    <cellStyle name="Normal 8 4 3 6 3" xfId="19602" xr:uid="{EE72F966-A9A3-4A4E-A286-9816FBD0FEC8}"/>
    <cellStyle name="Normal 8 4 3 6 4" xfId="28047" xr:uid="{EDDB0BCB-AF8D-48CD-B1DF-09ABD069C732}"/>
    <cellStyle name="Normal 8 4 3 6 5" xfId="11161" xr:uid="{A1D22D23-F266-4DBE-8125-E6CC66040B12}"/>
    <cellStyle name="Normal 8 4 3 7" xfId="4872" xr:uid="{00000000-0005-0000-0000-00000B1E0000}"/>
    <cellStyle name="Normal 8 4 3 7 2" xfId="21755" xr:uid="{5F68B5F0-A245-4DA1-8311-F299684FB210}"/>
    <cellStyle name="Normal 8 4 3 7 3" xfId="30201" xr:uid="{7D84866C-97B9-4D48-96CE-238602FFE496}"/>
    <cellStyle name="Normal 8 4 3 7 4" xfId="13314" xr:uid="{B83E040B-357B-4118-A21D-E65B88182D21}"/>
    <cellStyle name="Normal 8 4 3 8" xfId="17537" xr:uid="{EDB994E5-5D60-448A-B7E8-8985BC076395}"/>
    <cellStyle name="Normal 8 4 3 9" xfId="25982" xr:uid="{A51EA8F1-AADC-48A9-84F5-BDD269FDFA02}"/>
    <cellStyle name="Normal 8 4 4" xfId="970" xr:uid="{00000000-0005-0000-0000-00000C1E0000}"/>
    <cellStyle name="Normal 8 4 4 2" xfId="3204" xr:uid="{00000000-0005-0000-0000-00000D1E0000}"/>
    <cellStyle name="Normal 8 4 4 2 2" xfId="7427" xr:uid="{00000000-0005-0000-0000-00000E1E0000}"/>
    <cellStyle name="Normal 8 4 4 2 2 2" xfId="24310" xr:uid="{AA1C2232-0B92-4520-8B8A-197870A685B7}"/>
    <cellStyle name="Normal 8 4 4 2 2 3" xfId="32756" xr:uid="{ED094FD9-40F9-4FF5-AAA3-E693AAE74323}"/>
    <cellStyle name="Normal 8 4 4 2 2 4" xfId="15869" xr:uid="{357B1A81-9595-4EE9-A10E-47037EE2F257}"/>
    <cellStyle name="Normal 8 4 4 2 3" xfId="20092" xr:uid="{321CA4AF-8127-419B-B5DB-EFC0CFA07C80}"/>
    <cellStyle name="Normal 8 4 4 2 4" xfId="28539" xr:uid="{0748F2B1-4156-4E74-A732-5E1B84162002}"/>
    <cellStyle name="Normal 8 4 4 2 5" xfId="11651" xr:uid="{9C3CEC66-6DE9-4272-BA15-90179A2F72ED}"/>
    <cellStyle name="Normal 8 4 4 3" xfId="5282" xr:uid="{00000000-0005-0000-0000-00000F1E0000}"/>
    <cellStyle name="Normal 8 4 4 3 2" xfId="22165" xr:uid="{E2D8CD01-4680-4AC0-886B-9F26A1A3EC3C}"/>
    <cellStyle name="Normal 8 4 4 3 3" xfId="30611" xr:uid="{2BD83878-1072-4B25-A2BA-18C179AE2C84}"/>
    <cellStyle name="Normal 8 4 4 3 4" xfId="13724" xr:uid="{FB2A4A2B-550C-40A0-9AF0-650DA08712C6}"/>
    <cellStyle name="Normal 8 4 4 4" xfId="17947" xr:uid="{340CAC84-0485-4902-A99E-2ABCDBE3BA56}"/>
    <cellStyle name="Normal 8 4 4 5" xfId="26392" xr:uid="{AECE5B58-0DDB-4C51-B443-38F0F51B0CE2}"/>
    <cellStyle name="Normal 8 4 4 6" xfId="9506" xr:uid="{1A463B11-57C5-40DE-A5C7-74523B25CE5D}"/>
    <cellStyle name="Normal 8 4 5" xfId="1387" xr:uid="{00000000-0005-0000-0000-0000101E0000}"/>
    <cellStyle name="Normal 8 4 5 2" xfId="3617" xr:uid="{00000000-0005-0000-0000-0000111E0000}"/>
    <cellStyle name="Normal 8 4 5 2 2" xfId="7840" xr:uid="{00000000-0005-0000-0000-0000121E0000}"/>
    <cellStyle name="Normal 8 4 5 2 2 2" xfId="24723" xr:uid="{7B32B697-1443-4186-9CF3-D2F58EF115C2}"/>
    <cellStyle name="Normal 8 4 5 2 2 3" xfId="33169" xr:uid="{F4F0CAB3-FF6C-4ED7-A8AE-A7EDCFA00F64}"/>
    <cellStyle name="Normal 8 4 5 2 2 4" xfId="16282" xr:uid="{3489E663-483A-4747-BE54-54357AF98793}"/>
    <cellStyle name="Normal 8 4 5 2 3" xfId="20505" xr:uid="{CE09E902-155F-4515-A1AD-FD5770F59946}"/>
    <cellStyle name="Normal 8 4 5 2 4" xfId="28952" xr:uid="{71773105-8AC7-4B20-8C73-452375C002D1}"/>
    <cellStyle name="Normal 8 4 5 2 5" xfId="12064" xr:uid="{0B810C3A-A3B8-4F2B-9CD5-4F488B929986}"/>
    <cellStyle name="Normal 8 4 5 3" xfId="5695" xr:uid="{00000000-0005-0000-0000-0000131E0000}"/>
    <cellStyle name="Normal 8 4 5 3 2" xfId="22578" xr:uid="{4774F1A4-60A7-403C-8662-0DD5242CF078}"/>
    <cellStyle name="Normal 8 4 5 3 3" xfId="31024" xr:uid="{10774A0C-3D22-4DF3-814D-B381351527A3}"/>
    <cellStyle name="Normal 8 4 5 3 4" xfId="14137" xr:uid="{8450D6B9-7ECB-47CB-99E0-7E0DE053969E}"/>
    <cellStyle name="Normal 8 4 5 4" xfId="18360" xr:uid="{139DC77C-694C-4EB4-A30B-E4811146B068}"/>
    <cellStyle name="Normal 8 4 5 5" xfId="26805" xr:uid="{0311D3E9-7F69-4216-837B-BF0E63C7FA1E}"/>
    <cellStyle name="Normal 8 4 5 6" xfId="9919" xr:uid="{96C30B93-7A70-4425-9DDD-84973EA046CE}"/>
    <cellStyle name="Normal 8 4 6" xfId="1800" xr:uid="{00000000-0005-0000-0000-0000141E0000}"/>
    <cellStyle name="Normal 8 4 6 2" xfId="4030" xr:uid="{00000000-0005-0000-0000-0000151E0000}"/>
    <cellStyle name="Normal 8 4 6 2 2" xfId="8253" xr:uid="{00000000-0005-0000-0000-0000161E0000}"/>
    <cellStyle name="Normal 8 4 6 2 2 2" xfId="25136" xr:uid="{BFA03433-E077-48AA-A886-F0ECB05193E3}"/>
    <cellStyle name="Normal 8 4 6 2 2 3" xfId="33582" xr:uid="{955AC8EF-CADD-4C3C-A522-8E3C25EAA0FF}"/>
    <cellStyle name="Normal 8 4 6 2 2 4" xfId="16695" xr:uid="{6F137D4F-D78A-4F02-8C4E-F5193DACABC5}"/>
    <cellStyle name="Normal 8 4 6 2 3" xfId="20918" xr:uid="{BBDCB729-3C2C-4414-944A-9C36D3124AFA}"/>
    <cellStyle name="Normal 8 4 6 2 4" xfId="29365" xr:uid="{84A95EB1-E1C3-400C-8CF5-45B6DF3FFCC9}"/>
    <cellStyle name="Normal 8 4 6 2 5" xfId="12477" xr:uid="{67648EF6-AE82-495A-8A69-1B7785D016EF}"/>
    <cellStyle name="Normal 8 4 6 3" xfId="6108" xr:uid="{00000000-0005-0000-0000-0000171E0000}"/>
    <cellStyle name="Normal 8 4 6 3 2" xfId="22991" xr:uid="{1693CC1D-7B22-48CB-A9C6-9705F0C15455}"/>
    <cellStyle name="Normal 8 4 6 3 3" xfId="31437" xr:uid="{D935734F-4EE9-4223-96B8-783EC1C06956}"/>
    <cellStyle name="Normal 8 4 6 3 4" xfId="14550" xr:uid="{DCCC0CA9-A7CD-4C68-994E-889E4C9B468A}"/>
    <cellStyle name="Normal 8 4 6 4" xfId="18773" xr:uid="{CA849B5D-492F-4F4A-A3C9-D58AFB98B9CA}"/>
    <cellStyle name="Normal 8 4 6 5" xfId="27218" xr:uid="{0155EAB4-9D0E-43A5-A71C-60DD190925CC}"/>
    <cellStyle name="Normal 8 4 6 6" xfId="10332" xr:uid="{E92C9BC6-EC14-481E-A4FC-0B47835FCA35}"/>
    <cellStyle name="Normal 8 4 7" xfId="2214" xr:uid="{00000000-0005-0000-0000-0000181E0000}"/>
    <cellStyle name="Normal 8 4 7 2" xfId="4443" xr:uid="{00000000-0005-0000-0000-0000191E0000}"/>
    <cellStyle name="Normal 8 4 7 2 2" xfId="8666" xr:uid="{00000000-0005-0000-0000-00001A1E0000}"/>
    <cellStyle name="Normal 8 4 7 2 2 2" xfId="25549" xr:uid="{B86E5613-5C0C-44F3-9CB7-1EFC7AA0FB18}"/>
    <cellStyle name="Normal 8 4 7 2 2 3" xfId="33995" xr:uid="{BFA9E656-D00D-42BA-86E9-643A2B63C827}"/>
    <cellStyle name="Normal 8 4 7 2 2 4" xfId="17108" xr:uid="{DF584447-C1DE-499A-A0B7-AA56F6127042}"/>
    <cellStyle name="Normal 8 4 7 2 3" xfId="21331" xr:uid="{CBD2FC8D-4B1A-4605-ABB7-39D686CC1A14}"/>
    <cellStyle name="Normal 8 4 7 2 4" xfId="29778" xr:uid="{C346074F-B730-46D7-B26A-9D55C6312933}"/>
    <cellStyle name="Normal 8 4 7 2 5" xfId="12890" xr:uid="{AA70A42A-5968-485E-9984-EE3C9B19C4F8}"/>
    <cellStyle name="Normal 8 4 7 3" xfId="6521" xr:uid="{00000000-0005-0000-0000-00001B1E0000}"/>
    <cellStyle name="Normal 8 4 7 3 2" xfId="23404" xr:uid="{83C0A337-BA8D-4065-9F4F-1B28684DD344}"/>
    <cellStyle name="Normal 8 4 7 3 3" xfId="31850" xr:uid="{BE2EDC75-1D15-49D2-91C2-A3937A5E2868}"/>
    <cellStyle name="Normal 8 4 7 3 4" xfId="14963" xr:uid="{E834294A-DD79-4E91-B626-73C39B3BC3B4}"/>
    <cellStyle name="Normal 8 4 7 4" xfId="19186" xr:uid="{68563C87-357A-4B0A-9565-F0A976ED55D5}"/>
    <cellStyle name="Normal 8 4 7 5" xfId="27631" xr:uid="{603319B3-39EF-4DFD-B947-7B0A5170C1D7}"/>
    <cellStyle name="Normal 8 4 7 6" xfId="10745" xr:uid="{0801B331-939E-438E-BC99-DA4A366761A4}"/>
    <cellStyle name="Normal 8 4 8" xfId="2650" xr:uid="{00000000-0005-0000-0000-00001C1E0000}"/>
    <cellStyle name="Normal 8 4 8 2" xfId="6934" xr:uid="{00000000-0005-0000-0000-00001D1E0000}"/>
    <cellStyle name="Normal 8 4 8 2 2" xfId="23817" xr:uid="{CC923A78-E39B-4B71-9C12-05977C8AF82C}"/>
    <cellStyle name="Normal 8 4 8 2 3" xfId="32263" xr:uid="{B87FE921-FBCC-42DE-87F8-7E6C8EC704E9}"/>
    <cellStyle name="Normal 8 4 8 2 4" xfId="15376" xr:uid="{50279725-2D67-4070-AE24-C2E4FD312205}"/>
    <cellStyle name="Normal 8 4 8 3" xfId="19599" xr:uid="{01A0288A-7108-4E30-9160-79E2614E081F}"/>
    <cellStyle name="Normal 8 4 8 4" xfId="28044" xr:uid="{CAAE1A40-2505-4816-8617-3D456FE379DF}"/>
    <cellStyle name="Normal 8 4 8 5" xfId="11158" xr:uid="{95307D48-8180-4FC9-A117-B0D33F62AE7D}"/>
    <cellStyle name="Normal 8 4 9" xfId="4869" xr:uid="{00000000-0005-0000-0000-00001E1E0000}"/>
    <cellStyle name="Normal 8 4 9 2" xfId="21752" xr:uid="{F3FF6910-89E3-4111-9102-CB0C9C7C8884}"/>
    <cellStyle name="Normal 8 4 9 3" xfId="30198" xr:uid="{26B8B321-99C4-4D51-85C9-9C4CFE46BF8F}"/>
    <cellStyle name="Normal 8 4 9 4" xfId="13311" xr:uid="{0E17D717-E881-4694-8E53-5274ACDC819D}"/>
    <cellStyle name="Normal 8 5" xfId="507" xr:uid="{00000000-0005-0000-0000-00001F1E0000}"/>
    <cellStyle name="Normal 8 5 10" xfId="25983" xr:uid="{B2DF547D-A9B9-46CF-A179-E20D3650C4CD}"/>
    <cellStyle name="Normal 8 5 11" xfId="9097" xr:uid="{5EDD2E02-3922-4176-875C-E672183D5D66}"/>
    <cellStyle name="Normal 8 5 2" xfId="508" xr:uid="{00000000-0005-0000-0000-0000201E0000}"/>
    <cellStyle name="Normal 8 5 2 10" xfId="9098" xr:uid="{AAD890AB-B08D-455C-8DD3-9F0947481D15}"/>
    <cellStyle name="Normal 8 5 2 2" xfId="975" xr:uid="{00000000-0005-0000-0000-0000211E0000}"/>
    <cellStyle name="Normal 8 5 2 2 2" xfId="3209" xr:uid="{00000000-0005-0000-0000-0000221E0000}"/>
    <cellStyle name="Normal 8 5 2 2 2 2" xfId="7432" xr:uid="{00000000-0005-0000-0000-0000231E0000}"/>
    <cellStyle name="Normal 8 5 2 2 2 2 2" xfId="24315" xr:uid="{B0539D72-62E7-4BDB-81C2-54DAB3FDA365}"/>
    <cellStyle name="Normal 8 5 2 2 2 2 3" xfId="32761" xr:uid="{17A96102-58A8-473A-AB5C-5275A3B9A5C1}"/>
    <cellStyle name="Normal 8 5 2 2 2 2 4" xfId="15874" xr:uid="{6CBFFB16-85B4-4AAB-B761-440E633D25D2}"/>
    <cellStyle name="Normal 8 5 2 2 2 3" xfId="20097" xr:uid="{3F84034B-B194-4681-969A-BECDD78F3A81}"/>
    <cellStyle name="Normal 8 5 2 2 2 4" xfId="28544" xr:uid="{1665485F-EB20-4922-83D3-2E0857B26CD0}"/>
    <cellStyle name="Normal 8 5 2 2 2 5" xfId="11656" xr:uid="{AFD296B9-D7CA-436F-B6F3-634FF784CAAC}"/>
    <cellStyle name="Normal 8 5 2 2 3" xfId="5287" xr:uid="{00000000-0005-0000-0000-0000241E0000}"/>
    <cellStyle name="Normal 8 5 2 2 3 2" xfId="22170" xr:uid="{01BC3DBA-98ED-4FD6-8C55-5BA27C82FE1F}"/>
    <cellStyle name="Normal 8 5 2 2 3 3" xfId="30616" xr:uid="{7098F8FF-158A-4A96-856D-DCF4EDB1F1F4}"/>
    <cellStyle name="Normal 8 5 2 2 3 4" xfId="13729" xr:uid="{800C7E62-BA47-46A3-A29D-EBDCA926D203}"/>
    <cellStyle name="Normal 8 5 2 2 4" xfId="17952" xr:uid="{DFA53EEB-4F3E-4EE6-BA71-4DBE71814B49}"/>
    <cellStyle name="Normal 8 5 2 2 5" xfId="26397" xr:uid="{FFD4C4FF-1A77-43A9-973F-78E0F2C3636E}"/>
    <cellStyle name="Normal 8 5 2 2 6" xfId="9511" xr:uid="{857754F3-D26B-40CA-8E99-A7E498395419}"/>
    <cellStyle name="Normal 8 5 2 3" xfId="1392" xr:uid="{00000000-0005-0000-0000-0000251E0000}"/>
    <cellStyle name="Normal 8 5 2 3 2" xfId="3622" xr:uid="{00000000-0005-0000-0000-0000261E0000}"/>
    <cellStyle name="Normal 8 5 2 3 2 2" xfId="7845" xr:uid="{00000000-0005-0000-0000-0000271E0000}"/>
    <cellStyle name="Normal 8 5 2 3 2 2 2" xfId="24728" xr:uid="{7F3AA46E-155A-4686-98A1-6BDADB975463}"/>
    <cellStyle name="Normal 8 5 2 3 2 2 3" xfId="33174" xr:uid="{615321B4-93ED-47F9-9713-C4F204391E08}"/>
    <cellStyle name="Normal 8 5 2 3 2 2 4" xfId="16287" xr:uid="{665447AF-677F-4279-BCD1-C1850074CC5F}"/>
    <cellStyle name="Normal 8 5 2 3 2 3" xfId="20510" xr:uid="{4D697161-1DEC-4D39-9D09-A9EBFC2DD290}"/>
    <cellStyle name="Normal 8 5 2 3 2 4" xfId="28957" xr:uid="{6F5EDA3A-E3C4-4B37-8248-A729CC46FDBE}"/>
    <cellStyle name="Normal 8 5 2 3 2 5" xfId="12069" xr:uid="{8A3ECFCE-155C-4F02-B3A0-CB9745B4DCCA}"/>
    <cellStyle name="Normal 8 5 2 3 3" xfId="5700" xr:uid="{00000000-0005-0000-0000-0000281E0000}"/>
    <cellStyle name="Normal 8 5 2 3 3 2" xfId="22583" xr:uid="{20934E69-A3B5-498F-9697-E426A71C3671}"/>
    <cellStyle name="Normal 8 5 2 3 3 3" xfId="31029" xr:uid="{7FC81F7C-2DEA-4C0B-93B6-92A2A9951EE2}"/>
    <cellStyle name="Normal 8 5 2 3 3 4" xfId="14142" xr:uid="{9BDB0F44-184B-4E1B-AED7-680841C59049}"/>
    <cellStyle name="Normal 8 5 2 3 4" xfId="18365" xr:uid="{34510C1D-F8E7-4C55-99E3-65E312C0E27C}"/>
    <cellStyle name="Normal 8 5 2 3 5" xfId="26810" xr:uid="{C90183E9-04B9-4B61-9B4D-0C6DF7303E1E}"/>
    <cellStyle name="Normal 8 5 2 3 6" xfId="9924" xr:uid="{0D5F8D10-8A05-4230-BE1A-8F00E5CF2C10}"/>
    <cellStyle name="Normal 8 5 2 4" xfId="1805" xr:uid="{00000000-0005-0000-0000-0000291E0000}"/>
    <cellStyle name="Normal 8 5 2 4 2" xfId="4035" xr:uid="{00000000-0005-0000-0000-00002A1E0000}"/>
    <cellStyle name="Normal 8 5 2 4 2 2" xfId="8258" xr:uid="{00000000-0005-0000-0000-00002B1E0000}"/>
    <cellStyle name="Normal 8 5 2 4 2 2 2" xfId="25141" xr:uid="{A0E94957-19E6-414C-96BC-C52B2F51AFB5}"/>
    <cellStyle name="Normal 8 5 2 4 2 2 3" xfId="33587" xr:uid="{AF48D116-EED3-4D66-8DC9-491D1D9C7045}"/>
    <cellStyle name="Normal 8 5 2 4 2 2 4" xfId="16700" xr:uid="{979E3995-897B-4E37-9144-56C3CE1F9DED}"/>
    <cellStyle name="Normal 8 5 2 4 2 3" xfId="20923" xr:uid="{CA494308-C7DE-4458-B70D-A524D694A0A3}"/>
    <cellStyle name="Normal 8 5 2 4 2 4" xfId="29370" xr:uid="{A95B626F-3F25-479F-8AD9-922D0E267B4D}"/>
    <cellStyle name="Normal 8 5 2 4 2 5" xfId="12482" xr:uid="{032E7637-F106-4A76-8AD6-4CC0554F98DB}"/>
    <cellStyle name="Normal 8 5 2 4 3" xfId="6113" xr:uid="{00000000-0005-0000-0000-00002C1E0000}"/>
    <cellStyle name="Normal 8 5 2 4 3 2" xfId="22996" xr:uid="{62721FDE-9150-4787-ACBE-734CDC225153}"/>
    <cellStyle name="Normal 8 5 2 4 3 3" xfId="31442" xr:uid="{763966CC-B3E5-4022-BEB5-E6EAE8618D4E}"/>
    <cellStyle name="Normal 8 5 2 4 3 4" xfId="14555" xr:uid="{8E29B26B-8EE0-45F1-8724-C2CE62A75429}"/>
    <cellStyle name="Normal 8 5 2 4 4" xfId="18778" xr:uid="{298C3D17-117E-4B49-98A7-7083AB4C901C}"/>
    <cellStyle name="Normal 8 5 2 4 5" xfId="27223" xr:uid="{80B9DC25-3F31-4D44-9E41-C60701C537E8}"/>
    <cellStyle name="Normal 8 5 2 4 6" xfId="10337" xr:uid="{483A047A-D1B0-4ACC-BB26-AA2C2450FDE1}"/>
    <cellStyle name="Normal 8 5 2 5" xfId="2219" xr:uid="{00000000-0005-0000-0000-00002D1E0000}"/>
    <cellStyle name="Normal 8 5 2 5 2" xfId="4448" xr:uid="{00000000-0005-0000-0000-00002E1E0000}"/>
    <cellStyle name="Normal 8 5 2 5 2 2" xfId="8671" xr:uid="{00000000-0005-0000-0000-00002F1E0000}"/>
    <cellStyle name="Normal 8 5 2 5 2 2 2" xfId="25554" xr:uid="{9A8E59B0-FE36-487E-BDE9-103E00762883}"/>
    <cellStyle name="Normal 8 5 2 5 2 2 3" xfId="34000" xr:uid="{362E8904-36C2-4A18-A2B7-0D6B6EA2864F}"/>
    <cellStyle name="Normal 8 5 2 5 2 2 4" xfId="17113" xr:uid="{3FEF9C24-0015-4FA7-9A51-F80BD230CEE1}"/>
    <cellStyle name="Normal 8 5 2 5 2 3" xfId="21336" xr:uid="{26573C6E-7EE3-4A3B-8000-B33246709537}"/>
    <cellStyle name="Normal 8 5 2 5 2 4" xfId="29783" xr:uid="{7294CF06-B0B1-4FDA-A74C-D1DD061B58C9}"/>
    <cellStyle name="Normal 8 5 2 5 2 5" xfId="12895" xr:uid="{D4DC6185-18EC-4D02-9514-B12795FC914A}"/>
    <cellStyle name="Normal 8 5 2 5 3" xfId="6526" xr:uid="{00000000-0005-0000-0000-0000301E0000}"/>
    <cellStyle name="Normal 8 5 2 5 3 2" xfId="23409" xr:uid="{2C25A04F-6703-48C4-85C2-581C15D14BED}"/>
    <cellStyle name="Normal 8 5 2 5 3 3" xfId="31855" xr:uid="{5627F177-6967-4EB8-BB34-C6533DB41A68}"/>
    <cellStyle name="Normal 8 5 2 5 3 4" xfId="14968" xr:uid="{BC36E923-CEF1-4B03-8110-846A6949DD67}"/>
    <cellStyle name="Normal 8 5 2 5 4" xfId="19191" xr:uid="{4D4E4D69-4C1C-4AC6-B5D7-4F3F19FF6A92}"/>
    <cellStyle name="Normal 8 5 2 5 5" xfId="27636" xr:uid="{8D7557A7-7AE1-4A2A-B260-9B91F4637866}"/>
    <cellStyle name="Normal 8 5 2 5 6" xfId="10750" xr:uid="{70A1F1E3-F31C-470C-8829-6868B94F6AA1}"/>
    <cellStyle name="Normal 8 5 2 6" xfId="2655" xr:uid="{00000000-0005-0000-0000-0000311E0000}"/>
    <cellStyle name="Normal 8 5 2 6 2" xfId="6939" xr:uid="{00000000-0005-0000-0000-0000321E0000}"/>
    <cellStyle name="Normal 8 5 2 6 2 2" xfId="23822" xr:uid="{52230F8C-674A-4DE5-9EF2-97928F8EF095}"/>
    <cellStyle name="Normal 8 5 2 6 2 3" xfId="32268" xr:uid="{3A758BB1-5830-42EA-B3D9-F9FA9D8B70A7}"/>
    <cellStyle name="Normal 8 5 2 6 2 4" xfId="15381" xr:uid="{E7B29EA5-B7B6-4039-AF67-927882611424}"/>
    <cellStyle name="Normal 8 5 2 6 3" xfId="19604" xr:uid="{2BAD74B5-DE4C-452D-9C15-077C3EE35F16}"/>
    <cellStyle name="Normal 8 5 2 6 4" xfId="28049" xr:uid="{869A5AA7-DC76-46C4-BCE4-A41C67583C6C}"/>
    <cellStyle name="Normal 8 5 2 6 5" xfId="11163" xr:uid="{C677B414-ADF9-4F8A-A74C-B8279DC67459}"/>
    <cellStyle name="Normal 8 5 2 7" xfId="4874" xr:uid="{00000000-0005-0000-0000-0000331E0000}"/>
    <cellStyle name="Normal 8 5 2 7 2" xfId="21757" xr:uid="{52471E4C-CBD2-4B38-B43A-972BEEFF9617}"/>
    <cellStyle name="Normal 8 5 2 7 3" xfId="30203" xr:uid="{8654DCC1-AD2B-4B36-85A9-BE5583B74F8D}"/>
    <cellStyle name="Normal 8 5 2 7 4" xfId="13316" xr:uid="{3C3F1FE0-E3DB-4AF1-BED1-B3EE2C1CF792}"/>
    <cellStyle name="Normal 8 5 2 8" xfId="17539" xr:uid="{A84D2127-BD56-446D-B327-848F3654C2F1}"/>
    <cellStyle name="Normal 8 5 2 9" xfId="25984" xr:uid="{C38783F3-A5C0-4F4F-BCB2-39FA454A63CF}"/>
    <cellStyle name="Normal 8 5 3" xfId="974" xr:uid="{00000000-0005-0000-0000-0000341E0000}"/>
    <cellStyle name="Normal 8 5 3 2" xfId="3208" xr:uid="{00000000-0005-0000-0000-0000351E0000}"/>
    <cellStyle name="Normal 8 5 3 2 2" xfId="7431" xr:uid="{00000000-0005-0000-0000-0000361E0000}"/>
    <cellStyle name="Normal 8 5 3 2 2 2" xfId="24314" xr:uid="{04C39E90-C0F2-4756-8488-EBFC74F02B14}"/>
    <cellStyle name="Normal 8 5 3 2 2 3" xfId="32760" xr:uid="{215C537A-33CA-4D97-A9F5-CEE3E162E4EB}"/>
    <cellStyle name="Normal 8 5 3 2 2 4" xfId="15873" xr:uid="{9121E498-1591-4D7A-A057-F4FD45A7DFF6}"/>
    <cellStyle name="Normal 8 5 3 2 3" xfId="20096" xr:uid="{99BFD921-A3EA-477D-B262-5627AEB0BEC2}"/>
    <cellStyle name="Normal 8 5 3 2 4" xfId="28543" xr:uid="{449186B2-784A-4DA9-A1F4-06280DD33763}"/>
    <cellStyle name="Normal 8 5 3 2 5" xfId="11655" xr:uid="{DB12A922-0964-4352-BCD0-7AB7C6096A3C}"/>
    <cellStyle name="Normal 8 5 3 3" xfId="5286" xr:uid="{00000000-0005-0000-0000-0000371E0000}"/>
    <cellStyle name="Normal 8 5 3 3 2" xfId="22169" xr:uid="{411A67F1-D3C1-495A-842C-C86A409D1CF7}"/>
    <cellStyle name="Normal 8 5 3 3 3" xfId="30615" xr:uid="{1E3F1B3E-F9EF-4B35-A9A0-39828E47650D}"/>
    <cellStyle name="Normal 8 5 3 3 4" xfId="13728" xr:uid="{56B4A00C-010F-4CC1-9D05-289E28E115F7}"/>
    <cellStyle name="Normal 8 5 3 4" xfId="17951" xr:uid="{B08D0EC0-A005-417C-A8D1-17638EA16A6E}"/>
    <cellStyle name="Normal 8 5 3 5" xfId="26396" xr:uid="{346BB1FB-5DB1-4803-B372-881ED84860A8}"/>
    <cellStyle name="Normal 8 5 3 6" xfId="9510" xr:uid="{ED6D4402-78C2-4B3C-B781-00EA31708838}"/>
    <cellStyle name="Normal 8 5 4" xfId="1391" xr:uid="{00000000-0005-0000-0000-0000381E0000}"/>
    <cellStyle name="Normal 8 5 4 2" xfId="3621" xr:uid="{00000000-0005-0000-0000-0000391E0000}"/>
    <cellStyle name="Normal 8 5 4 2 2" xfId="7844" xr:uid="{00000000-0005-0000-0000-00003A1E0000}"/>
    <cellStyle name="Normal 8 5 4 2 2 2" xfId="24727" xr:uid="{C0CD39F9-E69E-47E1-B00F-E3342FF6C99E}"/>
    <cellStyle name="Normal 8 5 4 2 2 3" xfId="33173" xr:uid="{B710EF21-B931-4F00-A7E4-32598649A016}"/>
    <cellStyle name="Normal 8 5 4 2 2 4" xfId="16286" xr:uid="{6882381A-8124-4277-9800-4C6468D1F925}"/>
    <cellStyle name="Normal 8 5 4 2 3" xfId="20509" xr:uid="{386B160F-0C38-440E-AD17-EFF704D24819}"/>
    <cellStyle name="Normal 8 5 4 2 4" xfId="28956" xr:uid="{BDB80831-D54E-4EBE-A8B5-CE9BB7D448B8}"/>
    <cellStyle name="Normal 8 5 4 2 5" xfId="12068" xr:uid="{2C16C65A-3A2B-456F-95BF-A15EDE87CF65}"/>
    <cellStyle name="Normal 8 5 4 3" xfId="5699" xr:uid="{00000000-0005-0000-0000-00003B1E0000}"/>
    <cellStyle name="Normal 8 5 4 3 2" xfId="22582" xr:uid="{A04E19F1-196A-4273-8F68-48D738AD3067}"/>
    <cellStyle name="Normal 8 5 4 3 3" xfId="31028" xr:uid="{8FA7C9F7-411C-4053-B44C-E443B332D289}"/>
    <cellStyle name="Normal 8 5 4 3 4" xfId="14141" xr:uid="{22E32FC1-02BD-44EE-93B1-ADF9F217902D}"/>
    <cellStyle name="Normal 8 5 4 4" xfId="18364" xr:uid="{3C822812-4312-48BE-8AEA-B033121C7993}"/>
    <cellStyle name="Normal 8 5 4 5" xfId="26809" xr:uid="{BA5AAABA-8E02-4C99-A022-FB40F033DBE2}"/>
    <cellStyle name="Normal 8 5 4 6" xfId="9923" xr:uid="{A55F0C78-606A-4F0B-8234-201551634718}"/>
    <cellStyle name="Normal 8 5 5" xfId="1804" xr:uid="{00000000-0005-0000-0000-00003C1E0000}"/>
    <cellStyle name="Normal 8 5 5 2" xfId="4034" xr:uid="{00000000-0005-0000-0000-00003D1E0000}"/>
    <cellStyle name="Normal 8 5 5 2 2" xfId="8257" xr:uid="{00000000-0005-0000-0000-00003E1E0000}"/>
    <cellStyle name="Normal 8 5 5 2 2 2" xfId="25140" xr:uid="{EE8DB878-8891-420F-A3FA-364EAF350DFE}"/>
    <cellStyle name="Normal 8 5 5 2 2 3" xfId="33586" xr:uid="{9722A84B-8ADE-42BB-9635-BB2B82EE3FEE}"/>
    <cellStyle name="Normal 8 5 5 2 2 4" xfId="16699" xr:uid="{B5C44975-BD2B-4965-86A3-C7152B7011DF}"/>
    <cellStyle name="Normal 8 5 5 2 3" xfId="20922" xr:uid="{E1C6A912-5415-4A1B-A826-F463C1824495}"/>
    <cellStyle name="Normal 8 5 5 2 4" xfId="29369" xr:uid="{4CB47F18-563C-47FD-ACA3-4575BEE7D3BD}"/>
    <cellStyle name="Normal 8 5 5 2 5" xfId="12481" xr:uid="{DCAE6BC9-B99C-4414-BD5C-0D55D9DE408C}"/>
    <cellStyle name="Normal 8 5 5 3" xfId="6112" xr:uid="{00000000-0005-0000-0000-00003F1E0000}"/>
    <cellStyle name="Normal 8 5 5 3 2" xfId="22995" xr:uid="{BD09356D-A867-46E4-9863-00C15BF14495}"/>
    <cellStyle name="Normal 8 5 5 3 3" xfId="31441" xr:uid="{114F9F82-6461-4515-B3C8-4003C7C2AA1B}"/>
    <cellStyle name="Normal 8 5 5 3 4" xfId="14554" xr:uid="{F60209BE-EB2B-4C45-9922-282ED47507D5}"/>
    <cellStyle name="Normal 8 5 5 4" xfId="18777" xr:uid="{5ECB28CA-9D2C-4996-9EEA-6C9042D638E1}"/>
    <cellStyle name="Normal 8 5 5 5" xfId="27222" xr:uid="{E9FE485C-082F-4CE3-88D7-61D11C1CED0C}"/>
    <cellStyle name="Normal 8 5 5 6" xfId="10336" xr:uid="{0A19872C-5DEE-4A43-A69B-E82A528D4982}"/>
    <cellStyle name="Normal 8 5 6" xfId="2218" xr:uid="{00000000-0005-0000-0000-0000401E0000}"/>
    <cellStyle name="Normal 8 5 6 2" xfId="4447" xr:uid="{00000000-0005-0000-0000-0000411E0000}"/>
    <cellStyle name="Normal 8 5 6 2 2" xfId="8670" xr:uid="{00000000-0005-0000-0000-0000421E0000}"/>
    <cellStyle name="Normal 8 5 6 2 2 2" xfId="25553" xr:uid="{9DAC4E79-7791-4CC7-B2B9-E4886DEABB06}"/>
    <cellStyle name="Normal 8 5 6 2 2 3" xfId="33999" xr:uid="{6C0DE19F-A213-45F1-B361-CDE5318E5EBD}"/>
    <cellStyle name="Normal 8 5 6 2 2 4" xfId="17112" xr:uid="{899BBEA7-DB70-4265-B676-93BB9E2DAEB1}"/>
    <cellStyle name="Normal 8 5 6 2 3" xfId="21335" xr:uid="{90A54FFB-692B-4AB7-858B-CE388279CC4F}"/>
    <cellStyle name="Normal 8 5 6 2 4" xfId="29782" xr:uid="{08039D47-F1E1-4611-8AA2-ED7A4593CAA6}"/>
    <cellStyle name="Normal 8 5 6 2 5" xfId="12894" xr:uid="{F70F1E02-BC37-49B9-A4A9-C1768917C816}"/>
    <cellStyle name="Normal 8 5 6 3" xfId="6525" xr:uid="{00000000-0005-0000-0000-0000431E0000}"/>
    <cellStyle name="Normal 8 5 6 3 2" xfId="23408" xr:uid="{0BB2A29B-32F3-41C0-A907-708BA04DA8AE}"/>
    <cellStyle name="Normal 8 5 6 3 3" xfId="31854" xr:uid="{61BC0224-F608-4F7B-B9ED-A5765A0267E5}"/>
    <cellStyle name="Normal 8 5 6 3 4" xfId="14967" xr:uid="{8F4067D7-E5C9-48E3-9A00-32C4B47DD151}"/>
    <cellStyle name="Normal 8 5 6 4" xfId="19190" xr:uid="{7C1D8027-6F1C-4900-AB30-F3E20FCFE2B4}"/>
    <cellStyle name="Normal 8 5 6 5" xfId="27635" xr:uid="{6BB9D0E6-E12C-4200-9207-519C4ECF39F6}"/>
    <cellStyle name="Normal 8 5 6 6" xfId="10749" xr:uid="{7113429D-08D4-4633-B5CE-0AA75F6D432F}"/>
    <cellStyle name="Normal 8 5 7" xfId="2654" xr:uid="{00000000-0005-0000-0000-0000441E0000}"/>
    <cellStyle name="Normal 8 5 7 2" xfId="6938" xr:uid="{00000000-0005-0000-0000-0000451E0000}"/>
    <cellStyle name="Normal 8 5 7 2 2" xfId="23821" xr:uid="{AAA5CF3A-0770-45CF-9F5B-FB54E5586834}"/>
    <cellStyle name="Normal 8 5 7 2 3" xfId="32267" xr:uid="{B7424038-BFF8-4AD1-A4C3-A66A55258B89}"/>
    <cellStyle name="Normal 8 5 7 2 4" xfId="15380" xr:uid="{3C409E3A-9367-41DD-AAD8-E0F7132C157B}"/>
    <cellStyle name="Normal 8 5 7 3" xfId="19603" xr:uid="{1C5649C0-B499-45FF-80DF-14CFC4D00CAE}"/>
    <cellStyle name="Normal 8 5 7 4" xfId="28048" xr:uid="{6A0C53FB-CC17-43E8-A568-C20E1F47EDE4}"/>
    <cellStyle name="Normal 8 5 7 5" xfId="11162" xr:uid="{C98A32CC-5CAE-4CCF-87AC-197D75ED4560}"/>
    <cellStyle name="Normal 8 5 8" xfId="4873" xr:uid="{00000000-0005-0000-0000-0000461E0000}"/>
    <cellStyle name="Normal 8 5 8 2" xfId="21756" xr:uid="{B817C0B5-0862-42D1-8339-358704F22041}"/>
    <cellStyle name="Normal 8 5 8 3" xfId="30202" xr:uid="{8CF02E90-7F8B-43FE-9D28-D14F6CB861B1}"/>
    <cellStyle name="Normal 8 5 8 4" xfId="13315" xr:uid="{5E04E69E-3F2E-4FF3-8435-6A0D62770FD7}"/>
    <cellStyle name="Normal 8 5 9" xfId="17538" xr:uid="{3206B558-A7E2-4CEE-84F3-043670751E13}"/>
    <cellStyle name="Normal 8 6" xfId="509" xr:uid="{00000000-0005-0000-0000-0000471E0000}"/>
    <cellStyle name="Normal 8 6 10" xfId="9099" xr:uid="{1A7CDAAF-A612-41D4-98D1-E4BC0B5E2809}"/>
    <cellStyle name="Normal 8 6 2" xfId="976" xr:uid="{00000000-0005-0000-0000-0000481E0000}"/>
    <cellStyle name="Normal 8 6 2 2" xfId="3210" xr:uid="{00000000-0005-0000-0000-0000491E0000}"/>
    <cellStyle name="Normal 8 6 2 2 2" xfId="7433" xr:uid="{00000000-0005-0000-0000-00004A1E0000}"/>
    <cellStyle name="Normal 8 6 2 2 2 2" xfId="24316" xr:uid="{30CF45C7-AB35-499E-9750-4CB4802B65AB}"/>
    <cellStyle name="Normal 8 6 2 2 2 3" xfId="32762" xr:uid="{A8855AD5-0E44-483C-B869-082E9BF56315}"/>
    <cellStyle name="Normal 8 6 2 2 2 4" xfId="15875" xr:uid="{3571BCBA-2F81-488B-B9A7-719350395FE2}"/>
    <cellStyle name="Normal 8 6 2 2 3" xfId="20098" xr:uid="{09959162-EFF0-458D-80B3-4D2F75F5D6BB}"/>
    <cellStyle name="Normal 8 6 2 2 4" xfId="28545" xr:uid="{8DA30FEF-81AA-434E-ACB7-73F5C4D68573}"/>
    <cellStyle name="Normal 8 6 2 2 5" xfId="11657" xr:uid="{EB5DBE03-125F-4BA3-B447-7C0918C667BB}"/>
    <cellStyle name="Normal 8 6 2 3" xfId="5288" xr:uid="{00000000-0005-0000-0000-00004B1E0000}"/>
    <cellStyle name="Normal 8 6 2 3 2" xfId="22171" xr:uid="{2A9F145D-E72B-4E13-9B56-1C43ED77638B}"/>
    <cellStyle name="Normal 8 6 2 3 3" xfId="30617" xr:uid="{38B69068-30B3-4169-82FE-738D47ACE73C}"/>
    <cellStyle name="Normal 8 6 2 3 4" xfId="13730" xr:uid="{5C10CD70-9AC9-42FF-B290-0D7B5A5D4951}"/>
    <cellStyle name="Normal 8 6 2 4" xfId="17953" xr:uid="{1A904947-8705-4E63-A53E-6E7D447FBD3C}"/>
    <cellStyle name="Normal 8 6 2 5" xfId="26398" xr:uid="{3E5F51D9-9EBE-4F08-AA78-810B1C8A9AD5}"/>
    <cellStyle name="Normal 8 6 2 6" xfId="9512" xr:uid="{95C7A414-CE95-48AF-98B8-1546CA47A6E9}"/>
    <cellStyle name="Normal 8 6 3" xfId="1393" xr:uid="{00000000-0005-0000-0000-00004C1E0000}"/>
    <cellStyle name="Normal 8 6 3 2" xfId="3623" xr:uid="{00000000-0005-0000-0000-00004D1E0000}"/>
    <cellStyle name="Normal 8 6 3 2 2" xfId="7846" xr:uid="{00000000-0005-0000-0000-00004E1E0000}"/>
    <cellStyle name="Normal 8 6 3 2 2 2" xfId="24729" xr:uid="{17AEAD3B-9491-4A2C-A871-51FA4B51DCCE}"/>
    <cellStyle name="Normal 8 6 3 2 2 3" xfId="33175" xr:uid="{96ED185D-619F-46BF-BC1B-F9C527E095EF}"/>
    <cellStyle name="Normal 8 6 3 2 2 4" xfId="16288" xr:uid="{70D1AF05-63AB-454A-B9D7-296259FA8E65}"/>
    <cellStyle name="Normal 8 6 3 2 3" xfId="20511" xr:uid="{443800CE-B052-4184-82A9-48BBEC0C00B9}"/>
    <cellStyle name="Normal 8 6 3 2 4" xfId="28958" xr:uid="{A1EB160B-7EF0-4598-A08C-58C17DD54F51}"/>
    <cellStyle name="Normal 8 6 3 2 5" xfId="12070" xr:uid="{30DFF8B9-7207-4A58-93EB-D25807E723B5}"/>
    <cellStyle name="Normal 8 6 3 3" xfId="5701" xr:uid="{00000000-0005-0000-0000-00004F1E0000}"/>
    <cellStyle name="Normal 8 6 3 3 2" xfId="22584" xr:uid="{87A4CF86-30D9-4DD1-9ACF-4596313A0DD1}"/>
    <cellStyle name="Normal 8 6 3 3 3" xfId="31030" xr:uid="{F6B472F9-A2E2-4D79-B990-23D8720E8442}"/>
    <cellStyle name="Normal 8 6 3 3 4" xfId="14143" xr:uid="{5764F00B-3D5F-4306-A2A9-B982DA5A5022}"/>
    <cellStyle name="Normal 8 6 3 4" xfId="18366" xr:uid="{0A95FE03-66C4-4F96-A071-B541793F89AE}"/>
    <cellStyle name="Normal 8 6 3 5" xfId="26811" xr:uid="{6F222C59-EF3F-4C87-90B1-66FCDF0149CC}"/>
    <cellStyle name="Normal 8 6 3 6" xfId="9925" xr:uid="{C1E9FC8B-1A7D-4BFD-9E27-D54A844949C2}"/>
    <cellStyle name="Normal 8 6 4" xfId="1806" xr:uid="{00000000-0005-0000-0000-0000501E0000}"/>
    <cellStyle name="Normal 8 6 4 2" xfId="4036" xr:uid="{00000000-0005-0000-0000-0000511E0000}"/>
    <cellStyle name="Normal 8 6 4 2 2" xfId="8259" xr:uid="{00000000-0005-0000-0000-0000521E0000}"/>
    <cellStyle name="Normal 8 6 4 2 2 2" xfId="25142" xr:uid="{A8B550EA-32D4-485E-A364-2CEC0E1B599C}"/>
    <cellStyle name="Normal 8 6 4 2 2 3" xfId="33588" xr:uid="{CBA07615-C37F-45E2-BE89-DD47500673F4}"/>
    <cellStyle name="Normal 8 6 4 2 2 4" xfId="16701" xr:uid="{FD3D430B-A6E8-4DA9-ADDF-D32170560084}"/>
    <cellStyle name="Normal 8 6 4 2 3" xfId="20924" xr:uid="{7152B411-2FAF-42BD-AC74-5FDB02408E1E}"/>
    <cellStyle name="Normal 8 6 4 2 4" xfId="29371" xr:uid="{3B4831E6-37FB-45E8-BABA-3688BAD14521}"/>
    <cellStyle name="Normal 8 6 4 2 5" xfId="12483" xr:uid="{CABE60EB-0EF8-415F-B9C8-FB636ABA69F8}"/>
    <cellStyle name="Normal 8 6 4 3" xfId="6114" xr:uid="{00000000-0005-0000-0000-0000531E0000}"/>
    <cellStyle name="Normal 8 6 4 3 2" xfId="22997" xr:uid="{4D76A3E1-181F-469E-B8D7-D372F6138D9D}"/>
    <cellStyle name="Normal 8 6 4 3 3" xfId="31443" xr:uid="{0ACB2511-930D-435B-82A5-461E3E6D43C1}"/>
    <cellStyle name="Normal 8 6 4 3 4" xfId="14556" xr:uid="{5BCF97CF-90CD-4D99-BA34-0515824E09DD}"/>
    <cellStyle name="Normal 8 6 4 4" xfId="18779" xr:uid="{2D6BE417-5281-4678-B8D5-3C7B5B9C6EED}"/>
    <cellStyle name="Normal 8 6 4 5" xfId="27224" xr:uid="{F1975936-CC38-4273-8FA9-5369772832A1}"/>
    <cellStyle name="Normal 8 6 4 6" xfId="10338" xr:uid="{5C220279-E134-4B61-8210-411B2E5CBCCD}"/>
    <cellStyle name="Normal 8 6 5" xfId="2220" xr:uid="{00000000-0005-0000-0000-0000541E0000}"/>
    <cellStyle name="Normal 8 6 5 2" xfId="4449" xr:uid="{00000000-0005-0000-0000-0000551E0000}"/>
    <cellStyle name="Normal 8 6 5 2 2" xfId="8672" xr:uid="{00000000-0005-0000-0000-0000561E0000}"/>
    <cellStyle name="Normal 8 6 5 2 2 2" xfId="25555" xr:uid="{F323F155-40AB-4061-B4E7-21BEEA0E8B52}"/>
    <cellStyle name="Normal 8 6 5 2 2 3" xfId="34001" xr:uid="{1D3102C5-CBE6-4C65-83F0-0B59A871C2CE}"/>
    <cellStyle name="Normal 8 6 5 2 2 4" xfId="17114" xr:uid="{AD495A58-7591-4E01-9040-6DB13EBB605C}"/>
    <cellStyle name="Normal 8 6 5 2 3" xfId="21337" xr:uid="{77EA8119-8DD9-4B7A-B992-9E229D7AFACB}"/>
    <cellStyle name="Normal 8 6 5 2 4" xfId="29784" xr:uid="{5926C7A6-1EC4-4A87-BAFB-E50D766FF369}"/>
    <cellStyle name="Normal 8 6 5 2 5" xfId="12896" xr:uid="{E973FCA9-CF5F-4E35-A333-9E9814A4CAA9}"/>
    <cellStyle name="Normal 8 6 5 3" xfId="6527" xr:uid="{00000000-0005-0000-0000-0000571E0000}"/>
    <cellStyle name="Normal 8 6 5 3 2" xfId="23410" xr:uid="{40641057-8373-4995-B625-00BB8D00DCF0}"/>
    <cellStyle name="Normal 8 6 5 3 3" xfId="31856" xr:uid="{2F621FB5-D751-4F02-A31C-3FDFA4CEA57C}"/>
    <cellStyle name="Normal 8 6 5 3 4" xfId="14969" xr:uid="{FAE93969-EB3E-4442-8099-70218AC8213E}"/>
    <cellStyle name="Normal 8 6 5 4" xfId="19192" xr:uid="{076F452B-50B1-4CB2-BF88-ECCAEDED9F26}"/>
    <cellStyle name="Normal 8 6 5 5" xfId="27637" xr:uid="{6537D238-6A97-462A-AD65-CC8A03C8467A}"/>
    <cellStyle name="Normal 8 6 5 6" xfId="10751" xr:uid="{1F83CC62-CE54-45BC-BA1D-1F79AB8D4942}"/>
    <cellStyle name="Normal 8 6 6" xfId="2656" xr:uid="{00000000-0005-0000-0000-0000581E0000}"/>
    <cellStyle name="Normal 8 6 6 2" xfId="6940" xr:uid="{00000000-0005-0000-0000-0000591E0000}"/>
    <cellStyle name="Normal 8 6 6 2 2" xfId="23823" xr:uid="{D0FA5A34-BAA3-485D-BBC2-5557038AB3C8}"/>
    <cellStyle name="Normal 8 6 6 2 3" xfId="32269" xr:uid="{8EB7C92F-86E9-437F-B66F-599D4A3AA19D}"/>
    <cellStyle name="Normal 8 6 6 2 4" xfId="15382" xr:uid="{0C641B55-9FB8-48A2-AFF3-517BFEBDB623}"/>
    <cellStyle name="Normal 8 6 6 3" xfId="19605" xr:uid="{40293D18-FF88-4CE0-9BF3-4D4ABCC9D52D}"/>
    <cellStyle name="Normal 8 6 6 4" xfId="28050" xr:uid="{7EFFA051-D052-45D3-A741-04BA98107137}"/>
    <cellStyle name="Normal 8 6 6 5" xfId="11164" xr:uid="{9D60FA22-8CE7-4A23-AA5C-53BCF6EE522E}"/>
    <cellStyle name="Normal 8 6 7" xfId="4875" xr:uid="{00000000-0005-0000-0000-00005A1E0000}"/>
    <cellStyle name="Normal 8 6 7 2" xfId="21758" xr:uid="{54962434-8B0A-4A8F-B779-B8B9D0C1E080}"/>
    <cellStyle name="Normal 8 6 7 3" xfId="30204" xr:uid="{F24F69E0-7190-46AA-A9E4-9D30B0FBB8B3}"/>
    <cellStyle name="Normal 8 6 7 4" xfId="13317" xr:uid="{4982BDCF-7CFA-4845-A453-FAB1212A696B}"/>
    <cellStyle name="Normal 8 6 8" xfId="17540" xr:uid="{4C21DCC0-058F-43E0-985C-C65D9B86C861}"/>
    <cellStyle name="Normal 8 6 9" xfId="25985" xr:uid="{57ED37F0-6189-4458-9050-989BEBD99711}"/>
    <cellStyle name="Normal 8 7" xfId="945" xr:uid="{00000000-0005-0000-0000-00005B1E0000}"/>
    <cellStyle name="Normal 8 7 2" xfId="3179" xr:uid="{00000000-0005-0000-0000-00005C1E0000}"/>
    <cellStyle name="Normal 8 7 2 2" xfId="7402" xr:uid="{00000000-0005-0000-0000-00005D1E0000}"/>
    <cellStyle name="Normal 8 7 2 2 2" xfId="24285" xr:uid="{123C912D-C26E-4A45-8EB0-DDFE00F846CB}"/>
    <cellStyle name="Normal 8 7 2 2 3" xfId="32731" xr:uid="{F0BDB6FA-9539-4B09-A80C-280B4FD1D3D6}"/>
    <cellStyle name="Normal 8 7 2 2 4" xfId="15844" xr:uid="{9BED3242-8F4F-44A3-B474-E55A9B50CC71}"/>
    <cellStyle name="Normal 8 7 2 3" xfId="20067" xr:uid="{CC0F9D1E-6557-4D7C-944A-4E355B28DE45}"/>
    <cellStyle name="Normal 8 7 2 4" xfId="28514" xr:uid="{07573C2F-5AED-43CC-86BF-88A193E6B41D}"/>
    <cellStyle name="Normal 8 7 2 5" xfId="11626" xr:uid="{B821CDCE-918D-418F-B220-BB62E139C0B7}"/>
    <cellStyle name="Normal 8 7 3" xfId="5257" xr:uid="{00000000-0005-0000-0000-00005E1E0000}"/>
    <cellStyle name="Normal 8 7 3 2" xfId="22140" xr:uid="{6DCB7256-A8F1-481D-8A01-A055A24E705E}"/>
    <cellStyle name="Normal 8 7 3 3" xfId="30586" xr:uid="{06D190CA-F299-492E-BDB9-342C920BA75B}"/>
    <cellStyle name="Normal 8 7 3 4" xfId="13699" xr:uid="{56280ED0-E25D-4117-9B98-1E0E07B71F9B}"/>
    <cellStyle name="Normal 8 7 4" xfId="17922" xr:uid="{C9383539-B407-4069-A5A1-F1BEFC99B782}"/>
    <cellStyle name="Normal 8 7 5" xfId="26367" xr:uid="{88187FEA-8C78-40A1-9D2A-4A6C4E1044AF}"/>
    <cellStyle name="Normal 8 7 6" xfId="9481" xr:uid="{F9288CA2-C693-4E08-A241-1A9B89A2B1F3}"/>
    <cellStyle name="Normal 8 8" xfId="1362" xr:uid="{00000000-0005-0000-0000-00005F1E0000}"/>
    <cellStyle name="Normal 8 8 2" xfId="3592" xr:uid="{00000000-0005-0000-0000-0000601E0000}"/>
    <cellStyle name="Normal 8 8 2 2" xfId="7815" xr:uid="{00000000-0005-0000-0000-0000611E0000}"/>
    <cellStyle name="Normal 8 8 2 2 2" xfId="24698" xr:uid="{E9E3E718-A275-4B64-AC1A-62305DACCA04}"/>
    <cellStyle name="Normal 8 8 2 2 3" xfId="33144" xr:uid="{D3819406-ECA2-4465-8F35-5CE058FF7B44}"/>
    <cellStyle name="Normal 8 8 2 2 4" xfId="16257" xr:uid="{5D549262-D969-4860-89DF-4A493CF33219}"/>
    <cellStyle name="Normal 8 8 2 3" xfId="20480" xr:uid="{69CC000B-C6D3-4AA8-81A4-16B8BFFDA178}"/>
    <cellStyle name="Normal 8 8 2 4" xfId="28927" xr:uid="{3B3DA02A-0F90-49D7-B4D0-2C73CB35F169}"/>
    <cellStyle name="Normal 8 8 2 5" xfId="12039" xr:uid="{E3543D24-D349-41B7-B8DB-B166ABED0135}"/>
    <cellStyle name="Normal 8 8 3" xfId="5670" xr:uid="{00000000-0005-0000-0000-0000621E0000}"/>
    <cellStyle name="Normal 8 8 3 2" xfId="22553" xr:uid="{9590EA0F-9B8F-450E-90A5-32AEA7A6B66E}"/>
    <cellStyle name="Normal 8 8 3 3" xfId="30999" xr:uid="{C5DBFEE5-0C6F-4805-A622-B7BF9613562E}"/>
    <cellStyle name="Normal 8 8 3 4" xfId="14112" xr:uid="{A80BF9B8-97A0-406B-9F97-E05472EB1922}"/>
    <cellStyle name="Normal 8 8 4" xfId="18335" xr:uid="{54E96866-C7B1-46A2-BC05-67A7AD2FC450}"/>
    <cellStyle name="Normal 8 8 5" xfId="26780" xr:uid="{639B12F6-4B03-48AA-8140-8D525925FD1D}"/>
    <cellStyle name="Normal 8 8 6" xfId="9894" xr:uid="{F058FB4F-0BD7-401B-BA6F-8D640277CD02}"/>
    <cellStyle name="Normal 8 9" xfId="1775" xr:uid="{00000000-0005-0000-0000-0000631E0000}"/>
    <cellStyle name="Normal 8 9 2" xfId="4005" xr:uid="{00000000-0005-0000-0000-0000641E0000}"/>
    <cellStyle name="Normal 8 9 2 2" xfId="8228" xr:uid="{00000000-0005-0000-0000-0000651E0000}"/>
    <cellStyle name="Normal 8 9 2 2 2" xfId="25111" xr:uid="{6C0B8AC4-A233-4EA4-913D-FE9FB7D1DC36}"/>
    <cellStyle name="Normal 8 9 2 2 3" xfId="33557" xr:uid="{0B82C839-C393-43C6-9FF5-EE04D27D3F52}"/>
    <cellStyle name="Normal 8 9 2 2 4" xfId="16670" xr:uid="{7E1C53B0-743B-4A07-9C99-45742F1AA808}"/>
    <cellStyle name="Normal 8 9 2 3" xfId="20893" xr:uid="{323CE44F-00A7-43E4-A1E6-7186CFF7D2D2}"/>
    <cellStyle name="Normal 8 9 2 4" xfId="29340" xr:uid="{1175126B-93CA-4422-A1AC-BB7DD766BB8A}"/>
    <cellStyle name="Normal 8 9 2 5" xfId="12452" xr:uid="{43AAE4CF-A3B2-4D49-93DC-B56E0B8F4311}"/>
    <cellStyle name="Normal 8 9 3" xfId="6083" xr:uid="{00000000-0005-0000-0000-0000661E0000}"/>
    <cellStyle name="Normal 8 9 3 2" xfId="22966" xr:uid="{833DE8C6-EFC0-4687-8244-220BCAFD186E}"/>
    <cellStyle name="Normal 8 9 3 3" xfId="31412" xr:uid="{69B3B74C-959B-441C-83FB-0FE835D467F6}"/>
    <cellStyle name="Normal 8 9 3 4" xfId="14525" xr:uid="{C28B545B-3882-4713-A470-99DDE2C10DEC}"/>
    <cellStyle name="Normal 8 9 4" xfId="18748" xr:uid="{6680DEE0-6F50-4C1E-AC19-0A5AAB39E7B6}"/>
    <cellStyle name="Normal 8 9 5" xfId="27193" xr:uid="{7FDDAC87-83DE-479B-B45E-83FCF3F61B0E}"/>
    <cellStyle name="Normal 8 9 6" xfId="10307" xr:uid="{1660AD15-930C-4B98-8955-D8B1F4BD5D51}"/>
    <cellStyle name="Normal 8_Dropdowns" xfId="34061" xr:uid="{2501EB1F-5090-43CD-B71A-35319354CB76}"/>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23824" xr:uid="{AB90905D-1A6C-449F-8351-3E576FAFDE31}"/>
    <cellStyle name="Normal 9 2 10 2 3" xfId="32270" xr:uid="{123ED9CB-793B-41B0-A05D-2564E1206161}"/>
    <cellStyle name="Normal 9 2 10 2 4" xfId="15383" xr:uid="{3648F954-DDED-43CA-90B8-2094D40437CA}"/>
    <cellStyle name="Normal 9 2 10 3" xfId="19606" xr:uid="{05D423F6-04EC-4820-AF37-95BE2D1F9480}"/>
    <cellStyle name="Normal 9 2 10 4" xfId="28051" xr:uid="{DE5173B9-5353-48E1-B8CC-168DD335179F}"/>
    <cellStyle name="Normal 9 2 10 5" xfId="11165" xr:uid="{E6872EA6-4098-4272-92ED-480585D342E5}"/>
    <cellStyle name="Normal 9 2 11" xfId="4876" xr:uid="{00000000-0005-0000-0000-00006B1E0000}"/>
    <cellStyle name="Normal 9 2 11 2" xfId="21759" xr:uid="{A5B454F9-22AD-4E58-BA24-95FC2DB176AA}"/>
    <cellStyle name="Normal 9 2 11 3" xfId="30205" xr:uid="{85D42B9D-5F03-4961-AE93-15E522DFC4CD}"/>
    <cellStyle name="Normal 9 2 11 4" xfId="13318" xr:uid="{13F6F471-ADA1-4ABF-92F5-FABD07BA5FDA}"/>
    <cellStyle name="Normal 9 2 12" xfId="17541" xr:uid="{962AC213-FFDA-4FCF-B570-E007FECE3882}"/>
    <cellStyle name="Normal 9 2 13" xfId="25986" xr:uid="{1E100E1D-BD04-4195-815B-84FE9354EF59}"/>
    <cellStyle name="Normal 9 2 14" xfId="9100" xr:uid="{D7B17BD7-98A7-4677-978F-741293CC8299}"/>
    <cellStyle name="Normal 9 2 2" xfId="512" xr:uid="{00000000-0005-0000-0000-00006C1E0000}"/>
    <cellStyle name="Normal 9 2 2 10" xfId="4877" xr:uid="{00000000-0005-0000-0000-00006D1E0000}"/>
    <cellStyle name="Normal 9 2 2 10 2" xfId="21760" xr:uid="{466A8BC4-A456-405D-A034-5E148D997FB9}"/>
    <cellStyle name="Normal 9 2 2 10 3" xfId="30206" xr:uid="{019D9A0E-E5A3-4D5E-84A2-FF99DF6654E0}"/>
    <cellStyle name="Normal 9 2 2 10 4" xfId="13319" xr:uid="{7B5C089B-1AD9-4E86-B60D-59E742C8B0E9}"/>
    <cellStyle name="Normal 9 2 2 11" xfId="17542" xr:uid="{4EF66A57-795B-4998-B677-9BD1B838E7B0}"/>
    <cellStyle name="Normal 9 2 2 12" xfId="25987" xr:uid="{76D34DEF-4930-42AA-A172-67449795DF0A}"/>
    <cellStyle name="Normal 9 2 2 13" xfId="9101" xr:uid="{D030A918-7E1C-4039-A98B-5D549FB512DF}"/>
    <cellStyle name="Normal 9 2 2 2" xfId="513" xr:uid="{00000000-0005-0000-0000-00006E1E0000}"/>
    <cellStyle name="Normal 9 2 2 2 10" xfId="17543" xr:uid="{CC3C6BD3-427B-4D5B-AAC6-ADCAB5CD4E9B}"/>
    <cellStyle name="Normal 9 2 2 2 11" xfId="25988" xr:uid="{3559EC2E-7A74-4BFC-A191-0F89311EBB79}"/>
    <cellStyle name="Normal 9 2 2 2 12" xfId="9102" xr:uid="{C487EDC5-E64C-4470-B934-CA0210C6A419}"/>
    <cellStyle name="Normal 9 2 2 2 2" xfId="514" xr:uid="{00000000-0005-0000-0000-00006F1E0000}"/>
    <cellStyle name="Normal 9 2 2 2 2 10" xfId="25989" xr:uid="{D86A7D81-1CFD-4FB5-8772-FB2364C4BDD9}"/>
    <cellStyle name="Normal 9 2 2 2 2 11" xfId="9103" xr:uid="{D8C91F53-E056-4FD8-9644-055943DBB3F6}"/>
    <cellStyle name="Normal 9 2 2 2 2 2" xfId="515" xr:uid="{00000000-0005-0000-0000-0000701E0000}"/>
    <cellStyle name="Normal 9 2 2 2 2 2 10" xfId="9104" xr:uid="{716D2A76-D2CF-44CD-A54D-8947D4FE0AEE}"/>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24321" xr:uid="{F95F0759-48BF-4E4D-941D-930CD51CCD92}"/>
    <cellStyle name="Normal 9 2 2 2 2 2 2 2 2 3" xfId="32767" xr:uid="{94E2F54A-94C9-4D4E-90C7-6D5629100813}"/>
    <cellStyle name="Normal 9 2 2 2 2 2 2 2 2 4" xfId="15880" xr:uid="{E0FC5D4D-52D5-4A82-93D4-61A3555AB246}"/>
    <cellStyle name="Normal 9 2 2 2 2 2 2 2 3" xfId="20103" xr:uid="{3C75FD1B-7F4F-4D9B-A968-B53E68F1C959}"/>
    <cellStyle name="Normal 9 2 2 2 2 2 2 2 4" xfId="28550" xr:uid="{04F47C51-9969-43EA-9E5A-8ECC2ADDA49C}"/>
    <cellStyle name="Normal 9 2 2 2 2 2 2 2 5" xfId="11662" xr:uid="{79C6EA72-D5D4-4543-A581-5AAF71E677A9}"/>
    <cellStyle name="Normal 9 2 2 2 2 2 2 3" xfId="5293" xr:uid="{00000000-0005-0000-0000-0000741E0000}"/>
    <cellStyle name="Normal 9 2 2 2 2 2 2 3 2" xfId="22176" xr:uid="{FD9CCAE2-E31B-4E21-96F0-552566765AB1}"/>
    <cellStyle name="Normal 9 2 2 2 2 2 2 3 3" xfId="30622" xr:uid="{702577EB-53B5-45DE-B6D5-ACE5B3703BFA}"/>
    <cellStyle name="Normal 9 2 2 2 2 2 2 3 4" xfId="13735" xr:uid="{246334DA-8131-4BFB-AC2A-67747E8E0574}"/>
    <cellStyle name="Normal 9 2 2 2 2 2 2 4" xfId="17958" xr:uid="{385CF420-8C34-4A12-A801-3342B61A9F09}"/>
    <cellStyle name="Normal 9 2 2 2 2 2 2 5" xfId="26403" xr:uid="{B38DB835-9166-4C25-BDA4-7ECCB14CA05D}"/>
    <cellStyle name="Normal 9 2 2 2 2 2 2 6" xfId="9517" xr:uid="{C9131AE9-3701-47E2-9DFE-C29551D3E30B}"/>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24734" xr:uid="{4BA11ECC-5B90-4F78-ADA7-84989C8AD1F0}"/>
    <cellStyle name="Normal 9 2 2 2 2 2 3 2 2 3" xfId="33180" xr:uid="{E720FFE9-0021-4461-9921-6F92BABB86AA}"/>
    <cellStyle name="Normal 9 2 2 2 2 2 3 2 2 4" xfId="16293" xr:uid="{3CEA4D40-8D99-4931-84A1-34AFA86E3341}"/>
    <cellStyle name="Normal 9 2 2 2 2 2 3 2 3" xfId="20516" xr:uid="{AEE3F1C3-3244-411A-B737-6537F0270638}"/>
    <cellStyle name="Normal 9 2 2 2 2 2 3 2 4" xfId="28963" xr:uid="{56D9E1F2-86A2-452B-B039-5192155082FF}"/>
    <cellStyle name="Normal 9 2 2 2 2 2 3 2 5" xfId="12075" xr:uid="{9C9484B1-14C7-4C0D-A06E-67FD487B0809}"/>
    <cellStyle name="Normal 9 2 2 2 2 2 3 3" xfId="5706" xr:uid="{00000000-0005-0000-0000-0000781E0000}"/>
    <cellStyle name="Normal 9 2 2 2 2 2 3 3 2" xfId="22589" xr:uid="{CEFC4E56-DA71-4371-B3FA-D422F1C55E69}"/>
    <cellStyle name="Normal 9 2 2 2 2 2 3 3 3" xfId="31035" xr:uid="{65187DE8-BDBF-4731-97B5-325EA5A8590F}"/>
    <cellStyle name="Normal 9 2 2 2 2 2 3 3 4" xfId="14148" xr:uid="{3D370D25-4F8B-40DC-9896-243AD6C447A4}"/>
    <cellStyle name="Normal 9 2 2 2 2 2 3 4" xfId="18371" xr:uid="{33C34748-F084-41C7-BCC6-D66C777D18C9}"/>
    <cellStyle name="Normal 9 2 2 2 2 2 3 5" xfId="26816" xr:uid="{15FE68FC-D111-4515-8299-0EB495FFDB60}"/>
    <cellStyle name="Normal 9 2 2 2 2 2 3 6" xfId="9930" xr:uid="{8525C479-B333-472F-A3B5-FCE61E2503F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25147" xr:uid="{B05DD7BC-045C-4C72-B009-BCBC97F29F4D}"/>
    <cellStyle name="Normal 9 2 2 2 2 2 4 2 2 3" xfId="33593" xr:uid="{6B66A458-6432-471A-8907-680BB6F95C5E}"/>
    <cellStyle name="Normal 9 2 2 2 2 2 4 2 2 4" xfId="16706" xr:uid="{4428819C-CEC9-450C-888C-119097568522}"/>
    <cellStyle name="Normal 9 2 2 2 2 2 4 2 3" xfId="20929" xr:uid="{317AD842-022C-44C4-B921-7DD3E7621B8D}"/>
    <cellStyle name="Normal 9 2 2 2 2 2 4 2 4" xfId="29376" xr:uid="{A3F00D37-3789-45CF-ABF5-E5F77791F027}"/>
    <cellStyle name="Normal 9 2 2 2 2 2 4 2 5" xfId="12488" xr:uid="{AE00EDB1-092D-4ACF-A82B-2707F9F3C886}"/>
    <cellStyle name="Normal 9 2 2 2 2 2 4 3" xfId="6119" xr:uid="{00000000-0005-0000-0000-00007C1E0000}"/>
    <cellStyle name="Normal 9 2 2 2 2 2 4 3 2" xfId="23002" xr:uid="{27712665-898E-4E47-9CF9-E452ABA5F436}"/>
    <cellStyle name="Normal 9 2 2 2 2 2 4 3 3" xfId="31448" xr:uid="{9E50EB00-EBAA-434A-B486-DDF0E20AF50B}"/>
    <cellStyle name="Normal 9 2 2 2 2 2 4 3 4" xfId="14561" xr:uid="{BE894147-D97E-49AE-867D-7FB91D5F39AA}"/>
    <cellStyle name="Normal 9 2 2 2 2 2 4 4" xfId="18784" xr:uid="{6F8555E6-5124-4B27-98CE-814B9F9D8C0D}"/>
    <cellStyle name="Normal 9 2 2 2 2 2 4 5" xfId="27229" xr:uid="{3348D9C7-EB27-40E8-AD7A-70B1EEF20C25}"/>
    <cellStyle name="Normal 9 2 2 2 2 2 4 6" xfId="10343" xr:uid="{43D981B0-B9D3-4898-9D18-96AD5F2B5D39}"/>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25560" xr:uid="{0E68A9A0-6C1D-45EB-B0E6-8DE4A51B7766}"/>
    <cellStyle name="Normal 9 2 2 2 2 2 5 2 2 3" xfId="34006" xr:uid="{8EACC939-5A19-469F-BBE8-7C1E0B57A80E}"/>
    <cellStyle name="Normal 9 2 2 2 2 2 5 2 2 4" xfId="17119" xr:uid="{177287FB-EEC7-492E-9A4F-AD73299C0043}"/>
    <cellStyle name="Normal 9 2 2 2 2 2 5 2 3" xfId="21342" xr:uid="{B1A55008-1B79-4068-BB20-C4A98CD33BE5}"/>
    <cellStyle name="Normal 9 2 2 2 2 2 5 2 4" xfId="29789" xr:uid="{CDBB0F5B-3C43-45D1-BB4C-B4F5B870111F}"/>
    <cellStyle name="Normal 9 2 2 2 2 2 5 2 5" xfId="12901" xr:uid="{B8877BF8-3BC6-465F-9643-1E5359858C9A}"/>
    <cellStyle name="Normal 9 2 2 2 2 2 5 3" xfId="6532" xr:uid="{00000000-0005-0000-0000-0000801E0000}"/>
    <cellStyle name="Normal 9 2 2 2 2 2 5 3 2" xfId="23415" xr:uid="{3A7E1B67-6046-47AE-AA58-418488E97976}"/>
    <cellStyle name="Normal 9 2 2 2 2 2 5 3 3" xfId="31861" xr:uid="{D78E2C9D-B3C4-4E84-B3AF-620AC2AD971A}"/>
    <cellStyle name="Normal 9 2 2 2 2 2 5 3 4" xfId="14974" xr:uid="{96BEF80C-76F4-42E5-9BE4-17821868FF4D}"/>
    <cellStyle name="Normal 9 2 2 2 2 2 5 4" xfId="19197" xr:uid="{D99B3E8D-20BD-4B3D-ADC3-42DD5C8BCF16}"/>
    <cellStyle name="Normal 9 2 2 2 2 2 5 5" xfId="27642" xr:uid="{12262FB0-15FF-4D70-BD66-01F336510A77}"/>
    <cellStyle name="Normal 9 2 2 2 2 2 5 6" xfId="10756" xr:uid="{3B9B85AA-7F13-4D5C-BD7C-FB1BED6DCEB1}"/>
    <cellStyle name="Normal 9 2 2 2 2 2 6" xfId="2661" xr:uid="{00000000-0005-0000-0000-0000811E0000}"/>
    <cellStyle name="Normal 9 2 2 2 2 2 6 2" xfId="6945" xr:uid="{00000000-0005-0000-0000-0000821E0000}"/>
    <cellStyle name="Normal 9 2 2 2 2 2 6 2 2" xfId="23828" xr:uid="{2DF428EA-BEBA-47A0-82AF-A4A1130076D0}"/>
    <cellStyle name="Normal 9 2 2 2 2 2 6 2 3" xfId="32274" xr:uid="{46364F7E-8867-434E-B4C1-E915F5E6804B}"/>
    <cellStyle name="Normal 9 2 2 2 2 2 6 2 4" xfId="15387" xr:uid="{36D950F4-0764-4EB3-B7A6-C596AB8057A9}"/>
    <cellStyle name="Normal 9 2 2 2 2 2 6 3" xfId="19610" xr:uid="{6C201575-E843-46EC-9CDE-947B7F2A7256}"/>
    <cellStyle name="Normal 9 2 2 2 2 2 6 4" xfId="28055" xr:uid="{8403EED3-3BCF-44EF-86B5-3261A67BDFC5}"/>
    <cellStyle name="Normal 9 2 2 2 2 2 6 5" xfId="11169" xr:uid="{91FFF1E5-6710-46C2-9833-2AE8C7A912F8}"/>
    <cellStyle name="Normal 9 2 2 2 2 2 7" xfId="4880" xr:uid="{00000000-0005-0000-0000-0000831E0000}"/>
    <cellStyle name="Normal 9 2 2 2 2 2 7 2" xfId="21763" xr:uid="{2E589804-0E3A-4E3E-A29E-442BD6E4A68F}"/>
    <cellStyle name="Normal 9 2 2 2 2 2 7 3" xfId="30209" xr:uid="{D70E5AEB-26C3-450C-A8ED-EA9B6FAAA564}"/>
    <cellStyle name="Normal 9 2 2 2 2 2 7 4" xfId="13322" xr:uid="{DB65B2ED-4245-4D6B-BEE6-0FFC5C542ED7}"/>
    <cellStyle name="Normal 9 2 2 2 2 2 8" xfId="17545" xr:uid="{B54A363B-1A3D-4A7D-8450-AFB98B88F7D7}"/>
    <cellStyle name="Normal 9 2 2 2 2 2 9" xfId="25990" xr:uid="{64EB8EA4-8995-4D2F-B38E-DC4E230A25E1}"/>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24320" xr:uid="{CCABAC05-DF1E-4A72-8F1E-EE3E2138CCD8}"/>
    <cellStyle name="Normal 9 2 2 2 2 3 2 2 3" xfId="32766" xr:uid="{F8405D0C-80AC-4822-9B6C-C697B6DCDC24}"/>
    <cellStyle name="Normal 9 2 2 2 2 3 2 2 4" xfId="15879" xr:uid="{FC7451B2-2450-4A3E-BC90-93AF1659A110}"/>
    <cellStyle name="Normal 9 2 2 2 2 3 2 3" xfId="20102" xr:uid="{91823A57-B0D0-4AB1-B51E-BC3195C235ED}"/>
    <cellStyle name="Normal 9 2 2 2 2 3 2 4" xfId="28549" xr:uid="{6597A1F7-5445-4119-9426-BD0D4EC43814}"/>
    <cellStyle name="Normal 9 2 2 2 2 3 2 5" xfId="11661" xr:uid="{0AC98739-693B-4BCC-81B5-B0A28025ED6F}"/>
    <cellStyle name="Normal 9 2 2 2 2 3 3" xfId="5292" xr:uid="{00000000-0005-0000-0000-0000871E0000}"/>
    <cellStyle name="Normal 9 2 2 2 2 3 3 2" xfId="22175" xr:uid="{6F07359D-30F5-48E6-8791-B06C52D7BDC8}"/>
    <cellStyle name="Normal 9 2 2 2 2 3 3 3" xfId="30621" xr:uid="{E5A6690F-CF07-4CEB-B1B4-8AE49160630C}"/>
    <cellStyle name="Normal 9 2 2 2 2 3 3 4" xfId="13734" xr:uid="{A2EB92E5-E66B-4D69-831F-0882EC6B7FE6}"/>
    <cellStyle name="Normal 9 2 2 2 2 3 4" xfId="17957" xr:uid="{A9E6CD81-0D39-4C32-8AB0-1A5D43EE89B6}"/>
    <cellStyle name="Normal 9 2 2 2 2 3 5" xfId="26402" xr:uid="{B8A70AA4-CA63-4A62-937B-7A8A6E1CF3DA}"/>
    <cellStyle name="Normal 9 2 2 2 2 3 6" xfId="9516" xr:uid="{9658C936-C5F9-44F0-A706-13FFC96235B4}"/>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24733" xr:uid="{D5AB5E2B-A24B-423D-B5C8-25762A805C23}"/>
    <cellStyle name="Normal 9 2 2 2 2 4 2 2 3" xfId="33179" xr:uid="{D23905E5-C4A4-4EE2-87DD-D1D11497FA04}"/>
    <cellStyle name="Normal 9 2 2 2 2 4 2 2 4" xfId="16292" xr:uid="{075738BA-7A92-4CC3-A716-3958FC8EA280}"/>
    <cellStyle name="Normal 9 2 2 2 2 4 2 3" xfId="20515" xr:uid="{BFD2E1EB-BB56-416D-B40B-B7C4BA2592EC}"/>
    <cellStyle name="Normal 9 2 2 2 2 4 2 4" xfId="28962" xr:uid="{BB735382-03EA-46DA-B0AC-02F94EA43F0A}"/>
    <cellStyle name="Normal 9 2 2 2 2 4 2 5" xfId="12074" xr:uid="{504DC9DA-59A8-4F5F-A634-1B5EC2CEAE60}"/>
    <cellStyle name="Normal 9 2 2 2 2 4 3" xfId="5705" xr:uid="{00000000-0005-0000-0000-00008B1E0000}"/>
    <cellStyle name="Normal 9 2 2 2 2 4 3 2" xfId="22588" xr:uid="{7A8B5B5E-C141-42E6-99D2-B0F5E65FE59A}"/>
    <cellStyle name="Normal 9 2 2 2 2 4 3 3" xfId="31034" xr:uid="{AD5E2E34-F617-472C-B1BA-CC45BF1F3A0F}"/>
    <cellStyle name="Normal 9 2 2 2 2 4 3 4" xfId="14147" xr:uid="{BA666B2F-940C-4F43-80A1-4266B005A588}"/>
    <cellStyle name="Normal 9 2 2 2 2 4 4" xfId="18370" xr:uid="{D0F35D34-47B2-4E6D-951E-DFEF82F863CC}"/>
    <cellStyle name="Normal 9 2 2 2 2 4 5" xfId="26815" xr:uid="{7B5DD51D-1A8B-4CA6-819F-9B4D759E7B2D}"/>
    <cellStyle name="Normal 9 2 2 2 2 4 6" xfId="9929" xr:uid="{08C0B439-9019-4663-A208-0ADF1A47774E}"/>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25146" xr:uid="{C351566F-DD16-4B1E-9E39-4A73DCB0D9D4}"/>
    <cellStyle name="Normal 9 2 2 2 2 5 2 2 3" xfId="33592" xr:uid="{D1452C71-305F-4F85-B839-2A5A44A9D66D}"/>
    <cellStyle name="Normal 9 2 2 2 2 5 2 2 4" xfId="16705" xr:uid="{CD2026EF-0D31-4230-8C52-9BF5D42A6869}"/>
    <cellStyle name="Normal 9 2 2 2 2 5 2 3" xfId="20928" xr:uid="{9A814999-EA99-4F92-99DC-6476ACBDA89C}"/>
    <cellStyle name="Normal 9 2 2 2 2 5 2 4" xfId="29375" xr:uid="{945CAAE6-DAD6-4166-9DED-218DB210F90E}"/>
    <cellStyle name="Normal 9 2 2 2 2 5 2 5" xfId="12487" xr:uid="{37FFE8E7-757E-4D3F-98E0-7AB423F784D1}"/>
    <cellStyle name="Normal 9 2 2 2 2 5 3" xfId="6118" xr:uid="{00000000-0005-0000-0000-00008F1E0000}"/>
    <cellStyle name="Normal 9 2 2 2 2 5 3 2" xfId="23001" xr:uid="{BA52CCF6-9167-40B2-A050-A8C7787ADEE7}"/>
    <cellStyle name="Normal 9 2 2 2 2 5 3 3" xfId="31447" xr:uid="{37853BE4-A4FD-4754-828E-1B04F6E38F96}"/>
    <cellStyle name="Normal 9 2 2 2 2 5 3 4" xfId="14560" xr:uid="{B4576AFB-07A1-4D94-A85E-ACAB22AF2638}"/>
    <cellStyle name="Normal 9 2 2 2 2 5 4" xfId="18783" xr:uid="{0C75440C-3698-49F1-B3BE-536BB0512971}"/>
    <cellStyle name="Normal 9 2 2 2 2 5 5" xfId="27228" xr:uid="{0C6D71AC-A20A-4CD5-A2B6-47A823D82AE9}"/>
    <cellStyle name="Normal 9 2 2 2 2 5 6" xfId="10342" xr:uid="{45C223A5-97C7-4CE0-8FCC-36A10E97D321}"/>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25559" xr:uid="{DBD7F3F3-9CED-4DEE-821F-964A68615C46}"/>
    <cellStyle name="Normal 9 2 2 2 2 6 2 2 3" xfId="34005" xr:uid="{F791FAD6-CA6D-4C64-BF45-7F0D74F1DBA6}"/>
    <cellStyle name="Normal 9 2 2 2 2 6 2 2 4" xfId="17118" xr:uid="{29AA0CA9-1FDF-4BAE-8170-CC9BAA7E25C6}"/>
    <cellStyle name="Normal 9 2 2 2 2 6 2 3" xfId="21341" xr:uid="{22DB7B66-BCDF-4CDE-A4D0-DCD4F91B34A3}"/>
    <cellStyle name="Normal 9 2 2 2 2 6 2 4" xfId="29788" xr:uid="{308F0F2C-72BD-4CD9-86D3-DEB1628BC977}"/>
    <cellStyle name="Normal 9 2 2 2 2 6 2 5" xfId="12900" xr:uid="{0771ACAD-DBFD-4FF0-8BF5-E8E1F455B561}"/>
    <cellStyle name="Normal 9 2 2 2 2 6 3" xfId="6531" xr:uid="{00000000-0005-0000-0000-0000931E0000}"/>
    <cellStyle name="Normal 9 2 2 2 2 6 3 2" xfId="23414" xr:uid="{FD4A832B-BCD8-46BA-B47E-99D823064C37}"/>
    <cellStyle name="Normal 9 2 2 2 2 6 3 3" xfId="31860" xr:uid="{E2FDF481-2672-45DE-BDF0-4FAB84E65AF2}"/>
    <cellStyle name="Normal 9 2 2 2 2 6 3 4" xfId="14973" xr:uid="{11B3D693-EB45-47A2-BA06-CE1BDCD4D367}"/>
    <cellStyle name="Normal 9 2 2 2 2 6 4" xfId="19196" xr:uid="{8C8EA589-7C37-45B7-BC9A-C08CAC9A0F67}"/>
    <cellStyle name="Normal 9 2 2 2 2 6 5" xfId="27641" xr:uid="{42AF8301-436E-4804-8D4F-004446110D02}"/>
    <cellStyle name="Normal 9 2 2 2 2 6 6" xfId="10755" xr:uid="{B87FFC98-A9F1-4E25-84C5-E337B320F504}"/>
    <cellStyle name="Normal 9 2 2 2 2 7" xfId="2660" xr:uid="{00000000-0005-0000-0000-0000941E0000}"/>
    <cellStyle name="Normal 9 2 2 2 2 7 2" xfId="6944" xr:uid="{00000000-0005-0000-0000-0000951E0000}"/>
    <cellStyle name="Normal 9 2 2 2 2 7 2 2" xfId="23827" xr:uid="{CCDE31E9-5684-449B-8A8C-9ED5FCF2BBE3}"/>
    <cellStyle name="Normal 9 2 2 2 2 7 2 3" xfId="32273" xr:uid="{5EC6BFAB-531D-428C-AECB-3FD344159434}"/>
    <cellStyle name="Normal 9 2 2 2 2 7 2 4" xfId="15386" xr:uid="{DD73D77F-F4A9-46B4-B8C9-EDC1B5B0AAC4}"/>
    <cellStyle name="Normal 9 2 2 2 2 7 3" xfId="19609" xr:uid="{2B177570-4D3C-41B0-9E55-5BC9C84EA5B5}"/>
    <cellStyle name="Normal 9 2 2 2 2 7 4" xfId="28054" xr:uid="{BD01A8F0-954C-4709-A6A4-7DD5008F11CE}"/>
    <cellStyle name="Normal 9 2 2 2 2 7 5" xfId="11168" xr:uid="{BE254011-3429-4321-9C31-CA1EE7926117}"/>
    <cellStyle name="Normal 9 2 2 2 2 8" xfId="4879" xr:uid="{00000000-0005-0000-0000-0000961E0000}"/>
    <cellStyle name="Normal 9 2 2 2 2 8 2" xfId="21762" xr:uid="{4E992176-FB83-4789-A239-9607C0BF1482}"/>
    <cellStyle name="Normal 9 2 2 2 2 8 3" xfId="30208" xr:uid="{BAD8BC20-3089-4C30-A296-1E3D5C5765F1}"/>
    <cellStyle name="Normal 9 2 2 2 2 8 4" xfId="13321" xr:uid="{3B5953F3-69B1-43C2-AAD2-13141BE596A2}"/>
    <cellStyle name="Normal 9 2 2 2 2 9" xfId="17544" xr:uid="{B93CA731-327F-4BC3-A934-C4899B6A5DA5}"/>
    <cellStyle name="Normal 9 2 2 2 3" xfId="516" xr:uid="{00000000-0005-0000-0000-0000971E0000}"/>
    <cellStyle name="Normal 9 2 2 2 3 10" xfId="9105" xr:uid="{5D4558FF-779D-440A-BE85-4B3C2DC7CFBE}"/>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24322" xr:uid="{311B0F29-DE92-4948-842C-4750A3558B20}"/>
    <cellStyle name="Normal 9 2 2 2 3 2 2 2 3" xfId="32768" xr:uid="{A60A60C1-AD3A-4D7C-B70B-D67EF132911C}"/>
    <cellStyle name="Normal 9 2 2 2 3 2 2 2 4" xfId="15881" xr:uid="{F21E1120-BFB2-4160-AAAA-20B0B15DA626}"/>
    <cellStyle name="Normal 9 2 2 2 3 2 2 3" xfId="20104" xr:uid="{DE499F5B-2375-4392-8B9F-8B38AF45BB75}"/>
    <cellStyle name="Normal 9 2 2 2 3 2 2 4" xfId="28551" xr:uid="{B9F42128-9816-448F-AF7A-48E0B6A5053A}"/>
    <cellStyle name="Normal 9 2 2 2 3 2 2 5" xfId="11663" xr:uid="{2AAF8133-626F-422C-A8D6-9BB61F5B0869}"/>
    <cellStyle name="Normal 9 2 2 2 3 2 3" xfId="5294" xr:uid="{00000000-0005-0000-0000-00009B1E0000}"/>
    <cellStyle name="Normal 9 2 2 2 3 2 3 2" xfId="22177" xr:uid="{B87699B4-26E2-4C4A-940D-B7EFD1634B1F}"/>
    <cellStyle name="Normal 9 2 2 2 3 2 3 3" xfId="30623" xr:uid="{E9C513C6-8A10-4FE7-95A9-07D392C8980D}"/>
    <cellStyle name="Normal 9 2 2 2 3 2 3 4" xfId="13736" xr:uid="{DD064D64-58BD-4B36-A0D6-E3E9E2219010}"/>
    <cellStyle name="Normal 9 2 2 2 3 2 4" xfId="17959" xr:uid="{1CA671B6-1BB7-4031-AFDA-16D1CA30FE48}"/>
    <cellStyle name="Normal 9 2 2 2 3 2 5" xfId="26404" xr:uid="{770E1159-C5C8-48CD-AF76-D10831CEB1C0}"/>
    <cellStyle name="Normal 9 2 2 2 3 2 6" xfId="9518" xr:uid="{4937581A-9CB4-464C-BA2A-BA2B9A055D4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24735" xr:uid="{2F91EDEB-F930-44E3-A62B-0E89AB7746B2}"/>
    <cellStyle name="Normal 9 2 2 2 3 3 2 2 3" xfId="33181" xr:uid="{3686A67E-3792-41C2-BEB2-F5023D154CAA}"/>
    <cellStyle name="Normal 9 2 2 2 3 3 2 2 4" xfId="16294" xr:uid="{FACB939B-6752-48F1-99B2-A6C53977195A}"/>
    <cellStyle name="Normal 9 2 2 2 3 3 2 3" xfId="20517" xr:uid="{6BA0BC1D-1EEB-4EBA-83DA-6AD8AA75B615}"/>
    <cellStyle name="Normal 9 2 2 2 3 3 2 4" xfId="28964" xr:uid="{89790F6C-654C-4A2B-83E1-0E0CDD0CD5F5}"/>
    <cellStyle name="Normal 9 2 2 2 3 3 2 5" xfId="12076" xr:uid="{E009D2EF-1005-4618-819A-8C708BA90585}"/>
    <cellStyle name="Normal 9 2 2 2 3 3 3" xfId="5707" xr:uid="{00000000-0005-0000-0000-00009F1E0000}"/>
    <cellStyle name="Normal 9 2 2 2 3 3 3 2" xfId="22590" xr:uid="{F1B35C7A-DF1F-47B2-B462-4E94C525D7C8}"/>
    <cellStyle name="Normal 9 2 2 2 3 3 3 3" xfId="31036" xr:uid="{30DFFB94-1305-4111-8784-2D13CEB422BC}"/>
    <cellStyle name="Normal 9 2 2 2 3 3 3 4" xfId="14149" xr:uid="{32FC5D0C-C78E-44BC-B3C4-3A84CA268961}"/>
    <cellStyle name="Normal 9 2 2 2 3 3 4" xfId="18372" xr:uid="{B57A8196-2839-4CF6-8545-4B1D5D47DA3C}"/>
    <cellStyle name="Normal 9 2 2 2 3 3 5" xfId="26817" xr:uid="{B070B77D-358D-4F47-B896-9040B2872A7F}"/>
    <cellStyle name="Normal 9 2 2 2 3 3 6" xfId="9931" xr:uid="{CA267937-E2CD-47F0-A01F-FEB37F5CF10C}"/>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25148" xr:uid="{451C7DB7-8D29-415A-9C0A-7FD6B142C093}"/>
    <cellStyle name="Normal 9 2 2 2 3 4 2 2 3" xfId="33594" xr:uid="{EC33AEF4-2997-4EA6-83CC-367517D958F4}"/>
    <cellStyle name="Normal 9 2 2 2 3 4 2 2 4" xfId="16707" xr:uid="{BD84CF23-E0D0-46CD-A58B-B46DFF985049}"/>
    <cellStyle name="Normal 9 2 2 2 3 4 2 3" xfId="20930" xr:uid="{9BD09061-CF50-49DA-8002-D59FB9136505}"/>
    <cellStyle name="Normal 9 2 2 2 3 4 2 4" xfId="29377" xr:uid="{7AC3E9EB-3AD1-41B8-AD65-74449C7E917A}"/>
    <cellStyle name="Normal 9 2 2 2 3 4 2 5" xfId="12489" xr:uid="{AF3D2087-0ECE-43F8-8374-7DE3FF4B5958}"/>
    <cellStyle name="Normal 9 2 2 2 3 4 3" xfId="6120" xr:uid="{00000000-0005-0000-0000-0000A31E0000}"/>
    <cellStyle name="Normal 9 2 2 2 3 4 3 2" xfId="23003" xr:uid="{A520B3BE-9564-480F-8A54-0D8A63B8CAF2}"/>
    <cellStyle name="Normal 9 2 2 2 3 4 3 3" xfId="31449" xr:uid="{B3D65BF8-F3B9-4BF4-991C-C04EA6129951}"/>
    <cellStyle name="Normal 9 2 2 2 3 4 3 4" xfId="14562" xr:uid="{AAC8E299-9E19-4871-B9B5-D8A187C5285D}"/>
    <cellStyle name="Normal 9 2 2 2 3 4 4" xfId="18785" xr:uid="{19F83C35-4359-4F64-AF2F-134270351A2D}"/>
    <cellStyle name="Normal 9 2 2 2 3 4 5" xfId="27230" xr:uid="{EF76229B-3CDF-467A-8F75-EA279AD2E233}"/>
    <cellStyle name="Normal 9 2 2 2 3 4 6" xfId="10344" xr:uid="{DF8EA98B-E4FE-4982-9870-1ED3248DCCFD}"/>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25561" xr:uid="{5193078B-7410-478B-ABC6-23AC727DD234}"/>
    <cellStyle name="Normal 9 2 2 2 3 5 2 2 3" xfId="34007" xr:uid="{46B6506B-47BF-46B5-B1CE-239528CAA867}"/>
    <cellStyle name="Normal 9 2 2 2 3 5 2 2 4" xfId="17120" xr:uid="{292B6D92-1ABF-4A5C-8C6F-5CA2811EDF04}"/>
    <cellStyle name="Normal 9 2 2 2 3 5 2 3" xfId="21343" xr:uid="{54850443-9506-43BC-99A7-B44CB9793A40}"/>
    <cellStyle name="Normal 9 2 2 2 3 5 2 4" xfId="29790" xr:uid="{085706E8-D346-47D5-A419-7229775A715D}"/>
    <cellStyle name="Normal 9 2 2 2 3 5 2 5" xfId="12902" xr:uid="{AB8AF0E4-6A32-49AB-AD6B-3E5BA9D0B110}"/>
    <cellStyle name="Normal 9 2 2 2 3 5 3" xfId="6533" xr:uid="{00000000-0005-0000-0000-0000A71E0000}"/>
    <cellStyle name="Normal 9 2 2 2 3 5 3 2" xfId="23416" xr:uid="{18DB9FD7-774F-4BF8-AAD3-4AB4D02F23DD}"/>
    <cellStyle name="Normal 9 2 2 2 3 5 3 3" xfId="31862" xr:uid="{53289267-B5D9-4E21-A3BA-32EEA5772E03}"/>
    <cellStyle name="Normal 9 2 2 2 3 5 3 4" xfId="14975" xr:uid="{34297563-9452-4C19-9063-092B368B4FB4}"/>
    <cellStyle name="Normal 9 2 2 2 3 5 4" xfId="19198" xr:uid="{30E39914-BFAD-4237-AB62-D77B7B96C520}"/>
    <cellStyle name="Normal 9 2 2 2 3 5 5" xfId="27643" xr:uid="{64214CDC-59F5-4F0E-B7C8-EBE3CBAAE8BF}"/>
    <cellStyle name="Normal 9 2 2 2 3 5 6" xfId="10757" xr:uid="{9CB13B77-6DF5-4CC8-B765-9887FCAB0B0F}"/>
    <cellStyle name="Normal 9 2 2 2 3 6" xfId="2662" xr:uid="{00000000-0005-0000-0000-0000A81E0000}"/>
    <cellStyle name="Normal 9 2 2 2 3 6 2" xfId="6946" xr:uid="{00000000-0005-0000-0000-0000A91E0000}"/>
    <cellStyle name="Normal 9 2 2 2 3 6 2 2" xfId="23829" xr:uid="{DD2E035F-12DB-4F6D-BBE0-09A0A2E3CC52}"/>
    <cellStyle name="Normal 9 2 2 2 3 6 2 3" xfId="32275" xr:uid="{D7602A93-803A-4E4F-A181-876E97B24033}"/>
    <cellStyle name="Normal 9 2 2 2 3 6 2 4" xfId="15388" xr:uid="{13AF1A2B-7531-4CE4-8732-2A3474E87304}"/>
    <cellStyle name="Normal 9 2 2 2 3 6 3" xfId="19611" xr:uid="{9FB47E3B-A275-42DC-9CC0-3BD86B47C7BA}"/>
    <cellStyle name="Normal 9 2 2 2 3 6 4" xfId="28056" xr:uid="{D3A7DDE8-1271-463C-8175-20977368CCF0}"/>
    <cellStyle name="Normal 9 2 2 2 3 6 5" xfId="11170" xr:uid="{FADE9E7F-ED39-4E99-87E1-2B0289F4CFD0}"/>
    <cellStyle name="Normal 9 2 2 2 3 7" xfId="4881" xr:uid="{00000000-0005-0000-0000-0000AA1E0000}"/>
    <cellStyle name="Normal 9 2 2 2 3 7 2" xfId="21764" xr:uid="{083EB985-4169-4F8D-8DEB-4A8F9796F214}"/>
    <cellStyle name="Normal 9 2 2 2 3 7 3" xfId="30210" xr:uid="{5714D397-D7FB-48A7-BD7A-3646C532CBCB}"/>
    <cellStyle name="Normal 9 2 2 2 3 7 4" xfId="13323" xr:uid="{2CBD93C8-EAE2-4559-9D12-1B8EF884A9BE}"/>
    <cellStyle name="Normal 9 2 2 2 3 8" xfId="17546" xr:uid="{CF840A96-D48C-4B0C-985D-C5C163571706}"/>
    <cellStyle name="Normal 9 2 2 2 3 9" xfId="25991" xr:uid="{51F13B07-99AD-4703-9500-937939CAEB05}"/>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24319" xr:uid="{CAD30655-9A5D-43A9-8DE7-B65DE4FBCA4E}"/>
    <cellStyle name="Normal 9 2 2 2 4 2 2 3" xfId="32765" xr:uid="{C145E672-45F0-41B7-B81B-DE871A303D5F}"/>
    <cellStyle name="Normal 9 2 2 2 4 2 2 4" xfId="15878" xr:uid="{DE00B34E-166B-48B1-BAA3-54B2489FF3D7}"/>
    <cellStyle name="Normal 9 2 2 2 4 2 3" xfId="20101" xr:uid="{0DD8768B-0B70-4298-A424-B3F0412A41E3}"/>
    <cellStyle name="Normal 9 2 2 2 4 2 4" xfId="28548" xr:uid="{C330259F-7ABF-4062-9940-AB605AA4054C}"/>
    <cellStyle name="Normal 9 2 2 2 4 2 5" xfId="11660" xr:uid="{5B8BDCAE-C529-4480-B658-3543D02EE3B9}"/>
    <cellStyle name="Normal 9 2 2 2 4 3" xfId="5291" xr:uid="{00000000-0005-0000-0000-0000AE1E0000}"/>
    <cellStyle name="Normal 9 2 2 2 4 3 2" xfId="22174" xr:uid="{38FAF4A5-7AF2-463F-92A6-34CCF655D8C7}"/>
    <cellStyle name="Normal 9 2 2 2 4 3 3" xfId="30620" xr:uid="{0AA5020E-6971-41AF-925A-7B27A034F4E3}"/>
    <cellStyle name="Normal 9 2 2 2 4 3 4" xfId="13733" xr:uid="{5D7B44E4-9D45-4752-AF32-D8EA3B5B0E22}"/>
    <cellStyle name="Normal 9 2 2 2 4 4" xfId="17956" xr:uid="{CCD3E356-CC37-46B4-A1AD-528E58CF9BDB}"/>
    <cellStyle name="Normal 9 2 2 2 4 5" xfId="26401" xr:uid="{E371B8AF-23EA-4E93-B95B-91E18495B8D8}"/>
    <cellStyle name="Normal 9 2 2 2 4 6" xfId="9515" xr:uid="{801C986E-F584-4221-AF3F-356CA3993598}"/>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24732" xr:uid="{1D5745CE-B714-4BF0-AF34-9ABC6C1349F2}"/>
    <cellStyle name="Normal 9 2 2 2 5 2 2 3" xfId="33178" xr:uid="{39810899-7519-4368-8EBB-A5BBC2E70017}"/>
    <cellStyle name="Normal 9 2 2 2 5 2 2 4" xfId="16291" xr:uid="{0A932648-6794-427D-9EF8-442D3107A8E4}"/>
    <cellStyle name="Normal 9 2 2 2 5 2 3" xfId="20514" xr:uid="{CA0AE693-F475-45C3-BC35-38D99D3308A7}"/>
    <cellStyle name="Normal 9 2 2 2 5 2 4" xfId="28961" xr:uid="{1FF682BB-CB10-455B-86F7-2915EBBB5E5B}"/>
    <cellStyle name="Normal 9 2 2 2 5 2 5" xfId="12073" xr:uid="{A67C1518-C9A7-4DD0-9F96-1BE87010260A}"/>
    <cellStyle name="Normal 9 2 2 2 5 3" xfId="5704" xr:uid="{00000000-0005-0000-0000-0000B21E0000}"/>
    <cellStyle name="Normal 9 2 2 2 5 3 2" xfId="22587" xr:uid="{9973B245-B8D3-4C47-AE0B-8ED7D68AD5FA}"/>
    <cellStyle name="Normal 9 2 2 2 5 3 3" xfId="31033" xr:uid="{34601FCF-A338-48AF-B1FE-C76274B2364A}"/>
    <cellStyle name="Normal 9 2 2 2 5 3 4" xfId="14146" xr:uid="{3B490E8E-F945-48F8-9464-07542D2CE07B}"/>
    <cellStyle name="Normal 9 2 2 2 5 4" xfId="18369" xr:uid="{15CFC6A3-38E0-40E5-A693-FFE4954A4557}"/>
    <cellStyle name="Normal 9 2 2 2 5 5" xfId="26814" xr:uid="{1F345C26-2947-416E-95F2-DA34BE938BA0}"/>
    <cellStyle name="Normal 9 2 2 2 5 6" xfId="9928" xr:uid="{AAD26919-873C-4E35-A70C-A7056442E9D1}"/>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25145" xr:uid="{EA4A57B7-695F-4825-B7CE-BC33EDC2E148}"/>
    <cellStyle name="Normal 9 2 2 2 6 2 2 3" xfId="33591" xr:uid="{43775144-2662-4A6D-9CE0-CAA431E89D46}"/>
    <cellStyle name="Normal 9 2 2 2 6 2 2 4" xfId="16704" xr:uid="{A74C5870-B622-4355-8A0D-ABF84DA843EB}"/>
    <cellStyle name="Normal 9 2 2 2 6 2 3" xfId="20927" xr:uid="{445E1D3A-9006-4219-B317-AB3BD9B5F87A}"/>
    <cellStyle name="Normal 9 2 2 2 6 2 4" xfId="29374" xr:uid="{05CD2ADA-2BD4-409D-9622-F2B664AE72AD}"/>
    <cellStyle name="Normal 9 2 2 2 6 2 5" xfId="12486" xr:uid="{A8711BB5-8C99-4E06-B50C-5971283D6F76}"/>
    <cellStyle name="Normal 9 2 2 2 6 3" xfId="6117" xr:uid="{00000000-0005-0000-0000-0000B61E0000}"/>
    <cellStyle name="Normal 9 2 2 2 6 3 2" xfId="23000" xr:uid="{610093C5-2F16-4962-BB13-549F0B730EDD}"/>
    <cellStyle name="Normal 9 2 2 2 6 3 3" xfId="31446" xr:uid="{9CD15485-95E7-48D0-A563-05304B2C66B4}"/>
    <cellStyle name="Normal 9 2 2 2 6 3 4" xfId="14559" xr:uid="{0C84B5AF-8A59-4085-94C9-D4325B1F20C5}"/>
    <cellStyle name="Normal 9 2 2 2 6 4" xfId="18782" xr:uid="{A092EB64-1082-4C60-89E0-CF2249232B7D}"/>
    <cellStyle name="Normal 9 2 2 2 6 5" xfId="27227" xr:uid="{0310F422-1650-4BCA-B1A3-1E1EBD2EC36E}"/>
    <cellStyle name="Normal 9 2 2 2 6 6" xfId="10341" xr:uid="{D4F8657F-6374-492C-94F3-2A736BF9B99B}"/>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25558" xr:uid="{D5A3F5B1-DDD1-4892-922B-1DA5EB83325E}"/>
    <cellStyle name="Normal 9 2 2 2 7 2 2 3" xfId="34004" xr:uid="{9D02B1FE-5B18-4C8A-A5CD-01D7964CD425}"/>
    <cellStyle name="Normal 9 2 2 2 7 2 2 4" xfId="17117" xr:uid="{960B34AA-5C29-4D6D-8E29-7875271BFC05}"/>
    <cellStyle name="Normal 9 2 2 2 7 2 3" xfId="21340" xr:uid="{26FFA8D3-E1F7-4979-86D1-4FA79B5CF9B0}"/>
    <cellStyle name="Normal 9 2 2 2 7 2 4" xfId="29787" xr:uid="{565EEFCF-7666-4D63-9C21-6B50CBEC1DCA}"/>
    <cellStyle name="Normal 9 2 2 2 7 2 5" xfId="12899" xr:uid="{1372ACF9-D6EC-416F-99B4-9E9029610573}"/>
    <cellStyle name="Normal 9 2 2 2 7 3" xfId="6530" xr:uid="{00000000-0005-0000-0000-0000BA1E0000}"/>
    <cellStyle name="Normal 9 2 2 2 7 3 2" xfId="23413" xr:uid="{E712665C-70AC-43BA-82C7-08B885B0B4C0}"/>
    <cellStyle name="Normal 9 2 2 2 7 3 3" xfId="31859" xr:uid="{0B4562B6-5087-4490-AE3D-6F822C9DC7CF}"/>
    <cellStyle name="Normal 9 2 2 2 7 3 4" xfId="14972" xr:uid="{ED7DDC7D-5755-4358-B85E-21D90870AC88}"/>
    <cellStyle name="Normal 9 2 2 2 7 4" xfId="19195" xr:uid="{ADC6CF82-74D8-4050-A6B4-1E68CF1C1880}"/>
    <cellStyle name="Normal 9 2 2 2 7 5" xfId="27640" xr:uid="{CE9D23D0-C109-4EDC-8B7B-F31A7E4FE531}"/>
    <cellStyle name="Normal 9 2 2 2 7 6" xfId="10754" xr:uid="{DB7E22AD-CCCC-4223-A575-056C424926C8}"/>
    <cellStyle name="Normal 9 2 2 2 8" xfId="2659" xr:uid="{00000000-0005-0000-0000-0000BB1E0000}"/>
    <cellStyle name="Normal 9 2 2 2 8 2" xfId="6943" xr:uid="{00000000-0005-0000-0000-0000BC1E0000}"/>
    <cellStyle name="Normal 9 2 2 2 8 2 2" xfId="23826" xr:uid="{B70778ED-ACEB-445B-B7B4-230519DAE86F}"/>
    <cellStyle name="Normal 9 2 2 2 8 2 3" xfId="32272" xr:uid="{1554A2F8-D96D-47D5-8A58-26E9677CD0AA}"/>
    <cellStyle name="Normal 9 2 2 2 8 2 4" xfId="15385" xr:uid="{F9BAE190-7FB3-4EFA-A68C-2A3C8451B1F7}"/>
    <cellStyle name="Normal 9 2 2 2 8 3" xfId="19608" xr:uid="{D7F464C0-3C5B-4E0F-A4BE-00A9712EF431}"/>
    <cellStyle name="Normal 9 2 2 2 8 4" xfId="28053" xr:uid="{D79ABE35-46BE-4140-839E-23C80A5B7B3C}"/>
    <cellStyle name="Normal 9 2 2 2 8 5" xfId="11167" xr:uid="{5320927A-DE28-41E5-8716-AA5C9AF6D355}"/>
    <cellStyle name="Normal 9 2 2 2 9" xfId="4878" xr:uid="{00000000-0005-0000-0000-0000BD1E0000}"/>
    <cellStyle name="Normal 9 2 2 2 9 2" xfId="21761" xr:uid="{BBCEFDE2-87CF-4C86-A296-76DA014D1CB0}"/>
    <cellStyle name="Normal 9 2 2 2 9 3" xfId="30207" xr:uid="{6D45316C-2A1D-4C75-BD6D-EE8EF935AE3E}"/>
    <cellStyle name="Normal 9 2 2 2 9 4" xfId="13320" xr:uid="{8C24ED7E-4CA5-4166-BF45-DBE6C25D7BAD}"/>
    <cellStyle name="Normal 9 2 2 3" xfId="517" xr:uid="{00000000-0005-0000-0000-0000BE1E0000}"/>
    <cellStyle name="Normal 9 2 2 3 10" xfId="25992" xr:uid="{4F726344-C8AB-404A-B081-A234191D4990}"/>
    <cellStyle name="Normal 9 2 2 3 11" xfId="9106" xr:uid="{F157BE7C-B02A-4B84-A409-B46BB8B1F544}"/>
    <cellStyle name="Normal 9 2 2 3 2" xfId="518" xr:uid="{00000000-0005-0000-0000-0000BF1E0000}"/>
    <cellStyle name="Normal 9 2 2 3 2 10" xfId="9107" xr:uid="{C4087240-FD84-4699-AEEB-9A88B55EAB74}"/>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24324" xr:uid="{69293B8B-C1BC-4C01-860E-00EA813D2A1B}"/>
    <cellStyle name="Normal 9 2 2 3 2 2 2 2 3" xfId="32770" xr:uid="{56A9B381-7E66-4FE4-8EEB-505BA36997DB}"/>
    <cellStyle name="Normal 9 2 2 3 2 2 2 2 4" xfId="15883" xr:uid="{BA635840-8EE1-43DF-B7A6-D7D95D1E841E}"/>
    <cellStyle name="Normal 9 2 2 3 2 2 2 3" xfId="20106" xr:uid="{E943083A-A390-48E5-BB54-5E8B12E25919}"/>
    <cellStyle name="Normal 9 2 2 3 2 2 2 4" xfId="28553" xr:uid="{2E1473CE-E7E0-47E4-9CFD-187CCD3435F4}"/>
    <cellStyle name="Normal 9 2 2 3 2 2 2 5" xfId="11665" xr:uid="{678BE143-880A-425C-A82A-123ECD791A88}"/>
    <cellStyle name="Normal 9 2 2 3 2 2 3" xfId="5296" xr:uid="{00000000-0005-0000-0000-0000C31E0000}"/>
    <cellStyle name="Normal 9 2 2 3 2 2 3 2" xfId="22179" xr:uid="{8D3A4208-A1AE-4A26-BE33-D8BEEEE013B1}"/>
    <cellStyle name="Normal 9 2 2 3 2 2 3 3" xfId="30625" xr:uid="{54DCEB2B-DBCC-4F66-9959-8ED5437BFB5C}"/>
    <cellStyle name="Normal 9 2 2 3 2 2 3 4" xfId="13738" xr:uid="{A0A7D1F3-6FC6-4EA8-BBB2-66356B94DD90}"/>
    <cellStyle name="Normal 9 2 2 3 2 2 4" xfId="17961" xr:uid="{AEFFF860-3EF5-4C0F-8F60-6E97166208EB}"/>
    <cellStyle name="Normal 9 2 2 3 2 2 5" xfId="26406" xr:uid="{D562B727-6B2A-4A29-846F-B41E72453E32}"/>
    <cellStyle name="Normal 9 2 2 3 2 2 6" xfId="9520" xr:uid="{401C84AE-CDA1-49C7-B36F-D89BF91FB551}"/>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24737" xr:uid="{0C90E7C4-95FD-4840-A1F0-0AFBF020B689}"/>
    <cellStyle name="Normal 9 2 2 3 2 3 2 2 3" xfId="33183" xr:uid="{383C4E63-0B65-4BEF-8D85-138ACDB8E5B4}"/>
    <cellStyle name="Normal 9 2 2 3 2 3 2 2 4" xfId="16296" xr:uid="{98993970-3C5C-4830-8F16-ADCDAF0041DB}"/>
    <cellStyle name="Normal 9 2 2 3 2 3 2 3" xfId="20519" xr:uid="{BBC94CB1-1E5B-4ED5-9959-9E21982A96F6}"/>
    <cellStyle name="Normal 9 2 2 3 2 3 2 4" xfId="28966" xr:uid="{FE76B94D-94AF-4E48-B44E-09D7EB3FD1A4}"/>
    <cellStyle name="Normal 9 2 2 3 2 3 2 5" xfId="12078" xr:uid="{F19F4A5E-546A-48DA-8C03-97BE2FD74ED8}"/>
    <cellStyle name="Normal 9 2 2 3 2 3 3" xfId="5709" xr:uid="{00000000-0005-0000-0000-0000C71E0000}"/>
    <cellStyle name="Normal 9 2 2 3 2 3 3 2" xfId="22592" xr:uid="{4957C319-4288-4AD1-BDEC-9AE019650EE5}"/>
    <cellStyle name="Normal 9 2 2 3 2 3 3 3" xfId="31038" xr:uid="{1E9D9868-D2D5-42F9-A284-A586A312E087}"/>
    <cellStyle name="Normal 9 2 2 3 2 3 3 4" xfId="14151" xr:uid="{B8D2CC97-BF03-4437-8957-DB907816A3D0}"/>
    <cellStyle name="Normal 9 2 2 3 2 3 4" xfId="18374" xr:uid="{FF6C08A3-AF06-48F9-AB2E-F80958107928}"/>
    <cellStyle name="Normal 9 2 2 3 2 3 5" xfId="26819" xr:uid="{B46E8B3B-9EBA-4A9F-BA93-41B137EE45B0}"/>
    <cellStyle name="Normal 9 2 2 3 2 3 6" xfId="9933" xr:uid="{059E81CC-9EC1-4731-8585-01CC3A0DDC6B}"/>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25150" xr:uid="{45071E08-5308-4513-90DF-644B0208BC4C}"/>
    <cellStyle name="Normal 9 2 2 3 2 4 2 2 3" xfId="33596" xr:uid="{44BB7221-049F-4F89-81A0-D54F92558988}"/>
    <cellStyle name="Normal 9 2 2 3 2 4 2 2 4" xfId="16709" xr:uid="{AF540C6D-94F2-470D-8723-0DA38674C9E9}"/>
    <cellStyle name="Normal 9 2 2 3 2 4 2 3" xfId="20932" xr:uid="{C91258F6-BE19-4C99-99CF-F980B9D832BE}"/>
    <cellStyle name="Normal 9 2 2 3 2 4 2 4" xfId="29379" xr:uid="{5225A604-6EDA-4000-8F7C-B6AB3A9DB440}"/>
    <cellStyle name="Normal 9 2 2 3 2 4 2 5" xfId="12491" xr:uid="{AE9AA524-8569-488C-A40D-F75B8489D4FC}"/>
    <cellStyle name="Normal 9 2 2 3 2 4 3" xfId="6122" xr:uid="{00000000-0005-0000-0000-0000CB1E0000}"/>
    <cellStyle name="Normal 9 2 2 3 2 4 3 2" xfId="23005" xr:uid="{8C27D815-EBB4-4B41-B64E-F6D9E3B5A2C6}"/>
    <cellStyle name="Normal 9 2 2 3 2 4 3 3" xfId="31451" xr:uid="{3F4AF4A7-4B43-41CF-A8FA-342C9B1FE5F1}"/>
    <cellStyle name="Normal 9 2 2 3 2 4 3 4" xfId="14564" xr:uid="{3259A163-AD8D-453D-ACE0-A53BE62358DC}"/>
    <cellStyle name="Normal 9 2 2 3 2 4 4" xfId="18787" xr:uid="{05AC6E5E-17CD-4611-A7C4-37E41ACB4E29}"/>
    <cellStyle name="Normal 9 2 2 3 2 4 5" xfId="27232" xr:uid="{53DC75C0-7F02-42F9-A916-1126FA8FB666}"/>
    <cellStyle name="Normal 9 2 2 3 2 4 6" xfId="10346" xr:uid="{838C7F56-A93F-4279-8CFF-036EF4FB688F}"/>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25563" xr:uid="{89D5DACD-6D09-4F68-8392-AB8E6C2F4B87}"/>
    <cellStyle name="Normal 9 2 2 3 2 5 2 2 3" xfId="34009" xr:uid="{50AED0A7-342E-478B-830C-581159427463}"/>
    <cellStyle name="Normal 9 2 2 3 2 5 2 2 4" xfId="17122" xr:uid="{F4568866-3812-45D0-9A42-D9A473F84F3E}"/>
    <cellStyle name="Normal 9 2 2 3 2 5 2 3" xfId="21345" xr:uid="{70982DCE-1E4C-471F-88AE-4FF6C9C34A90}"/>
    <cellStyle name="Normal 9 2 2 3 2 5 2 4" xfId="29792" xr:uid="{B794F148-0261-4450-8937-C8C22385BDAE}"/>
    <cellStyle name="Normal 9 2 2 3 2 5 2 5" xfId="12904" xr:uid="{31E0FA1B-DACF-4F28-A2E1-70BB32D39197}"/>
    <cellStyle name="Normal 9 2 2 3 2 5 3" xfId="6535" xr:uid="{00000000-0005-0000-0000-0000CF1E0000}"/>
    <cellStyle name="Normal 9 2 2 3 2 5 3 2" xfId="23418" xr:uid="{4A68DB4D-0EB8-43FE-995F-06D4239740D1}"/>
    <cellStyle name="Normal 9 2 2 3 2 5 3 3" xfId="31864" xr:uid="{01BA7F37-D331-46B8-B95E-658036ED1088}"/>
    <cellStyle name="Normal 9 2 2 3 2 5 3 4" xfId="14977" xr:uid="{B97F407E-7CDA-424D-A466-37B0D69C54D3}"/>
    <cellStyle name="Normal 9 2 2 3 2 5 4" xfId="19200" xr:uid="{63A718FD-99F3-4C8A-BF92-CCA9957D2DF0}"/>
    <cellStyle name="Normal 9 2 2 3 2 5 5" xfId="27645" xr:uid="{B074B832-EE28-4367-BDF8-554BA0EF9084}"/>
    <cellStyle name="Normal 9 2 2 3 2 5 6" xfId="10759" xr:uid="{90B4ACC8-4C3A-4DD5-A206-2BD36A688D66}"/>
    <cellStyle name="Normal 9 2 2 3 2 6" xfId="2664" xr:uid="{00000000-0005-0000-0000-0000D01E0000}"/>
    <cellStyle name="Normal 9 2 2 3 2 6 2" xfId="6948" xr:uid="{00000000-0005-0000-0000-0000D11E0000}"/>
    <cellStyle name="Normal 9 2 2 3 2 6 2 2" xfId="23831" xr:uid="{661DF93F-CBE4-46C9-BC80-776493B68643}"/>
    <cellStyle name="Normal 9 2 2 3 2 6 2 3" xfId="32277" xr:uid="{2302701C-D325-461E-AF17-E19D0159EAE0}"/>
    <cellStyle name="Normal 9 2 2 3 2 6 2 4" xfId="15390" xr:uid="{DFB76D72-D32A-49B6-B0B7-D463853C21F9}"/>
    <cellStyle name="Normal 9 2 2 3 2 6 3" xfId="19613" xr:uid="{44CCCA87-A0A9-4654-8D6A-2A74949D2C9F}"/>
    <cellStyle name="Normal 9 2 2 3 2 6 4" xfId="28058" xr:uid="{F1BEBEF7-7DA4-4F2A-85A8-19EBE31EBAA1}"/>
    <cellStyle name="Normal 9 2 2 3 2 6 5" xfId="11172" xr:uid="{FC41BA9A-3745-43FA-9E85-4551BAABA20A}"/>
    <cellStyle name="Normal 9 2 2 3 2 7" xfId="4883" xr:uid="{00000000-0005-0000-0000-0000D21E0000}"/>
    <cellStyle name="Normal 9 2 2 3 2 7 2" xfId="21766" xr:uid="{4B5AA4F9-7BDB-4704-B886-D9F800E1D86A}"/>
    <cellStyle name="Normal 9 2 2 3 2 7 3" xfId="30212" xr:uid="{78055A1E-4826-444D-90DF-53402FE1EE98}"/>
    <cellStyle name="Normal 9 2 2 3 2 7 4" xfId="13325" xr:uid="{D4AFB393-A66E-4451-9EE1-0DD8027800FF}"/>
    <cellStyle name="Normal 9 2 2 3 2 8" xfId="17548" xr:uid="{EC982758-78D7-484D-921E-8BB4E733747F}"/>
    <cellStyle name="Normal 9 2 2 3 2 9" xfId="25993" xr:uid="{C46867A3-0CEE-4F5E-888A-2B599C3DCA7F}"/>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24323" xr:uid="{2B71CB02-61A0-4A92-8C93-CABF7BE3A8F7}"/>
    <cellStyle name="Normal 9 2 2 3 3 2 2 3" xfId="32769" xr:uid="{9EE3446D-1A52-41AC-91F4-A1849287678C}"/>
    <cellStyle name="Normal 9 2 2 3 3 2 2 4" xfId="15882" xr:uid="{5B9DB566-E7FC-4A5F-99F0-B6E08F4DDFEF}"/>
    <cellStyle name="Normal 9 2 2 3 3 2 3" xfId="20105" xr:uid="{08A0FD4C-7F04-4BD0-ADBD-BEC4841FF091}"/>
    <cellStyle name="Normal 9 2 2 3 3 2 4" xfId="28552" xr:uid="{F1CE3F92-A09F-4013-A2A7-1FF9E430CE07}"/>
    <cellStyle name="Normal 9 2 2 3 3 2 5" xfId="11664" xr:uid="{637841C0-6584-4206-BA6C-3A958CE5B28F}"/>
    <cellStyle name="Normal 9 2 2 3 3 3" xfId="5295" xr:uid="{00000000-0005-0000-0000-0000D61E0000}"/>
    <cellStyle name="Normal 9 2 2 3 3 3 2" xfId="22178" xr:uid="{8583F56D-C973-40BD-AD8D-2BEC8DF5E07C}"/>
    <cellStyle name="Normal 9 2 2 3 3 3 3" xfId="30624" xr:uid="{70CA8546-5955-4DC8-B6F9-D7068F7B47F3}"/>
    <cellStyle name="Normal 9 2 2 3 3 3 4" xfId="13737" xr:uid="{F4A7EE59-1C29-48AA-875A-A3A01CEC2CF1}"/>
    <cellStyle name="Normal 9 2 2 3 3 4" xfId="17960" xr:uid="{BAE9607F-9350-487A-8EDB-0C25E784B3FB}"/>
    <cellStyle name="Normal 9 2 2 3 3 5" xfId="26405" xr:uid="{28938609-F7D3-4E63-93DC-109A858511D9}"/>
    <cellStyle name="Normal 9 2 2 3 3 6" xfId="9519" xr:uid="{8D4CBDEE-E1ED-45CC-B984-5571B4979DF5}"/>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24736" xr:uid="{F7FE1CDC-AE23-472E-930E-68C908DD7E89}"/>
    <cellStyle name="Normal 9 2 2 3 4 2 2 3" xfId="33182" xr:uid="{E34FF2D7-3655-4C69-B151-7205A2AE088C}"/>
    <cellStyle name="Normal 9 2 2 3 4 2 2 4" xfId="16295" xr:uid="{65A579D0-7B72-4F16-91C5-499C33EA4963}"/>
    <cellStyle name="Normal 9 2 2 3 4 2 3" xfId="20518" xr:uid="{B225CE14-7D68-4EE6-BE87-4B66EC6C87AD}"/>
    <cellStyle name="Normal 9 2 2 3 4 2 4" xfId="28965" xr:uid="{39173D74-3834-4175-B991-2781BCC0F86C}"/>
    <cellStyle name="Normal 9 2 2 3 4 2 5" xfId="12077" xr:uid="{A05FBCF8-D223-43F1-996D-77F53BF6351A}"/>
    <cellStyle name="Normal 9 2 2 3 4 3" xfId="5708" xr:uid="{00000000-0005-0000-0000-0000DA1E0000}"/>
    <cellStyle name="Normal 9 2 2 3 4 3 2" xfId="22591" xr:uid="{E5960A6D-7FA8-4BD2-8E8B-EBFDF8D66D47}"/>
    <cellStyle name="Normal 9 2 2 3 4 3 3" xfId="31037" xr:uid="{2621596C-3FCC-456C-BDBA-13B361A6D1D6}"/>
    <cellStyle name="Normal 9 2 2 3 4 3 4" xfId="14150" xr:uid="{4D58E922-1783-4382-A5CF-5F09CA8DE36F}"/>
    <cellStyle name="Normal 9 2 2 3 4 4" xfId="18373" xr:uid="{1549FDD6-E052-428C-91F3-FB586D65FCAE}"/>
    <cellStyle name="Normal 9 2 2 3 4 5" xfId="26818" xr:uid="{9443ACF1-1CC4-4839-966D-8B3EB4E1A67F}"/>
    <cellStyle name="Normal 9 2 2 3 4 6" xfId="9932" xr:uid="{3F33230F-7728-4673-8B13-ED4F9877494A}"/>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25149" xr:uid="{01F58841-7F58-4D68-B537-3E392507DFD6}"/>
    <cellStyle name="Normal 9 2 2 3 5 2 2 3" xfId="33595" xr:uid="{78BAF9C5-D6DF-44DB-9F23-DF7C3A2B9BC1}"/>
    <cellStyle name="Normal 9 2 2 3 5 2 2 4" xfId="16708" xr:uid="{C22457F4-C68C-4C63-A412-D8F9A8462F2B}"/>
    <cellStyle name="Normal 9 2 2 3 5 2 3" xfId="20931" xr:uid="{8932C18D-7EFF-4D69-AFD6-4B9374E11D2C}"/>
    <cellStyle name="Normal 9 2 2 3 5 2 4" xfId="29378" xr:uid="{F05A3525-5E91-45CB-98AA-CD6F0F287D72}"/>
    <cellStyle name="Normal 9 2 2 3 5 2 5" xfId="12490" xr:uid="{88D6FCB2-D24D-4B77-BD7B-913B4E6A96B9}"/>
    <cellStyle name="Normal 9 2 2 3 5 3" xfId="6121" xr:uid="{00000000-0005-0000-0000-0000DE1E0000}"/>
    <cellStyle name="Normal 9 2 2 3 5 3 2" xfId="23004" xr:uid="{5D95C5E7-F9DE-4F61-9F1E-B05F9193D7BE}"/>
    <cellStyle name="Normal 9 2 2 3 5 3 3" xfId="31450" xr:uid="{367140A9-4BCA-4636-8ADE-3225A4686748}"/>
    <cellStyle name="Normal 9 2 2 3 5 3 4" xfId="14563" xr:uid="{523B241E-8173-4E7C-989A-6FC9B3946FA0}"/>
    <cellStyle name="Normal 9 2 2 3 5 4" xfId="18786" xr:uid="{37103CDB-14CE-40C1-B956-DBA40493E30D}"/>
    <cellStyle name="Normal 9 2 2 3 5 5" xfId="27231" xr:uid="{B8AB4EC7-E040-43F9-9872-6C9251598242}"/>
    <cellStyle name="Normal 9 2 2 3 5 6" xfId="10345" xr:uid="{1C2D921C-392F-41B1-B84B-C9B5194608ED}"/>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25562" xr:uid="{49637E4C-FA3A-438A-871C-61228F44D8BF}"/>
    <cellStyle name="Normal 9 2 2 3 6 2 2 3" xfId="34008" xr:uid="{544C9464-58F1-456E-BAEA-80B301094C9F}"/>
    <cellStyle name="Normal 9 2 2 3 6 2 2 4" xfId="17121" xr:uid="{6D833001-FC83-41EC-9D38-9A27051BAFF5}"/>
    <cellStyle name="Normal 9 2 2 3 6 2 3" xfId="21344" xr:uid="{729EBCFE-BC9F-4C54-AD42-BA01D93FDC2F}"/>
    <cellStyle name="Normal 9 2 2 3 6 2 4" xfId="29791" xr:uid="{2A8BA523-F096-4465-A713-C80163A7C65B}"/>
    <cellStyle name="Normal 9 2 2 3 6 2 5" xfId="12903" xr:uid="{D983BEB8-A9D1-4027-8E2A-52003ECB8E81}"/>
    <cellStyle name="Normal 9 2 2 3 6 3" xfId="6534" xr:uid="{00000000-0005-0000-0000-0000E21E0000}"/>
    <cellStyle name="Normal 9 2 2 3 6 3 2" xfId="23417" xr:uid="{A194C3CB-BAB6-462E-9A79-2209EA213E44}"/>
    <cellStyle name="Normal 9 2 2 3 6 3 3" xfId="31863" xr:uid="{8D433F32-4AC3-4D30-967D-C00EAEA7C254}"/>
    <cellStyle name="Normal 9 2 2 3 6 3 4" xfId="14976" xr:uid="{C98A9345-381E-4D59-A1DA-CDD149418424}"/>
    <cellStyle name="Normal 9 2 2 3 6 4" xfId="19199" xr:uid="{E86BECDA-6126-4F24-8E18-A137A4B6B93C}"/>
    <cellStyle name="Normal 9 2 2 3 6 5" xfId="27644" xr:uid="{0B1ED298-B470-45D7-870D-98986FB4D73E}"/>
    <cellStyle name="Normal 9 2 2 3 6 6" xfId="10758" xr:uid="{C8A432DB-0E57-4F09-9E1A-9E13021A64D1}"/>
    <cellStyle name="Normal 9 2 2 3 7" xfId="2663" xr:uid="{00000000-0005-0000-0000-0000E31E0000}"/>
    <cellStyle name="Normal 9 2 2 3 7 2" xfId="6947" xr:uid="{00000000-0005-0000-0000-0000E41E0000}"/>
    <cellStyle name="Normal 9 2 2 3 7 2 2" xfId="23830" xr:uid="{79FC9833-FE93-4A33-973E-85D22B225131}"/>
    <cellStyle name="Normal 9 2 2 3 7 2 3" xfId="32276" xr:uid="{7E314EBA-854C-470E-939E-7EC89810F4E3}"/>
    <cellStyle name="Normal 9 2 2 3 7 2 4" xfId="15389" xr:uid="{0008D488-7723-4039-945F-C712ACA6FA77}"/>
    <cellStyle name="Normal 9 2 2 3 7 3" xfId="19612" xr:uid="{7AEB6A02-8A39-4ADA-89F1-1CBFDDF60D32}"/>
    <cellStyle name="Normal 9 2 2 3 7 4" xfId="28057" xr:uid="{A5A289BE-1C34-4B4B-9A31-B7177C47A6FF}"/>
    <cellStyle name="Normal 9 2 2 3 7 5" xfId="11171" xr:uid="{E334BB97-1E8F-487F-83BB-A0CB75331EAD}"/>
    <cellStyle name="Normal 9 2 2 3 8" xfId="4882" xr:uid="{00000000-0005-0000-0000-0000E51E0000}"/>
    <cellStyle name="Normal 9 2 2 3 8 2" xfId="21765" xr:uid="{37514E20-DE1E-487D-955F-5F8F27FA485C}"/>
    <cellStyle name="Normal 9 2 2 3 8 3" xfId="30211" xr:uid="{30678548-0F0E-47D9-9AF8-C17F89E4C735}"/>
    <cellStyle name="Normal 9 2 2 3 8 4" xfId="13324" xr:uid="{13ACE82D-910F-411F-AF02-D648BC216F58}"/>
    <cellStyle name="Normal 9 2 2 3 9" xfId="17547" xr:uid="{88880AEB-B0AC-43DC-8582-6205E232D72E}"/>
    <cellStyle name="Normal 9 2 2 4" xfId="519" xr:uid="{00000000-0005-0000-0000-0000E61E0000}"/>
    <cellStyle name="Normal 9 2 2 4 10" xfId="9108" xr:uid="{F239E7B6-C857-411B-9064-3E058A7182F3}"/>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24325" xr:uid="{4A2A1CC6-6511-4A85-80F7-25B7C0596D15}"/>
    <cellStyle name="Normal 9 2 2 4 2 2 2 3" xfId="32771" xr:uid="{F16B65DE-AC63-45A4-93A2-95DF4CF75582}"/>
    <cellStyle name="Normal 9 2 2 4 2 2 2 4" xfId="15884" xr:uid="{DADE91D9-B071-4053-8E31-631414693379}"/>
    <cellStyle name="Normal 9 2 2 4 2 2 3" xfId="20107" xr:uid="{722F9518-0480-4A7B-BEEA-BBEB6796ABF6}"/>
    <cellStyle name="Normal 9 2 2 4 2 2 4" xfId="28554" xr:uid="{B363F39F-E912-4EF6-8C44-C0D47E5B3EB7}"/>
    <cellStyle name="Normal 9 2 2 4 2 2 5" xfId="11666" xr:uid="{CF9F4B40-20F4-4E32-A87D-7E8EA18DCB3C}"/>
    <cellStyle name="Normal 9 2 2 4 2 3" xfId="5297" xr:uid="{00000000-0005-0000-0000-0000EA1E0000}"/>
    <cellStyle name="Normal 9 2 2 4 2 3 2" xfId="22180" xr:uid="{4E80B1AB-D681-4C39-8874-CB97FAB9F948}"/>
    <cellStyle name="Normal 9 2 2 4 2 3 3" xfId="30626" xr:uid="{A96D25A2-8E97-49E3-84B8-52999558801A}"/>
    <cellStyle name="Normal 9 2 2 4 2 3 4" xfId="13739" xr:uid="{A7C5B221-5B34-4233-8B3D-5E3103F1A201}"/>
    <cellStyle name="Normal 9 2 2 4 2 4" xfId="17962" xr:uid="{7D64CDDD-52DB-471E-BA0B-3E6D72723D17}"/>
    <cellStyle name="Normal 9 2 2 4 2 5" xfId="26407" xr:uid="{01F8402F-8B8F-4D04-87F6-79110F92E99D}"/>
    <cellStyle name="Normal 9 2 2 4 2 6" xfId="9521" xr:uid="{9A9E1169-5553-4A01-97FD-23D10AE8FDCC}"/>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24738" xr:uid="{7A4BEF84-029C-4A3B-895C-357F75C03A35}"/>
    <cellStyle name="Normal 9 2 2 4 3 2 2 3" xfId="33184" xr:uid="{F63313CF-C83A-4E51-9F88-4D21E2804923}"/>
    <cellStyle name="Normal 9 2 2 4 3 2 2 4" xfId="16297" xr:uid="{83A4D0BA-5B91-4F2D-96D6-DC0B28908A94}"/>
    <cellStyle name="Normal 9 2 2 4 3 2 3" xfId="20520" xr:uid="{04D558AB-BEA8-46E5-8AA2-92946EDC95FF}"/>
    <cellStyle name="Normal 9 2 2 4 3 2 4" xfId="28967" xr:uid="{3FDD1FE0-7D7B-44C7-8DE2-27E427B16834}"/>
    <cellStyle name="Normal 9 2 2 4 3 2 5" xfId="12079" xr:uid="{FC99A74D-12B1-4835-8298-F5361DA9D5F0}"/>
    <cellStyle name="Normal 9 2 2 4 3 3" xfId="5710" xr:uid="{00000000-0005-0000-0000-0000EE1E0000}"/>
    <cellStyle name="Normal 9 2 2 4 3 3 2" xfId="22593" xr:uid="{78C63178-490C-497E-844D-375282E18C82}"/>
    <cellStyle name="Normal 9 2 2 4 3 3 3" xfId="31039" xr:uid="{F4A254C4-1CFC-4FF0-AEA8-E22D1B91A27A}"/>
    <cellStyle name="Normal 9 2 2 4 3 3 4" xfId="14152" xr:uid="{E3C0ED51-D0E7-4686-A006-9CD12251E902}"/>
    <cellStyle name="Normal 9 2 2 4 3 4" xfId="18375" xr:uid="{7DACCE71-B9DF-47D8-94B7-03C64305211C}"/>
    <cellStyle name="Normal 9 2 2 4 3 5" xfId="26820" xr:uid="{A4C194E8-1B29-4F76-8726-6EA075A1776C}"/>
    <cellStyle name="Normal 9 2 2 4 3 6" xfId="9934" xr:uid="{2900910F-6F56-4CBF-BBCB-C57428BACB77}"/>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25151" xr:uid="{68E9113C-A17F-4A52-B2C8-1E65458F4204}"/>
    <cellStyle name="Normal 9 2 2 4 4 2 2 3" xfId="33597" xr:uid="{5F2EE02F-B6FD-40D1-B3F8-D2FBEDB952D8}"/>
    <cellStyle name="Normal 9 2 2 4 4 2 2 4" xfId="16710" xr:uid="{77C11D21-61AB-485D-BF15-55BB28194D78}"/>
    <cellStyle name="Normal 9 2 2 4 4 2 3" xfId="20933" xr:uid="{E693A740-DF4F-4E7C-AC0F-4A9130A1C461}"/>
    <cellStyle name="Normal 9 2 2 4 4 2 4" xfId="29380" xr:uid="{82F2A489-7A44-4168-B0CA-507387F684EA}"/>
    <cellStyle name="Normal 9 2 2 4 4 2 5" xfId="12492" xr:uid="{C6547C6D-2736-47A9-BA9D-01BF351FEFB1}"/>
    <cellStyle name="Normal 9 2 2 4 4 3" xfId="6123" xr:uid="{00000000-0005-0000-0000-0000F21E0000}"/>
    <cellStyle name="Normal 9 2 2 4 4 3 2" xfId="23006" xr:uid="{B438C8D2-9277-4E6F-9DD5-2938129F6B45}"/>
    <cellStyle name="Normal 9 2 2 4 4 3 3" xfId="31452" xr:uid="{0CBF0E04-F48F-4D46-B4DB-E3F6AD4E96C4}"/>
    <cellStyle name="Normal 9 2 2 4 4 3 4" xfId="14565" xr:uid="{4CC68D83-8D30-48DB-929D-F8ADA20FFCD0}"/>
    <cellStyle name="Normal 9 2 2 4 4 4" xfId="18788" xr:uid="{47390478-C547-4B93-BED2-65658264E09B}"/>
    <cellStyle name="Normal 9 2 2 4 4 5" xfId="27233" xr:uid="{8A3EAE4E-7902-4B51-A7F5-7CEA0F91E35A}"/>
    <cellStyle name="Normal 9 2 2 4 4 6" xfId="10347" xr:uid="{B621EB1D-0380-40CA-9313-56C85978958E}"/>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25564" xr:uid="{7B98311E-502E-4869-B285-D7B635E8D97B}"/>
    <cellStyle name="Normal 9 2 2 4 5 2 2 3" xfId="34010" xr:uid="{AFE2ABD2-0670-4883-9502-17BE0B882B46}"/>
    <cellStyle name="Normal 9 2 2 4 5 2 2 4" xfId="17123" xr:uid="{6B110B6B-DAF3-4B51-BA2F-F1549AFC48DE}"/>
    <cellStyle name="Normal 9 2 2 4 5 2 3" xfId="21346" xr:uid="{E18583CB-AB30-457B-9B5F-7237AEBEAC85}"/>
    <cellStyle name="Normal 9 2 2 4 5 2 4" xfId="29793" xr:uid="{9E93DADC-F2E9-4888-B4CB-3F21EDEF343A}"/>
    <cellStyle name="Normal 9 2 2 4 5 2 5" xfId="12905" xr:uid="{1870DF6A-877A-46D1-8841-519A3B771792}"/>
    <cellStyle name="Normal 9 2 2 4 5 3" xfId="6536" xr:uid="{00000000-0005-0000-0000-0000F61E0000}"/>
    <cellStyle name="Normal 9 2 2 4 5 3 2" xfId="23419" xr:uid="{9C5395BC-610B-4FFC-9C79-C45497AE283A}"/>
    <cellStyle name="Normal 9 2 2 4 5 3 3" xfId="31865" xr:uid="{00D76B29-EAE1-43E6-A475-9C51C01A44C8}"/>
    <cellStyle name="Normal 9 2 2 4 5 3 4" xfId="14978" xr:uid="{A6DF89C5-3545-438B-A494-C828BF7BB73F}"/>
    <cellStyle name="Normal 9 2 2 4 5 4" xfId="19201" xr:uid="{F42EB97E-EB70-4861-90B7-7E581205CCF8}"/>
    <cellStyle name="Normal 9 2 2 4 5 5" xfId="27646" xr:uid="{F2C432D1-81A4-4BC0-B244-BDBBCAB761D9}"/>
    <cellStyle name="Normal 9 2 2 4 5 6" xfId="10760" xr:uid="{5D30756C-A415-42DF-A4AF-5F42B0DE1F20}"/>
    <cellStyle name="Normal 9 2 2 4 6" xfId="2665" xr:uid="{00000000-0005-0000-0000-0000F71E0000}"/>
    <cellStyle name="Normal 9 2 2 4 6 2" xfId="6949" xr:uid="{00000000-0005-0000-0000-0000F81E0000}"/>
    <cellStyle name="Normal 9 2 2 4 6 2 2" xfId="23832" xr:uid="{16174763-CE00-4107-9820-3064626E5342}"/>
    <cellStyle name="Normal 9 2 2 4 6 2 3" xfId="32278" xr:uid="{5562C3E3-783E-43E4-9667-DFAA0BDBA975}"/>
    <cellStyle name="Normal 9 2 2 4 6 2 4" xfId="15391" xr:uid="{B44DE58C-AA33-4D34-8DE2-F4FAC2FDF877}"/>
    <cellStyle name="Normal 9 2 2 4 6 3" xfId="19614" xr:uid="{B0B87E44-AFEB-4B05-8515-AD250A731077}"/>
    <cellStyle name="Normal 9 2 2 4 6 4" xfId="28059" xr:uid="{514851D4-5DA6-4BBC-843A-4D0B47C2124F}"/>
    <cellStyle name="Normal 9 2 2 4 6 5" xfId="11173" xr:uid="{9016ACDE-2C57-49CB-8E2D-FC56F2974C9C}"/>
    <cellStyle name="Normal 9 2 2 4 7" xfId="4884" xr:uid="{00000000-0005-0000-0000-0000F91E0000}"/>
    <cellStyle name="Normal 9 2 2 4 7 2" xfId="21767" xr:uid="{5AF2A3B0-9F5F-4BAF-A7D8-0A0353012D18}"/>
    <cellStyle name="Normal 9 2 2 4 7 3" xfId="30213" xr:uid="{461A1415-2419-45AA-BAFF-E0E1287697D1}"/>
    <cellStyle name="Normal 9 2 2 4 7 4" xfId="13326" xr:uid="{F2546E1B-5EEB-4FE3-ACC3-0B46D487C3D6}"/>
    <cellStyle name="Normal 9 2 2 4 8" xfId="17549" xr:uid="{B66156B3-20DF-4B68-983D-10F187A84835}"/>
    <cellStyle name="Normal 9 2 2 4 9" xfId="25994" xr:uid="{1E892916-5EBF-4E51-A37A-C9A0B89382AC}"/>
    <cellStyle name="Normal 9 2 2 5" xfId="979" xr:uid="{00000000-0005-0000-0000-0000FA1E0000}"/>
    <cellStyle name="Normal 9 2 2 5 2" xfId="3212" xr:uid="{00000000-0005-0000-0000-0000FB1E0000}"/>
    <cellStyle name="Normal 9 2 2 5 2 2" xfId="7435" xr:uid="{00000000-0005-0000-0000-0000FC1E0000}"/>
    <cellStyle name="Normal 9 2 2 5 2 2 2" xfId="24318" xr:uid="{381D1B2C-1820-4518-94F7-887FC46E2017}"/>
    <cellStyle name="Normal 9 2 2 5 2 2 3" xfId="32764" xr:uid="{D39B504C-D024-42FE-AE54-F82AE1891F41}"/>
    <cellStyle name="Normal 9 2 2 5 2 2 4" xfId="15877" xr:uid="{01ABF23D-DCDC-434A-97E5-2DA6E0B0010F}"/>
    <cellStyle name="Normal 9 2 2 5 2 3" xfId="20100" xr:uid="{07842E40-099A-4A5B-8E9C-A754E303F55A}"/>
    <cellStyle name="Normal 9 2 2 5 2 4" xfId="28547" xr:uid="{20FEC5C6-6AEA-456B-92CC-411713EC74C9}"/>
    <cellStyle name="Normal 9 2 2 5 2 5" xfId="11659" xr:uid="{4F363A60-06CB-4AA7-8DB4-4A5764D2F2A5}"/>
    <cellStyle name="Normal 9 2 2 5 3" xfId="5290" xr:uid="{00000000-0005-0000-0000-0000FD1E0000}"/>
    <cellStyle name="Normal 9 2 2 5 3 2" xfId="22173" xr:uid="{B4C909F3-4077-4CE7-AF4B-AE6174D61B24}"/>
    <cellStyle name="Normal 9 2 2 5 3 3" xfId="30619" xr:uid="{809921B2-1D1F-4728-A2B4-05B54A8B422D}"/>
    <cellStyle name="Normal 9 2 2 5 3 4" xfId="13732" xr:uid="{CB1D90B2-F6E4-46A2-85BD-5DD2C4E28DE1}"/>
    <cellStyle name="Normal 9 2 2 5 4" xfId="17955" xr:uid="{8CD313FE-B215-4754-972A-E3D4E133E877}"/>
    <cellStyle name="Normal 9 2 2 5 5" xfId="26400" xr:uid="{43B48DCE-A296-4DB3-90E3-831B5054FEAF}"/>
    <cellStyle name="Normal 9 2 2 5 6" xfId="9514" xr:uid="{41745645-3EAF-409B-83E1-C3F1EABA486C}"/>
    <cellStyle name="Normal 9 2 2 6" xfId="1395" xr:uid="{00000000-0005-0000-0000-0000FE1E0000}"/>
    <cellStyle name="Normal 9 2 2 6 2" xfId="3625" xr:uid="{00000000-0005-0000-0000-0000FF1E0000}"/>
    <cellStyle name="Normal 9 2 2 6 2 2" xfId="7848" xr:uid="{00000000-0005-0000-0000-0000001F0000}"/>
    <cellStyle name="Normal 9 2 2 6 2 2 2" xfId="24731" xr:uid="{9FCDA0D0-1AE8-4237-B735-2BEB20B98FED}"/>
    <cellStyle name="Normal 9 2 2 6 2 2 3" xfId="33177" xr:uid="{EFD8F63E-192D-446A-B4F0-E8860F1B9E84}"/>
    <cellStyle name="Normal 9 2 2 6 2 2 4" xfId="16290" xr:uid="{3FD2FCFE-C6E3-401B-862C-5264CEDA429F}"/>
    <cellStyle name="Normal 9 2 2 6 2 3" xfId="20513" xr:uid="{C47808FB-C13A-4915-9715-F1736B01EA19}"/>
    <cellStyle name="Normal 9 2 2 6 2 4" xfId="28960" xr:uid="{DAFF3638-9024-461D-A7AF-8B7EE2CC8A21}"/>
    <cellStyle name="Normal 9 2 2 6 2 5" xfId="12072" xr:uid="{290A7B59-52F6-4399-A12E-78EC69B7D56B}"/>
    <cellStyle name="Normal 9 2 2 6 3" xfId="5703" xr:uid="{00000000-0005-0000-0000-0000011F0000}"/>
    <cellStyle name="Normal 9 2 2 6 3 2" xfId="22586" xr:uid="{9463155B-E5D7-4934-9FAD-1AA6EB182B17}"/>
    <cellStyle name="Normal 9 2 2 6 3 3" xfId="31032" xr:uid="{F04B06AE-1C8C-4A7D-9358-B68F9135C075}"/>
    <cellStyle name="Normal 9 2 2 6 3 4" xfId="14145" xr:uid="{0D8A63F1-F2C2-473F-8B5D-F55A6700FCE3}"/>
    <cellStyle name="Normal 9 2 2 6 4" xfId="18368" xr:uid="{8059172E-4790-45B2-AC24-5F1173976AA2}"/>
    <cellStyle name="Normal 9 2 2 6 5" xfId="26813" xr:uid="{538A979D-AAED-4D66-B200-83D960B32FDD}"/>
    <cellStyle name="Normal 9 2 2 6 6" xfId="9927" xr:uid="{24B05FD5-0473-476B-B5E7-FC0C4B3331A7}"/>
    <cellStyle name="Normal 9 2 2 7" xfId="1808" xr:uid="{00000000-0005-0000-0000-0000021F0000}"/>
    <cellStyle name="Normal 9 2 2 7 2" xfId="4038" xr:uid="{00000000-0005-0000-0000-0000031F0000}"/>
    <cellStyle name="Normal 9 2 2 7 2 2" xfId="8261" xr:uid="{00000000-0005-0000-0000-0000041F0000}"/>
    <cellStyle name="Normal 9 2 2 7 2 2 2" xfId="25144" xr:uid="{D0FDB53D-C391-4FCC-9521-7E696AF62F82}"/>
    <cellStyle name="Normal 9 2 2 7 2 2 3" xfId="33590" xr:uid="{D6051628-99DE-484D-BEF2-7CE8F0C9F79F}"/>
    <cellStyle name="Normal 9 2 2 7 2 2 4" xfId="16703" xr:uid="{62EB0B1D-9AE5-46C6-AF71-A1DFDC593BFD}"/>
    <cellStyle name="Normal 9 2 2 7 2 3" xfId="20926" xr:uid="{464078E7-BD90-405E-BAE8-B9EC69A06BF8}"/>
    <cellStyle name="Normal 9 2 2 7 2 4" xfId="29373" xr:uid="{4050589F-F705-4F82-9ACD-8BBC82129621}"/>
    <cellStyle name="Normal 9 2 2 7 2 5" xfId="12485" xr:uid="{6BBEFBB2-91D8-4E06-9EBF-9CFC8DB64740}"/>
    <cellStyle name="Normal 9 2 2 7 3" xfId="6116" xr:uid="{00000000-0005-0000-0000-0000051F0000}"/>
    <cellStyle name="Normal 9 2 2 7 3 2" xfId="22999" xr:uid="{D0409E6D-3726-4E6C-B2FB-26A9C6502649}"/>
    <cellStyle name="Normal 9 2 2 7 3 3" xfId="31445" xr:uid="{62D87DE5-E87C-4EE6-BBA6-48A482A04EAE}"/>
    <cellStyle name="Normal 9 2 2 7 3 4" xfId="14558" xr:uid="{E7F856AE-3083-42BD-B856-D307B7FACC44}"/>
    <cellStyle name="Normal 9 2 2 7 4" xfId="18781" xr:uid="{1284AF1A-7D3E-440F-913C-F38AE9B5F9D5}"/>
    <cellStyle name="Normal 9 2 2 7 5" xfId="27226" xr:uid="{AC217C58-3F15-4F8B-96CE-BB6E0FF686A8}"/>
    <cellStyle name="Normal 9 2 2 7 6" xfId="10340" xr:uid="{0082A8F4-E7A9-4B52-9D3B-47BBD358FCC9}"/>
    <cellStyle name="Normal 9 2 2 8" xfId="2222" xr:uid="{00000000-0005-0000-0000-0000061F0000}"/>
    <cellStyle name="Normal 9 2 2 8 2" xfId="4451" xr:uid="{00000000-0005-0000-0000-0000071F0000}"/>
    <cellStyle name="Normal 9 2 2 8 2 2" xfId="8674" xr:uid="{00000000-0005-0000-0000-0000081F0000}"/>
    <cellStyle name="Normal 9 2 2 8 2 2 2" xfId="25557" xr:uid="{CF1784F9-E053-4E60-8D24-8A20772D4AD7}"/>
    <cellStyle name="Normal 9 2 2 8 2 2 3" xfId="34003" xr:uid="{58CC165E-7F6E-4597-9D27-C7C8EA506ABC}"/>
    <cellStyle name="Normal 9 2 2 8 2 2 4" xfId="17116" xr:uid="{B37E90B1-2E40-42A6-B7D6-29CCBAA113CC}"/>
    <cellStyle name="Normal 9 2 2 8 2 3" xfId="21339" xr:uid="{BA5FF7E2-B71F-4647-A8B4-530196DC6130}"/>
    <cellStyle name="Normal 9 2 2 8 2 4" xfId="29786" xr:uid="{0DCC83C2-900C-4AAD-B9F9-EFFA8B8B110C}"/>
    <cellStyle name="Normal 9 2 2 8 2 5" xfId="12898" xr:uid="{B3F291E8-35F6-4A51-9F49-165C81706737}"/>
    <cellStyle name="Normal 9 2 2 8 3" xfId="6529" xr:uid="{00000000-0005-0000-0000-0000091F0000}"/>
    <cellStyle name="Normal 9 2 2 8 3 2" xfId="23412" xr:uid="{4E4491A6-46A1-41A9-9E41-F7B264854768}"/>
    <cellStyle name="Normal 9 2 2 8 3 3" xfId="31858" xr:uid="{D14B2097-0A29-4E0F-89EA-26D38336D47E}"/>
    <cellStyle name="Normal 9 2 2 8 3 4" xfId="14971" xr:uid="{E08FEE0D-5614-4E94-9D01-091BFA1C2B2E}"/>
    <cellStyle name="Normal 9 2 2 8 4" xfId="19194" xr:uid="{957ED464-6F00-4185-B011-62ACA3632DDD}"/>
    <cellStyle name="Normal 9 2 2 8 5" xfId="27639" xr:uid="{0869600F-2803-4DD1-8B03-4E007BD26CCE}"/>
    <cellStyle name="Normal 9 2 2 8 6" xfId="10753" xr:uid="{EF1F62C1-AA6C-46BF-80A8-6503EEF50FF1}"/>
    <cellStyle name="Normal 9 2 2 9" xfId="2658" xr:uid="{00000000-0005-0000-0000-00000A1F0000}"/>
    <cellStyle name="Normal 9 2 2 9 2" xfId="6942" xr:uid="{00000000-0005-0000-0000-00000B1F0000}"/>
    <cellStyle name="Normal 9 2 2 9 2 2" xfId="23825" xr:uid="{B6C19596-A66E-4FEC-AE33-172BA7D56CEF}"/>
    <cellStyle name="Normal 9 2 2 9 2 3" xfId="32271" xr:uid="{C5DD6F5B-CC41-4E1A-950B-5A4272E63A89}"/>
    <cellStyle name="Normal 9 2 2 9 2 4" xfId="15384" xr:uid="{DD6B8AB0-A822-49AC-9F11-638EB4E64045}"/>
    <cellStyle name="Normal 9 2 2 9 3" xfId="19607" xr:uid="{C9F74198-62A6-47D1-B969-B0B85BDD018E}"/>
    <cellStyle name="Normal 9 2 2 9 4" xfId="28052" xr:uid="{D117F176-01BC-48BE-B865-35EA1E9AF281}"/>
    <cellStyle name="Normal 9 2 2 9 5" xfId="11166" xr:uid="{27B99928-63D4-4EC5-A99E-D492A1043D35}"/>
    <cellStyle name="Normal 9 2 3" xfId="520" xr:uid="{00000000-0005-0000-0000-00000C1F0000}"/>
    <cellStyle name="Normal 9 2 3 10" xfId="17550" xr:uid="{29AB91A1-EC66-4336-AA5C-3F1AB8652576}"/>
    <cellStyle name="Normal 9 2 3 11" xfId="25995" xr:uid="{05E9F07F-AC5B-4454-9B92-0C9B1787C394}"/>
    <cellStyle name="Normal 9 2 3 12" xfId="9109" xr:uid="{4595FEFA-B886-42FB-A236-2728EB076CF2}"/>
    <cellStyle name="Normal 9 2 3 2" xfId="521" xr:uid="{00000000-0005-0000-0000-00000D1F0000}"/>
    <cellStyle name="Normal 9 2 3 2 10" xfId="25996" xr:uid="{B1595275-5797-4887-AAEC-2E34B2EF46AA}"/>
    <cellStyle name="Normal 9 2 3 2 11" xfId="9110" xr:uid="{BDC3006C-3AA7-42A5-8838-974EFD43E20C}"/>
    <cellStyle name="Normal 9 2 3 2 2" xfId="522" xr:uid="{00000000-0005-0000-0000-00000E1F0000}"/>
    <cellStyle name="Normal 9 2 3 2 2 10" xfId="9111" xr:uid="{6A8B22E9-0CDB-42DF-B5AD-CAF6D968223F}"/>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24328" xr:uid="{0F0BEC11-E1C4-45DC-B91C-53E1F0E1283E}"/>
    <cellStyle name="Normal 9 2 3 2 2 2 2 2 3" xfId="32774" xr:uid="{CFD1B0C2-2C65-459F-AF56-F188780997F6}"/>
    <cellStyle name="Normal 9 2 3 2 2 2 2 2 4" xfId="15887" xr:uid="{C07F0319-A06A-4A8A-8847-603BC6BC15B8}"/>
    <cellStyle name="Normal 9 2 3 2 2 2 2 3" xfId="20110" xr:uid="{E6E269DB-A3A9-4B46-87D5-E8A84D6CA231}"/>
    <cellStyle name="Normal 9 2 3 2 2 2 2 4" xfId="28557" xr:uid="{258E7913-33DE-42B4-82CE-E35BF3C744EF}"/>
    <cellStyle name="Normal 9 2 3 2 2 2 2 5" xfId="11669" xr:uid="{1540499E-8E21-4554-BD91-73096020FC35}"/>
    <cellStyle name="Normal 9 2 3 2 2 2 3" xfId="5300" xr:uid="{00000000-0005-0000-0000-0000121F0000}"/>
    <cellStyle name="Normal 9 2 3 2 2 2 3 2" xfId="22183" xr:uid="{FAC28990-3EB5-4517-AB88-72259B55829E}"/>
    <cellStyle name="Normal 9 2 3 2 2 2 3 3" xfId="30629" xr:uid="{C3F95156-7B8B-44A0-9609-E7EA6A0B56A8}"/>
    <cellStyle name="Normal 9 2 3 2 2 2 3 4" xfId="13742" xr:uid="{A96111FF-9AC9-46A7-9E52-3F0970AB2344}"/>
    <cellStyle name="Normal 9 2 3 2 2 2 4" xfId="17965" xr:uid="{1E324A75-5BA0-46CE-BA5E-41D7FCA5608B}"/>
    <cellStyle name="Normal 9 2 3 2 2 2 5" xfId="26410" xr:uid="{E62715E1-FD90-4D7C-A43A-01801712D10A}"/>
    <cellStyle name="Normal 9 2 3 2 2 2 6" xfId="9524" xr:uid="{54FB07CC-1652-4BD8-8410-8EF79945263E}"/>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24741" xr:uid="{7D08AC7A-B62E-45B5-89FC-7DB5AB912E88}"/>
    <cellStyle name="Normal 9 2 3 2 2 3 2 2 3" xfId="33187" xr:uid="{E8C54EFB-28AD-49D1-A90B-A6FBE4BC2EAB}"/>
    <cellStyle name="Normal 9 2 3 2 2 3 2 2 4" xfId="16300" xr:uid="{1C5DF1CA-E92C-49E3-A751-97951D37D496}"/>
    <cellStyle name="Normal 9 2 3 2 2 3 2 3" xfId="20523" xr:uid="{FDC5C20C-4195-467A-AD8A-AAC3830D491A}"/>
    <cellStyle name="Normal 9 2 3 2 2 3 2 4" xfId="28970" xr:uid="{1D94FF40-258A-4180-94BD-22B179067850}"/>
    <cellStyle name="Normal 9 2 3 2 2 3 2 5" xfId="12082" xr:uid="{D03D18BA-4387-461F-B4E5-0E7A3B1DB731}"/>
    <cellStyle name="Normal 9 2 3 2 2 3 3" xfId="5713" xr:uid="{00000000-0005-0000-0000-0000161F0000}"/>
    <cellStyle name="Normal 9 2 3 2 2 3 3 2" xfId="22596" xr:uid="{9CE865B1-DFF9-4D31-ADE7-CD29529824E8}"/>
    <cellStyle name="Normal 9 2 3 2 2 3 3 3" xfId="31042" xr:uid="{4D6A3E7B-C716-4DBA-ACD9-CEB6B4D72E63}"/>
    <cellStyle name="Normal 9 2 3 2 2 3 3 4" xfId="14155" xr:uid="{6C22F72D-09BB-4E3D-8D73-0F7BDEA6F9CB}"/>
    <cellStyle name="Normal 9 2 3 2 2 3 4" xfId="18378" xr:uid="{45489B6C-8C49-4F68-867D-93ED216193A6}"/>
    <cellStyle name="Normal 9 2 3 2 2 3 5" xfId="26823" xr:uid="{E6DC798D-44B2-45BE-A617-BF2C4A98837A}"/>
    <cellStyle name="Normal 9 2 3 2 2 3 6" xfId="9937" xr:uid="{7C623AEC-80D7-4CAA-9373-7B5C4105397C}"/>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25154" xr:uid="{16162BBF-3598-4685-8B03-C57B80DE3F81}"/>
    <cellStyle name="Normal 9 2 3 2 2 4 2 2 3" xfId="33600" xr:uid="{3D1F85D2-E31C-4009-BEA5-24898452845F}"/>
    <cellStyle name="Normal 9 2 3 2 2 4 2 2 4" xfId="16713" xr:uid="{6C12BC7E-7BE3-4334-8577-62B1F49C0541}"/>
    <cellStyle name="Normal 9 2 3 2 2 4 2 3" xfId="20936" xr:uid="{A193FD2C-A485-4D31-A40C-C40B7FC880DD}"/>
    <cellStyle name="Normal 9 2 3 2 2 4 2 4" xfId="29383" xr:uid="{A2DCAE01-1B9C-4DA3-8F3B-3845939D9989}"/>
    <cellStyle name="Normal 9 2 3 2 2 4 2 5" xfId="12495" xr:uid="{CF61009B-9407-4C80-8FB0-E1D49550CCE2}"/>
    <cellStyle name="Normal 9 2 3 2 2 4 3" xfId="6126" xr:uid="{00000000-0005-0000-0000-00001A1F0000}"/>
    <cellStyle name="Normal 9 2 3 2 2 4 3 2" xfId="23009" xr:uid="{432B1CD9-482B-4630-B79A-E68888E2363F}"/>
    <cellStyle name="Normal 9 2 3 2 2 4 3 3" xfId="31455" xr:uid="{BAA48F66-10C9-42AC-A44C-1CC309FF39BA}"/>
    <cellStyle name="Normal 9 2 3 2 2 4 3 4" xfId="14568" xr:uid="{CD376D6F-B1BC-4AD4-B1C2-DE3459729862}"/>
    <cellStyle name="Normal 9 2 3 2 2 4 4" xfId="18791" xr:uid="{D527C1BA-8205-43FA-84D0-F655F6DFB8D7}"/>
    <cellStyle name="Normal 9 2 3 2 2 4 5" xfId="27236" xr:uid="{E5D61D8B-2876-4511-85A8-76C412199196}"/>
    <cellStyle name="Normal 9 2 3 2 2 4 6" xfId="10350" xr:uid="{691D54E7-B46E-4155-8A21-4C70506EB0AA}"/>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25567" xr:uid="{AF40730E-3BE4-46BC-856C-C2E14614FE61}"/>
    <cellStyle name="Normal 9 2 3 2 2 5 2 2 3" xfId="34013" xr:uid="{95C2F01A-C1E3-41A7-BAD6-715E6F497CD8}"/>
    <cellStyle name="Normal 9 2 3 2 2 5 2 2 4" xfId="17126" xr:uid="{EF934D0F-9264-468F-81BF-F9AE7933B166}"/>
    <cellStyle name="Normal 9 2 3 2 2 5 2 3" xfId="21349" xr:uid="{774E7451-1577-4C27-8A0E-A43F4EE56ED3}"/>
    <cellStyle name="Normal 9 2 3 2 2 5 2 4" xfId="29796" xr:uid="{BB95F610-737B-4291-AD14-A241B0DD6D48}"/>
    <cellStyle name="Normal 9 2 3 2 2 5 2 5" xfId="12908" xr:uid="{3A7C04B4-5EA7-4E2E-8987-47593DA4B721}"/>
    <cellStyle name="Normal 9 2 3 2 2 5 3" xfId="6539" xr:uid="{00000000-0005-0000-0000-00001E1F0000}"/>
    <cellStyle name="Normal 9 2 3 2 2 5 3 2" xfId="23422" xr:uid="{28995A41-3BC2-411F-AFFD-6096668BB57E}"/>
    <cellStyle name="Normal 9 2 3 2 2 5 3 3" xfId="31868" xr:uid="{7F0CC740-9D6B-4D6B-BD95-C44D64CFD491}"/>
    <cellStyle name="Normal 9 2 3 2 2 5 3 4" xfId="14981" xr:uid="{85C771D3-2286-4F87-AD1A-558A69CC204D}"/>
    <cellStyle name="Normal 9 2 3 2 2 5 4" xfId="19204" xr:uid="{EA5B9704-B6DD-4387-89BF-4446406BADCE}"/>
    <cellStyle name="Normal 9 2 3 2 2 5 5" xfId="27649" xr:uid="{ECE5EBDD-A96E-4FF0-A5B2-BF293C780853}"/>
    <cellStyle name="Normal 9 2 3 2 2 5 6" xfId="10763" xr:uid="{F85C1F16-FC7E-4FDD-83A3-CD43ED48AE79}"/>
    <cellStyle name="Normal 9 2 3 2 2 6" xfId="2668" xr:uid="{00000000-0005-0000-0000-00001F1F0000}"/>
    <cellStyle name="Normal 9 2 3 2 2 6 2" xfId="6952" xr:uid="{00000000-0005-0000-0000-0000201F0000}"/>
    <cellStyle name="Normal 9 2 3 2 2 6 2 2" xfId="23835" xr:uid="{BAC45B38-72D6-47CE-96DE-BD9C00B631EF}"/>
    <cellStyle name="Normal 9 2 3 2 2 6 2 3" xfId="32281" xr:uid="{9E85006C-968B-476D-BB1A-170A0EA50389}"/>
    <cellStyle name="Normal 9 2 3 2 2 6 2 4" xfId="15394" xr:uid="{0EC181DD-0EBC-4F48-88A1-2D98D765A018}"/>
    <cellStyle name="Normal 9 2 3 2 2 6 3" xfId="19617" xr:uid="{9A41C268-A799-46D6-A049-EA670A235725}"/>
    <cellStyle name="Normal 9 2 3 2 2 6 4" xfId="28062" xr:uid="{19BDEF70-C4C0-4530-B8B4-8ACE2E5A12FA}"/>
    <cellStyle name="Normal 9 2 3 2 2 6 5" xfId="11176" xr:uid="{8B8FCF8C-FC4F-4B88-BB09-25437A5692EE}"/>
    <cellStyle name="Normal 9 2 3 2 2 7" xfId="4887" xr:uid="{00000000-0005-0000-0000-0000211F0000}"/>
    <cellStyle name="Normal 9 2 3 2 2 7 2" xfId="21770" xr:uid="{4ED334F6-F69C-4BF9-9828-CD767F8E33CC}"/>
    <cellStyle name="Normal 9 2 3 2 2 7 3" xfId="30216" xr:uid="{15D9B101-1C50-472B-8E2A-3DA8503E772D}"/>
    <cellStyle name="Normal 9 2 3 2 2 7 4" xfId="13329" xr:uid="{11E90FC2-1793-42D6-9DAD-3A5745957E92}"/>
    <cellStyle name="Normal 9 2 3 2 2 8" xfId="17552" xr:uid="{5801AE67-9B48-4846-99F0-C915CFA12B1E}"/>
    <cellStyle name="Normal 9 2 3 2 2 9" xfId="25997" xr:uid="{22029065-7360-46DB-8EA1-639E3AFDB4E1}"/>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24327" xr:uid="{CD0027E4-1A62-42A2-A5F1-8C0145376C6A}"/>
    <cellStyle name="Normal 9 2 3 2 3 2 2 3" xfId="32773" xr:uid="{1D935EA9-14BB-48EF-8867-DA4882D65A9D}"/>
    <cellStyle name="Normal 9 2 3 2 3 2 2 4" xfId="15886" xr:uid="{EAC4CECC-2388-45D8-8208-107F5FBA8F86}"/>
    <cellStyle name="Normal 9 2 3 2 3 2 3" xfId="20109" xr:uid="{A64D7AD9-8A87-4E8F-A88E-20B97E8BA154}"/>
    <cellStyle name="Normal 9 2 3 2 3 2 4" xfId="28556" xr:uid="{006B1BF5-B56F-457D-94E6-91B251B6079F}"/>
    <cellStyle name="Normal 9 2 3 2 3 2 5" xfId="11668" xr:uid="{8AF27EDD-8B97-4162-9C1D-7E797F8FDDD9}"/>
    <cellStyle name="Normal 9 2 3 2 3 3" xfId="5299" xr:uid="{00000000-0005-0000-0000-0000251F0000}"/>
    <cellStyle name="Normal 9 2 3 2 3 3 2" xfId="22182" xr:uid="{62A684BC-8772-4581-8AAC-3805AEE857F0}"/>
    <cellStyle name="Normal 9 2 3 2 3 3 3" xfId="30628" xr:uid="{139D9B75-EC59-418E-9516-C1DED7265B7A}"/>
    <cellStyle name="Normal 9 2 3 2 3 3 4" xfId="13741" xr:uid="{AA28DB7A-FA3F-44C4-8EE0-A211FAB87942}"/>
    <cellStyle name="Normal 9 2 3 2 3 4" xfId="17964" xr:uid="{ED0767C8-C93E-4114-852C-E979F061D0E3}"/>
    <cellStyle name="Normal 9 2 3 2 3 5" xfId="26409" xr:uid="{0D58F8C5-00D6-49E9-84EE-01AC96C0472B}"/>
    <cellStyle name="Normal 9 2 3 2 3 6" xfId="9523" xr:uid="{74E1E152-5B89-4408-B0D9-A34715379DE4}"/>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24740" xr:uid="{6CCB4955-1427-4879-A78A-FE9A83CB99C6}"/>
    <cellStyle name="Normal 9 2 3 2 4 2 2 3" xfId="33186" xr:uid="{DA544F44-977F-439E-AAEC-FFE99B8CA2F7}"/>
    <cellStyle name="Normal 9 2 3 2 4 2 2 4" xfId="16299" xr:uid="{8AF0408A-E785-4E03-AA02-EAF87F958921}"/>
    <cellStyle name="Normal 9 2 3 2 4 2 3" xfId="20522" xr:uid="{6B599FB6-EA20-46C0-9CBA-F07BEA196CDA}"/>
    <cellStyle name="Normal 9 2 3 2 4 2 4" xfId="28969" xr:uid="{5351EE31-443A-4214-B4A5-E57A12175DBD}"/>
    <cellStyle name="Normal 9 2 3 2 4 2 5" xfId="12081" xr:uid="{C186DD31-2324-4F1E-A3FE-88F46798747E}"/>
    <cellStyle name="Normal 9 2 3 2 4 3" xfId="5712" xr:uid="{00000000-0005-0000-0000-0000291F0000}"/>
    <cellStyle name="Normal 9 2 3 2 4 3 2" xfId="22595" xr:uid="{27348E77-965E-4DC8-B303-D10F799440F9}"/>
    <cellStyle name="Normal 9 2 3 2 4 3 3" xfId="31041" xr:uid="{14CD472B-DA73-4B44-A43D-A603226FAD1C}"/>
    <cellStyle name="Normal 9 2 3 2 4 3 4" xfId="14154" xr:uid="{C014CB87-49C7-4A01-AEF3-19445E610BE8}"/>
    <cellStyle name="Normal 9 2 3 2 4 4" xfId="18377" xr:uid="{04950729-8634-47F3-A98E-2E56613CF874}"/>
    <cellStyle name="Normal 9 2 3 2 4 5" xfId="26822" xr:uid="{CBA25CE9-AFF9-40FB-AD0F-0DD6732AFF9E}"/>
    <cellStyle name="Normal 9 2 3 2 4 6" xfId="9936" xr:uid="{D6799972-8C0F-462F-AC53-3B8612DD5FEC}"/>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25153" xr:uid="{D050554A-57CD-4F97-B1F4-E716A27C5F55}"/>
    <cellStyle name="Normal 9 2 3 2 5 2 2 3" xfId="33599" xr:uid="{435ACC4E-D673-4F56-872D-051723BB5259}"/>
    <cellStyle name="Normal 9 2 3 2 5 2 2 4" xfId="16712" xr:uid="{0AB95861-8159-4AA0-83CC-D7C1231062BF}"/>
    <cellStyle name="Normal 9 2 3 2 5 2 3" xfId="20935" xr:uid="{1A244C8D-5E37-411C-91BD-F5B8B485EB60}"/>
    <cellStyle name="Normal 9 2 3 2 5 2 4" xfId="29382" xr:uid="{387269AC-A8FF-430A-BC79-685CB1AE952B}"/>
    <cellStyle name="Normal 9 2 3 2 5 2 5" xfId="12494" xr:uid="{8ED02571-5095-4F57-AF53-E4611E50F398}"/>
    <cellStyle name="Normal 9 2 3 2 5 3" xfId="6125" xr:uid="{00000000-0005-0000-0000-00002D1F0000}"/>
    <cellStyle name="Normal 9 2 3 2 5 3 2" xfId="23008" xr:uid="{78598F99-C886-4C7F-B94D-3A4F9C9AC37C}"/>
    <cellStyle name="Normal 9 2 3 2 5 3 3" xfId="31454" xr:uid="{641FCDCD-7969-485A-B799-4F1D9B6F899E}"/>
    <cellStyle name="Normal 9 2 3 2 5 3 4" xfId="14567" xr:uid="{33E8785A-1540-4F2F-BE90-C90285AC6290}"/>
    <cellStyle name="Normal 9 2 3 2 5 4" xfId="18790" xr:uid="{FD2808E1-C49B-4C0F-AD4D-1D68770A867B}"/>
    <cellStyle name="Normal 9 2 3 2 5 5" xfId="27235" xr:uid="{D74596DE-D641-48DB-95F0-A024856B86F1}"/>
    <cellStyle name="Normal 9 2 3 2 5 6" xfId="10349" xr:uid="{5E05F49A-510A-465F-B063-AF296A7655D6}"/>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25566" xr:uid="{1A364117-6705-4913-8CBC-02F7E13F93E2}"/>
    <cellStyle name="Normal 9 2 3 2 6 2 2 3" xfId="34012" xr:uid="{CA5294EE-D890-4187-B5E8-4D665606B4A6}"/>
    <cellStyle name="Normal 9 2 3 2 6 2 2 4" xfId="17125" xr:uid="{FED4CE5F-24EC-4711-9811-3C48378144AF}"/>
    <cellStyle name="Normal 9 2 3 2 6 2 3" xfId="21348" xr:uid="{C004C4D0-04C4-4F9E-9DAA-63704448454D}"/>
    <cellStyle name="Normal 9 2 3 2 6 2 4" xfId="29795" xr:uid="{5A98480C-1950-4F7A-9260-74388B8A7934}"/>
    <cellStyle name="Normal 9 2 3 2 6 2 5" xfId="12907" xr:uid="{CC20A9DC-BBE8-434E-8A61-8D9DE96A1AB6}"/>
    <cellStyle name="Normal 9 2 3 2 6 3" xfId="6538" xr:uid="{00000000-0005-0000-0000-0000311F0000}"/>
    <cellStyle name="Normal 9 2 3 2 6 3 2" xfId="23421" xr:uid="{B29E4DC6-899F-4D44-B3CD-4379265007E5}"/>
    <cellStyle name="Normal 9 2 3 2 6 3 3" xfId="31867" xr:uid="{B05E62FE-FB7D-4D0B-8EFE-59F9898C1E36}"/>
    <cellStyle name="Normal 9 2 3 2 6 3 4" xfId="14980" xr:uid="{62B6B079-E4EA-4988-871C-D3DDC3B6F85F}"/>
    <cellStyle name="Normal 9 2 3 2 6 4" xfId="19203" xr:uid="{9F94458F-67DC-4457-8644-F653843E4850}"/>
    <cellStyle name="Normal 9 2 3 2 6 5" xfId="27648" xr:uid="{BEF34536-03BF-40DB-95F7-7D888B973A38}"/>
    <cellStyle name="Normal 9 2 3 2 6 6" xfId="10762" xr:uid="{379386EA-A789-4744-90DB-855D122235B2}"/>
    <cellStyle name="Normal 9 2 3 2 7" xfId="2667" xr:uid="{00000000-0005-0000-0000-0000321F0000}"/>
    <cellStyle name="Normal 9 2 3 2 7 2" xfId="6951" xr:uid="{00000000-0005-0000-0000-0000331F0000}"/>
    <cellStyle name="Normal 9 2 3 2 7 2 2" xfId="23834" xr:uid="{BB28666D-7D9B-440B-8AD2-B23EF98C6FBD}"/>
    <cellStyle name="Normal 9 2 3 2 7 2 3" xfId="32280" xr:uid="{8C86B8F9-1124-478D-AA11-2236F04E10F4}"/>
    <cellStyle name="Normal 9 2 3 2 7 2 4" xfId="15393" xr:uid="{B2E8F90B-379A-47C3-8181-E0AFBCCCA35B}"/>
    <cellStyle name="Normal 9 2 3 2 7 3" xfId="19616" xr:uid="{8260170A-FB0D-4BDA-B7AB-77DDBC7C9E09}"/>
    <cellStyle name="Normal 9 2 3 2 7 4" xfId="28061" xr:uid="{6BCC1870-CD2E-47AA-9CF4-022A78BB86B2}"/>
    <cellStyle name="Normal 9 2 3 2 7 5" xfId="11175" xr:uid="{66D1E354-CD85-46E1-9D5C-E016A0792751}"/>
    <cellStyle name="Normal 9 2 3 2 8" xfId="4886" xr:uid="{00000000-0005-0000-0000-0000341F0000}"/>
    <cellStyle name="Normal 9 2 3 2 8 2" xfId="21769" xr:uid="{B739FAFF-D193-49F9-8F4E-68DE34950F1B}"/>
    <cellStyle name="Normal 9 2 3 2 8 3" xfId="30215" xr:uid="{AE6AC21A-850F-4890-B64A-EB6F85062BEC}"/>
    <cellStyle name="Normal 9 2 3 2 8 4" xfId="13328" xr:uid="{1B3A4E5D-4F45-4AC6-8E3B-6C1E60E6247A}"/>
    <cellStyle name="Normal 9 2 3 2 9" xfId="17551" xr:uid="{57316404-8FC4-4B57-859B-191290DA93BF}"/>
    <cellStyle name="Normal 9 2 3 3" xfId="523" xr:uid="{00000000-0005-0000-0000-0000351F0000}"/>
    <cellStyle name="Normal 9 2 3 3 10" xfId="9112" xr:uid="{12ADA3DD-AB70-4AF0-BD45-CBC099C466F1}"/>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24329" xr:uid="{257AC503-DDF0-427E-8D15-468C9102171F}"/>
    <cellStyle name="Normal 9 2 3 3 2 2 2 3" xfId="32775" xr:uid="{A6B160B9-FD63-4EE1-924F-50398B1FD913}"/>
    <cellStyle name="Normal 9 2 3 3 2 2 2 4" xfId="15888" xr:uid="{F652733B-09F1-46BA-8100-C1E4A6B041E7}"/>
    <cellStyle name="Normal 9 2 3 3 2 2 3" xfId="20111" xr:uid="{D2FB65B8-5924-4A7A-8EFC-30D31A1E6BC5}"/>
    <cellStyle name="Normal 9 2 3 3 2 2 4" xfId="28558" xr:uid="{856A3963-58A1-4CD4-B30E-1DECBE968308}"/>
    <cellStyle name="Normal 9 2 3 3 2 2 5" xfId="11670" xr:uid="{B8509656-3D27-402C-A872-8559E75C2509}"/>
    <cellStyle name="Normal 9 2 3 3 2 3" xfId="5301" xr:uid="{00000000-0005-0000-0000-0000391F0000}"/>
    <cellStyle name="Normal 9 2 3 3 2 3 2" xfId="22184" xr:uid="{C7B9BAD0-EA64-402F-8B23-BEE55A5A251D}"/>
    <cellStyle name="Normal 9 2 3 3 2 3 3" xfId="30630" xr:uid="{CFE34FBC-E0BC-4DD5-BC63-15DC9DCEEE04}"/>
    <cellStyle name="Normal 9 2 3 3 2 3 4" xfId="13743" xr:uid="{34A2A5D6-7FBB-4E6F-B113-CB6AC68C8D33}"/>
    <cellStyle name="Normal 9 2 3 3 2 4" xfId="17966" xr:uid="{FC025157-8707-459A-91BD-EFA65EA8BBEA}"/>
    <cellStyle name="Normal 9 2 3 3 2 5" xfId="26411" xr:uid="{05B90701-5261-4CB3-8DDB-5BC026C49873}"/>
    <cellStyle name="Normal 9 2 3 3 2 6" xfId="9525" xr:uid="{371F1500-3CE5-42BD-BD98-67A5BAC60655}"/>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24742" xr:uid="{6C95F5F0-E642-4E0F-B30C-BCC98ADDA334}"/>
    <cellStyle name="Normal 9 2 3 3 3 2 2 3" xfId="33188" xr:uid="{267DD2F6-12C3-466B-A473-6617538D7A7A}"/>
    <cellStyle name="Normal 9 2 3 3 3 2 2 4" xfId="16301" xr:uid="{7FE5EDAA-201D-44F9-BE72-C65DE2834896}"/>
    <cellStyle name="Normal 9 2 3 3 3 2 3" xfId="20524" xr:uid="{2142A1A3-4AF2-49EE-8396-C93CA574C843}"/>
    <cellStyle name="Normal 9 2 3 3 3 2 4" xfId="28971" xr:uid="{99080FF7-6343-4F95-9486-FB9E1C0E2859}"/>
    <cellStyle name="Normal 9 2 3 3 3 2 5" xfId="12083" xr:uid="{31011D57-A186-4D3E-9334-B340F88D6EDE}"/>
    <cellStyle name="Normal 9 2 3 3 3 3" xfId="5714" xr:uid="{00000000-0005-0000-0000-00003D1F0000}"/>
    <cellStyle name="Normal 9 2 3 3 3 3 2" xfId="22597" xr:uid="{C5C49305-566E-4BC9-81E7-A435C5108AE1}"/>
    <cellStyle name="Normal 9 2 3 3 3 3 3" xfId="31043" xr:uid="{489BA372-9B50-4B56-BC7E-ADE9762DCFA1}"/>
    <cellStyle name="Normal 9 2 3 3 3 3 4" xfId="14156" xr:uid="{CF7EEA5F-6365-4539-B78B-DB050E305017}"/>
    <cellStyle name="Normal 9 2 3 3 3 4" xfId="18379" xr:uid="{C0BE495F-3F4C-460E-817E-60AA52E155E7}"/>
    <cellStyle name="Normal 9 2 3 3 3 5" xfId="26824" xr:uid="{F317FA97-2610-4333-9C31-05C9B394B5FC}"/>
    <cellStyle name="Normal 9 2 3 3 3 6" xfId="9938" xr:uid="{F2EF90DF-E852-4DA5-A0DF-AC9D8B50AFE9}"/>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25155" xr:uid="{2A60B7D6-54C3-43F9-911F-126B74223F5D}"/>
    <cellStyle name="Normal 9 2 3 3 4 2 2 3" xfId="33601" xr:uid="{804A12DA-C236-450D-8D56-3AA8AE66582F}"/>
    <cellStyle name="Normal 9 2 3 3 4 2 2 4" xfId="16714" xr:uid="{7D1C8F18-B166-4395-801D-D874070C5A44}"/>
    <cellStyle name="Normal 9 2 3 3 4 2 3" xfId="20937" xr:uid="{EBA3C9B5-11DB-4CCA-971E-33381EBC87BE}"/>
    <cellStyle name="Normal 9 2 3 3 4 2 4" xfId="29384" xr:uid="{FC578564-45A4-41B2-9DC7-6440E96781B1}"/>
    <cellStyle name="Normal 9 2 3 3 4 2 5" xfId="12496" xr:uid="{FC117C0F-C6B9-4BBC-B02D-A07BC15645AC}"/>
    <cellStyle name="Normal 9 2 3 3 4 3" xfId="6127" xr:uid="{00000000-0005-0000-0000-0000411F0000}"/>
    <cellStyle name="Normal 9 2 3 3 4 3 2" xfId="23010" xr:uid="{7D44ECAA-A9D9-47DD-A82E-1D4B87176237}"/>
    <cellStyle name="Normal 9 2 3 3 4 3 3" xfId="31456" xr:uid="{B633EC6A-50C5-4910-AC9B-06FF03652060}"/>
    <cellStyle name="Normal 9 2 3 3 4 3 4" xfId="14569" xr:uid="{BE9041FA-802D-42EA-9C20-E94C004D91E2}"/>
    <cellStyle name="Normal 9 2 3 3 4 4" xfId="18792" xr:uid="{025CEE8D-79A5-4382-BDEF-2FBACF2DF27F}"/>
    <cellStyle name="Normal 9 2 3 3 4 5" xfId="27237" xr:uid="{6F87B55B-D30C-48A4-8C0D-E05B6C2B026B}"/>
    <cellStyle name="Normal 9 2 3 3 4 6" xfId="10351" xr:uid="{8E1F7EBA-A0D3-44F9-ABEE-A2EB97CB386B}"/>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25568" xr:uid="{69475ADD-385B-41BC-9432-E8C608557B91}"/>
    <cellStyle name="Normal 9 2 3 3 5 2 2 3" xfId="34014" xr:uid="{0A3C1BAB-931C-4EA1-AB45-23E61B64B94C}"/>
    <cellStyle name="Normal 9 2 3 3 5 2 2 4" xfId="17127" xr:uid="{857E7579-76D7-427A-BC57-C9B5D6CD632F}"/>
    <cellStyle name="Normal 9 2 3 3 5 2 3" xfId="21350" xr:uid="{DCB80972-5FB4-4D1C-B1FA-F53DA51C8E46}"/>
    <cellStyle name="Normal 9 2 3 3 5 2 4" xfId="29797" xr:uid="{7041EB23-4EDE-4A87-97C9-B3DCEF004DA9}"/>
    <cellStyle name="Normal 9 2 3 3 5 2 5" xfId="12909" xr:uid="{D0BF2EFE-D0D2-4DB2-A2BC-E12432BD5925}"/>
    <cellStyle name="Normal 9 2 3 3 5 3" xfId="6540" xr:uid="{00000000-0005-0000-0000-0000451F0000}"/>
    <cellStyle name="Normal 9 2 3 3 5 3 2" xfId="23423" xr:uid="{9E54168C-D69A-4EE5-8E48-B30168FE235E}"/>
    <cellStyle name="Normal 9 2 3 3 5 3 3" xfId="31869" xr:uid="{16E27E1B-57CA-4248-BECB-459D658CB679}"/>
    <cellStyle name="Normal 9 2 3 3 5 3 4" xfId="14982" xr:uid="{8DC400D1-A52D-42C9-B030-10C315D075B6}"/>
    <cellStyle name="Normal 9 2 3 3 5 4" xfId="19205" xr:uid="{64423492-B018-4D66-9837-0A11FF7F7BDA}"/>
    <cellStyle name="Normal 9 2 3 3 5 5" xfId="27650" xr:uid="{B426BE8A-3619-4B11-9D23-3C4B84C652D1}"/>
    <cellStyle name="Normal 9 2 3 3 5 6" xfId="10764" xr:uid="{5140DC16-08E9-4769-9AFB-F0D5C8113758}"/>
    <cellStyle name="Normal 9 2 3 3 6" xfId="2669" xr:uid="{00000000-0005-0000-0000-0000461F0000}"/>
    <cellStyle name="Normal 9 2 3 3 6 2" xfId="6953" xr:uid="{00000000-0005-0000-0000-0000471F0000}"/>
    <cellStyle name="Normal 9 2 3 3 6 2 2" xfId="23836" xr:uid="{CC21C04A-60F2-4B21-A7A7-CE2CB2B559CA}"/>
    <cellStyle name="Normal 9 2 3 3 6 2 3" xfId="32282" xr:uid="{DB8F4197-11CD-4420-A584-93EE420D023C}"/>
    <cellStyle name="Normal 9 2 3 3 6 2 4" xfId="15395" xr:uid="{1B351469-3F72-48E8-B146-9EB0722C4E71}"/>
    <cellStyle name="Normal 9 2 3 3 6 3" xfId="19618" xr:uid="{A4C2087C-A240-495B-85B7-DA43C7D416E0}"/>
    <cellStyle name="Normal 9 2 3 3 6 4" xfId="28063" xr:uid="{BBF1A9CD-9659-4474-BDC8-8FE4D88EBEA5}"/>
    <cellStyle name="Normal 9 2 3 3 6 5" xfId="11177" xr:uid="{F705A339-069A-4384-9098-8E39A2B71F9C}"/>
    <cellStyle name="Normal 9 2 3 3 7" xfId="4888" xr:uid="{00000000-0005-0000-0000-0000481F0000}"/>
    <cellStyle name="Normal 9 2 3 3 7 2" xfId="21771" xr:uid="{7E54447E-A929-44ED-9F1D-CE563516693C}"/>
    <cellStyle name="Normal 9 2 3 3 7 3" xfId="30217" xr:uid="{D9D19487-494B-45FA-B22A-43CB06010846}"/>
    <cellStyle name="Normal 9 2 3 3 7 4" xfId="13330" xr:uid="{D27F1EA7-5BBB-4FD3-99AB-47F3071CA047}"/>
    <cellStyle name="Normal 9 2 3 3 8" xfId="17553" xr:uid="{A8A5B885-91D1-44B5-A0BB-5FF0A28B2759}"/>
    <cellStyle name="Normal 9 2 3 3 9" xfId="25998" xr:uid="{50480E06-7D1E-4C7D-8610-B7EC2D1A3400}"/>
    <cellStyle name="Normal 9 2 3 4" xfId="987" xr:uid="{00000000-0005-0000-0000-0000491F0000}"/>
    <cellStyle name="Normal 9 2 3 4 2" xfId="3220" xr:uid="{00000000-0005-0000-0000-00004A1F0000}"/>
    <cellStyle name="Normal 9 2 3 4 2 2" xfId="7443" xr:uid="{00000000-0005-0000-0000-00004B1F0000}"/>
    <cellStyle name="Normal 9 2 3 4 2 2 2" xfId="24326" xr:uid="{BE23EE43-32EC-494F-B871-68A05FA93953}"/>
    <cellStyle name="Normal 9 2 3 4 2 2 3" xfId="32772" xr:uid="{8B991ECA-084D-4817-88F9-4C3483D6BF37}"/>
    <cellStyle name="Normal 9 2 3 4 2 2 4" xfId="15885" xr:uid="{37A6E7D2-612C-42A2-B78A-6A04EC47B63A}"/>
    <cellStyle name="Normal 9 2 3 4 2 3" xfId="20108" xr:uid="{0F4972D1-A22C-49AA-8456-C0BFD2850D27}"/>
    <cellStyle name="Normal 9 2 3 4 2 4" xfId="28555" xr:uid="{7DF7E4FF-BCE5-4F97-BE7F-48F3702218AE}"/>
    <cellStyle name="Normal 9 2 3 4 2 5" xfId="11667" xr:uid="{442D4024-12BC-46DB-88C3-C5543D2F037B}"/>
    <cellStyle name="Normal 9 2 3 4 3" xfId="5298" xr:uid="{00000000-0005-0000-0000-00004C1F0000}"/>
    <cellStyle name="Normal 9 2 3 4 3 2" xfId="22181" xr:uid="{C62AFA28-1702-4313-BFF3-8DA85AC47C23}"/>
    <cellStyle name="Normal 9 2 3 4 3 3" xfId="30627" xr:uid="{D31B5FA9-5036-4DE1-A237-8B46E9B0A5B6}"/>
    <cellStyle name="Normal 9 2 3 4 3 4" xfId="13740" xr:uid="{BF241CDA-840E-429F-985B-78E693A52E8B}"/>
    <cellStyle name="Normal 9 2 3 4 4" xfId="17963" xr:uid="{AAF81A42-ABEF-40A8-B394-29DA4D7193D4}"/>
    <cellStyle name="Normal 9 2 3 4 5" xfId="26408" xr:uid="{6FE23C61-6EA7-489C-B5E6-3FEBE9EE3412}"/>
    <cellStyle name="Normal 9 2 3 4 6" xfId="9522" xr:uid="{CA14E48F-1A2F-440E-BC86-6EA74D5FBE1A}"/>
    <cellStyle name="Normal 9 2 3 5" xfId="1403" xr:uid="{00000000-0005-0000-0000-00004D1F0000}"/>
    <cellStyle name="Normal 9 2 3 5 2" xfId="3633" xr:uid="{00000000-0005-0000-0000-00004E1F0000}"/>
    <cellStyle name="Normal 9 2 3 5 2 2" xfId="7856" xr:uid="{00000000-0005-0000-0000-00004F1F0000}"/>
    <cellStyle name="Normal 9 2 3 5 2 2 2" xfId="24739" xr:uid="{069D29B4-769B-4B20-8126-EEDD44BC0B0E}"/>
    <cellStyle name="Normal 9 2 3 5 2 2 3" xfId="33185" xr:uid="{D77CBE2F-ACAB-4E0C-88E7-2C36B46C7D90}"/>
    <cellStyle name="Normal 9 2 3 5 2 2 4" xfId="16298" xr:uid="{173DE5CC-8990-4208-BF64-3C30D1D9127E}"/>
    <cellStyle name="Normal 9 2 3 5 2 3" xfId="20521" xr:uid="{BC528A8E-FF57-4FDD-8C4C-5F8AEEB6625C}"/>
    <cellStyle name="Normal 9 2 3 5 2 4" xfId="28968" xr:uid="{E4D5B297-819B-47D2-97D2-34C5D38AC8D5}"/>
    <cellStyle name="Normal 9 2 3 5 2 5" xfId="12080" xr:uid="{3120E154-FABD-49AE-A5D8-1F7430940567}"/>
    <cellStyle name="Normal 9 2 3 5 3" xfId="5711" xr:uid="{00000000-0005-0000-0000-0000501F0000}"/>
    <cellStyle name="Normal 9 2 3 5 3 2" xfId="22594" xr:uid="{2E9F9E51-4E8F-460A-A336-AAC8062BAFFE}"/>
    <cellStyle name="Normal 9 2 3 5 3 3" xfId="31040" xr:uid="{58968A12-F84F-4E5C-80AC-A6C52607E63C}"/>
    <cellStyle name="Normal 9 2 3 5 3 4" xfId="14153" xr:uid="{161E14DB-AB96-4462-93C8-80F1385C9B3A}"/>
    <cellStyle name="Normal 9 2 3 5 4" xfId="18376" xr:uid="{B08F1E64-672B-4765-B7EF-10F4AD072408}"/>
    <cellStyle name="Normal 9 2 3 5 5" xfId="26821" xr:uid="{25EE0361-665D-4E0B-BCCE-0926CC8E2F96}"/>
    <cellStyle name="Normal 9 2 3 5 6" xfId="9935" xr:uid="{0963D29D-E1BD-4529-BAEF-925006E31EA8}"/>
    <cellStyle name="Normal 9 2 3 6" xfId="1816" xr:uid="{00000000-0005-0000-0000-0000511F0000}"/>
    <cellStyle name="Normal 9 2 3 6 2" xfId="4046" xr:uid="{00000000-0005-0000-0000-0000521F0000}"/>
    <cellStyle name="Normal 9 2 3 6 2 2" xfId="8269" xr:uid="{00000000-0005-0000-0000-0000531F0000}"/>
    <cellStyle name="Normal 9 2 3 6 2 2 2" xfId="25152" xr:uid="{A3979966-A866-4FE4-86E8-E13D38F5512E}"/>
    <cellStyle name="Normal 9 2 3 6 2 2 3" xfId="33598" xr:uid="{800B7939-92D9-4FF8-92BE-20A4B8E400E5}"/>
    <cellStyle name="Normal 9 2 3 6 2 2 4" xfId="16711" xr:uid="{625DD5DC-3A09-44E1-BE56-C7F51CB9FE6C}"/>
    <cellStyle name="Normal 9 2 3 6 2 3" xfId="20934" xr:uid="{4BD61B5E-9A5A-4F80-9724-7036D697454B}"/>
    <cellStyle name="Normal 9 2 3 6 2 4" xfId="29381" xr:uid="{9D00D6AF-6806-4D72-9B70-EAF5E67C565F}"/>
    <cellStyle name="Normal 9 2 3 6 2 5" xfId="12493" xr:uid="{88E0C975-ED98-4349-A7BF-D685D084D6C6}"/>
    <cellStyle name="Normal 9 2 3 6 3" xfId="6124" xr:uid="{00000000-0005-0000-0000-0000541F0000}"/>
    <cellStyle name="Normal 9 2 3 6 3 2" xfId="23007" xr:uid="{D0D69C0D-ED42-455B-B54F-4753118EA131}"/>
    <cellStyle name="Normal 9 2 3 6 3 3" xfId="31453" xr:uid="{CAAF1FA5-267E-4D38-8230-35F7783BD061}"/>
    <cellStyle name="Normal 9 2 3 6 3 4" xfId="14566" xr:uid="{6BE0214E-F5CC-4B08-B374-2463807F3BAD}"/>
    <cellStyle name="Normal 9 2 3 6 4" xfId="18789" xr:uid="{D70CA84F-3E55-4808-84B9-8B553E805D09}"/>
    <cellStyle name="Normal 9 2 3 6 5" xfId="27234" xr:uid="{9BF7A549-2974-4CD1-BB95-DD99B2A94B9E}"/>
    <cellStyle name="Normal 9 2 3 6 6" xfId="10348" xr:uid="{E12C0F37-5814-4A73-8E96-841ADBFF3328}"/>
    <cellStyle name="Normal 9 2 3 7" xfId="2230" xr:uid="{00000000-0005-0000-0000-0000551F0000}"/>
    <cellStyle name="Normal 9 2 3 7 2" xfId="4459" xr:uid="{00000000-0005-0000-0000-0000561F0000}"/>
    <cellStyle name="Normal 9 2 3 7 2 2" xfId="8682" xr:uid="{00000000-0005-0000-0000-0000571F0000}"/>
    <cellStyle name="Normal 9 2 3 7 2 2 2" xfId="25565" xr:uid="{0E8AD1BB-9CA1-4B23-83B0-A7F502831B36}"/>
    <cellStyle name="Normal 9 2 3 7 2 2 3" xfId="34011" xr:uid="{C9D3ED86-72A1-4093-A79F-B85DEAE6D661}"/>
    <cellStyle name="Normal 9 2 3 7 2 2 4" xfId="17124" xr:uid="{CE03C2FE-5E62-4990-A8D9-6D2977540A2A}"/>
    <cellStyle name="Normal 9 2 3 7 2 3" xfId="21347" xr:uid="{D48DC115-9E99-4348-B936-9ECA315D3DDE}"/>
    <cellStyle name="Normal 9 2 3 7 2 4" xfId="29794" xr:uid="{638E31A0-E2D8-4133-82A4-402ECFC27AD2}"/>
    <cellStyle name="Normal 9 2 3 7 2 5" xfId="12906" xr:uid="{73BF26BB-8009-475E-B2FC-5B6BD851C619}"/>
    <cellStyle name="Normal 9 2 3 7 3" xfId="6537" xr:uid="{00000000-0005-0000-0000-0000581F0000}"/>
    <cellStyle name="Normal 9 2 3 7 3 2" xfId="23420" xr:uid="{902C3988-B856-45B2-ADB9-89AEB27EEFBB}"/>
    <cellStyle name="Normal 9 2 3 7 3 3" xfId="31866" xr:uid="{C52D48BE-C328-4C62-AC2B-7884566DAEC4}"/>
    <cellStyle name="Normal 9 2 3 7 3 4" xfId="14979" xr:uid="{5024DF99-EF5E-4BD5-A49E-8BF2EA7BC894}"/>
    <cellStyle name="Normal 9 2 3 7 4" xfId="19202" xr:uid="{8C0DFE22-BAA4-4516-BF6A-4D37E4866AB9}"/>
    <cellStyle name="Normal 9 2 3 7 5" xfId="27647" xr:uid="{4AAEDF7A-938C-4FD1-BF49-C754FE55E56D}"/>
    <cellStyle name="Normal 9 2 3 7 6" xfId="10761" xr:uid="{E28DA63E-F9B4-447D-8B21-305C19FF831E}"/>
    <cellStyle name="Normal 9 2 3 8" xfId="2666" xr:uid="{00000000-0005-0000-0000-0000591F0000}"/>
    <cellStyle name="Normal 9 2 3 8 2" xfId="6950" xr:uid="{00000000-0005-0000-0000-00005A1F0000}"/>
    <cellStyle name="Normal 9 2 3 8 2 2" xfId="23833" xr:uid="{8F77847B-ED07-4619-98F5-838C03450714}"/>
    <cellStyle name="Normal 9 2 3 8 2 3" xfId="32279" xr:uid="{2CD89E73-7BD8-4AAC-B0EA-DEFB3A4EACB5}"/>
    <cellStyle name="Normal 9 2 3 8 2 4" xfId="15392" xr:uid="{2258FCB7-0EDC-41B8-B12D-A45976A0A523}"/>
    <cellStyle name="Normal 9 2 3 8 3" xfId="19615" xr:uid="{87B4230A-692E-4C9E-9055-EC12D8C085C3}"/>
    <cellStyle name="Normal 9 2 3 8 4" xfId="28060" xr:uid="{1494A675-3F97-46BE-8903-42506BCA692C}"/>
    <cellStyle name="Normal 9 2 3 8 5" xfId="11174" xr:uid="{74E7DF4C-3573-4DCC-8DB2-3BBBDA843C96}"/>
    <cellStyle name="Normal 9 2 3 9" xfId="4885" xr:uid="{00000000-0005-0000-0000-00005B1F0000}"/>
    <cellStyle name="Normal 9 2 3 9 2" xfId="21768" xr:uid="{2D2C03A9-D85D-4765-BD6B-29A158582C00}"/>
    <cellStyle name="Normal 9 2 3 9 3" xfId="30214" xr:uid="{DCB89F41-439F-4F07-BD86-45729B1BD95B}"/>
    <cellStyle name="Normal 9 2 3 9 4" xfId="13327" xr:uid="{1BBF2527-ECE8-46AF-9B35-C4020642617F}"/>
    <cellStyle name="Normal 9 2 4" xfId="524" xr:uid="{00000000-0005-0000-0000-00005C1F0000}"/>
    <cellStyle name="Normal 9 2 4 10" xfId="25999" xr:uid="{D9244EC5-B3FD-4EB9-A40C-51912FE1C5D8}"/>
    <cellStyle name="Normal 9 2 4 11" xfId="9113" xr:uid="{412655A3-B528-4ABE-978E-673A0C1140F1}"/>
    <cellStyle name="Normal 9 2 4 2" xfId="525" xr:uid="{00000000-0005-0000-0000-00005D1F0000}"/>
    <cellStyle name="Normal 9 2 4 2 10" xfId="9114" xr:uid="{1CCDC4D6-16F7-4344-8B14-7EC758A6BECD}"/>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24331" xr:uid="{D55EC7D3-E21F-48A1-AB66-7851C9155706}"/>
    <cellStyle name="Normal 9 2 4 2 2 2 2 3" xfId="32777" xr:uid="{22EB6068-4D14-4146-AAD2-BECD600C497F}"/>
    <cellStyle name="Normal 9 2 4 2 2 2 2 4" xfId="15890" xr:uid="{2F76599F-3B3B-4342-8E85-636D3510196A}"/>
    <cellStyle name="Normal 9 2 4 2 2 2 3" xfId="20113" xr:uid="{1596C2D9-7335-4876-BCD6-4ACF4F1E286B}"/>
    <cellStyle name="Normal 9 2 4 2 2 2 4" xfId="28560" xr:uid="{005DC4E7-44B5-4EFD-A8E0-F2AB6C9D4DBC}"/>
    <cellStyle name="Normal 9 2 4 2 2 2 5" xfId="11672" xr:uid="{893F755D-38FC-4F5E-97E0-C3CA7305E5C5}"/>
    <cellStyle name="Normal 9 2 4 2 2 3" xfId="5303" xr:uid="{00000000-0005-0000-0000-0000611F0000}"/>
    <cellStyle name="Normal 9 2 4 2 2 3 2" xfId="22186" xr:uid="{CCB375BB-0D4F-4083-941D-8AA7E2EF41B0}"/>
    <cellStyle name="Normal 9 2 4 2 2 3 3" xfId="30632" xr:uid="{1F6AB20F-EC7C-4FEB-91AF-EF32118CFE98}"/>
    <cellStyle name="Normal 9 2 4 2 2 3 4" xfId="13745" xr:uid="{6CC60F40-7C7E-45ED-9114-7BEAAAEB28F6}"/>
    <cellStyle name="Normal 9 2 4 2 2 4" xfId="17968" xr:uid="{8E63DA6F-566D-4886-995E-197C0695D239}"/>
    <cellStyle name="Normal 9 2 4 2 2 5" xfId="26413" xr:uid="{EC35AF35-C361-415A-99E1-6EB435BD27D7}"/>
    <cellStyle name="Normal 9 2 4 2 2 6" xfId="9527" xr:uid="{5A05F42E-653A-4AD1-B0F5-799879E00267}"/>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24744" xr:uid="{539419F8-6C6A-494D-938F-415218BB3E92}"/>
    <cellStyle name="Normal 9 2 4 2 3 2 2 3" xfId="33190" xr:uid="{D8A9FA31-7E62-498F-B623-0BC6146AE8A7}"/>
    <cellStyle name="Normal 9 2 4 2 3 2 2 4" xfId="16303" xr:uid="{53EADA0F-77A4-4D3E-8ED8-2177E943DB6C}"/>
    <cellStyle name="Normal 9 2 4 2 3 2 3" xfId="20526" xr:uid="{AA382DF4-DCC3-499A-B509-1AF33648596F}"/>
    <cellStyle name="Normal 9 2 4 2 3 2 4" xfId="28973" xr:uid="{F6F5EDC1-D80A-49FD-A519-EE7CCE1F8E3F}"/>
    <cellStyle name="Normal 9 2 4 2 3 2 5" xfId="12085" xr:uid="{57318A61-A1AC-44CE-B916-72DCEF34019C}"/>
    <cellStyle name="Normal 9 2 4 2 3 3" xfId="5716" xr:uid="{00000000-0005-0000-0000-0000651F0000}"/>
    <cellStyle name="Normal 9 2 4 2 3 3 2" xfId="22599" xr:uid="{BF19ECFF-616A-4589-8CD0-26F9A36B226E}"/>
    <cellStyle name="Normal 9 2 4 2 3 3 3" xfId="31045" xr:uid="{1E7A04C6-BFB6-403E-BECE-FBA9007C6E84}"/>
    <cellStyle name="Normal 9 2 4 2 3 3 4" xfId="14158" xr:uid="{361D4003-065D-4AB8-BACA-A0AA1836B915}"/>
    <cellStyle name="Normal 9 2 4 2 3 4" xfId="18381" xr:uid="{B1190C27-EDB4-410C-ABD6-EBC6BE5B2E6F}"/>
    <cellStyle name="Normal 9 2 4 2 3 5" xfId="26826" xr:uid="{68580256-DAEA-44F9-BED8-674416A5D887}"/>
    <cellStyle name="Normal 9 2 4 2 3 6" xfId="9940" xr:uid="{77855B3D-DB2A-4865-A2FD-904DCCA26572}"/>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25157" xr:uid="{B316546D-BD3E-4C12-AF85-9745EFCE7844}"/>
    <cellStyle name="Normal 9 2 4 2 4 2 2 3" xfId="33603" xr:uid="{F6EA49ED-909B-4749-8F8C-6E37D7253885}"/>
    <cellStyle name="Normal 9 2 4 2 4 2 2 4" xfId="16716" xr:uid="{04127AA9-1CDC-4D57-A64E-61EB47CFBC8F}"/>
    <cellStyle name="Normal 9 2 4 2 4 2 3" xfId="20939" xr:uid="{7CCD5847-63ED-4176-976D-0C0DBDB85DD0}"/>
    <cellStyle name="Normal 9 2 4 2 4 2 4" xfId="29386" xr:uid="{125CF674-4570-4DCC-B6E7-0178E3378C1D}"/>
    <cellStyle name="Normal 9 2 4 2 4 2 5" xfId="12498" xr:uid="{12AD569F-45C5-44BA-AD40-C2FF9AE6ECB2}"/>
    <cellStyle name="Normal 9 2 4 2 4 3" xfId="6129" xr:uid="{00000000-0005-0000-0000-0000691F0000}"/>
    <cellStyle name="Normal 9 2 4 2 4 3 2" xfId="23012" xr:uid="{91674A1B-51A3-49A6-971D-20120EADE7BD}"/>
    <cellStyle name="Normal 9 2 4 2 4 3 3" xfId="31458" xr:uid="{32846638-A984-4E4D-AE62-420F4F86936F}"/>
    <cellStyle name="Normal 9 2 4 2 4 3 4" xfId="14571" xr:uid="{5C70FBEC-7230-4DF3-964A-0560FDC14F48}"/>
    <cellStyle name="Normal 9 2 4 2 4 4" xfId="18794" xr:uid="{041882DF-3E46-46C1-94CA-0786C062B567}"/>
    <cellStyle name="Normal 9 2 4 2 4 5" xfId="27239" xr:uid="{B1985F31-817D-49D2-8B11-56324789416E}"/>
    <cellStyle name="Normal 9 2 4 2 4 6" xfId="10353" xr:uid="{D1DC1CC2-6123-428A-86C6-FBC0A047557A}"/>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25570" xr:uid="{ED791D33-8AAA-4081-9537-6A0DA4FAE4F3}"/>
    <cellStyle name="Normal 9 2 4 2 5 2 2 3" xfId="34016" xr:uid="{563856D2-FB23-4FCD-B30B-0845F4DB167B}"/>
    <cellStyle name="Normal 9 2 4 2 5 2 2 4" xfId="17129" xr:uid="{9D7D2DBB-212B-4217-A110-C908FD67AA85}"/>
    <cellStyle name="Normal 9 2 4 2 5 2 3" xfId="21352" xr:uid="{576166FC-7C17-49D3-A860-D60C8B1D390F}"/>
    <cellStyle name="Normal 9 2 4 2 5 2 4" xfId="29799" xr:uid="{40BFC148-1D8D-468F-9369-93F5A9DDF2D9}"/>
    <cellStyle name="Normal 9 2 4 2 5 2 5" xfId="12911" xr:uid="{E2204DBF-4F7A-457A-835E-54123EA1B044}"/>
    <cellStyle name="Normal 9 2 4 2 5 3" xfId="6542" xr:uid="{00000000-0005-0000-0000-00006D1F0000}"/>
    <cellStyle name="Normal 9 2 4 2 5 3 2" xfId="23425" xr:uid="{7CEF93CE-5699-495F-A31C-1FC2F75B16F2}"/>
    <cellStyle name="Normal 9 2 4 2 5 3 3" xfId="31871" xr:uid="{0E640740-51FC-4592-9D49-0E0C8B0D1A92}"/>
    <cellStyle name="Normal 9 2 4 2 5 3 4" xfId="14984" xr:uid="{4F51410C-53BA-4960-857E-141B24056864}"/>
    <cellStyle name="Normal 9 2 4 2 5 4" xfId="19207" xr:uid="{BF22FCF4-AF0A-467A-A605-F0F0BA2C5F68}"/>
    <cellStyle name="Normal 9 2 4 2 5 5" xfId="27652" xr:uid="{6DB0DC13-B53E-41A0-8E46-E02DD663F28E}"/>
    <cellStyle name="Normal 9 2 4 2 5 6" xfId="10766" xr:uid="{D27ACD15-EDA2-4C46-ABF0-0F5E8581C656}"/>
    <cellStyle name="Normal 9 2 4 2 6" xfId="2671" xr:uid="{00000000-0005-0000-0000-00006E1F0000}"/>
    <cellStyle name="Normal 9 2 4 2 6 2" xfId="6955" xr:uid="{00000000-0005-0000-0000-00006F1F0000}"/>
    <cellStyle name="Normal 9 2 4 2 6 2 2" xfId="23838" xr:uid="{0036B72E-2E8A-457F-A628-09A872D7B1E2}"/>
    <cellStyle name="Normal 9 2 4 2 6 2 3" xfId="32284" xr:uid="{B88514DF-2865-45D0-B065-8E67CAD9A4C9}"/>
    <cellStyle name="Normal 9 2 4 2 6 2 4" xfId="15397" xr:uid="{961700C1-6449-4E59-81BB-89F2905BE68E}"/>
    <cellStyle name="Normal 9 2 4 2 6 3" xfId="19620" xr:uid="{B09E0488-BB7E-4633-A7E4-FB6D49221DAB}"/>
    <cellStyle name="Normal 9 2 4 2 6 4" xfId="28065" xr:uid="{C0F93B63-5F1A-41F3-AA07-B8C6416BFD3A}"/>
    <cellStyle name="Normal 9 2 4 2 6 5" xfId="11179" xr:uid="{8C4EAC0F-B482-493F-9A71-B53B17BFF823}"/>
    <cellStyle name="Normal 9 2 4 2 7" xfId="4890" xr:uid="{00000000-0005-0000-0000-0000701F0000}"/>
    <cellStyle name="Normal 9 2 4 2 7 2" xfId="21773" xr:uid="{B980DABA-5816-4CD8-8288-0081539FFC23}"/>
    <cellStyle name="Normal 9 2 4 2 7 3" xfId="30219" xr:uid="{66D40185-77CA-4197-845E-9328F8F5A782}"/>
    <cellStyle name="Normal 9 2 4 2 7 4" xfId="13332" xr:uid="{777ACA73-ABC8-47B5-8051-49EBCAB7832E}"/>
    <cellStyle name="Normal 9 2 4 2 8" xfId="17555" xr:uid="{DE3B50C1-7343-4168-AED9-5EA7F62CC7E1}"/>
    <cellStyle name="Normal 9 2 4 2 9" xfId="26000" xr:uid="{1D378FD5-DA9B-4995-8B3D-037217E126F9}"/>
    <cellStyle name="Normal 9 2 4 3" xfId="991" xr:uid="{00000000-0005-0000-0000-0000711F0000}"/>
    <cellStyle name="Normal 9 2 4 3 2" xfId="3224" xr:uid="{00000000-0005-0000-0000-0000721F0000}"/>
    <cellStyle name="Normal 9 2 4 3 2 2" xfId="7447" xr:uid="{00000000-0005-0000-0000-0000731F0000}"/>
    <cellStyle name="Normal 9 2 4 3 2 2 2" xfId="24330" xr:uid="{23CDC082-A9BA-4FA1-BB41-3B1AFBB4D713}"/>
    <cellStyle name="Normal 9 2 4 3 2 2 3" xfId="32776" xr:uid="{14C3061B-77DA-4175-BBA0-43AEDD0AD3DE}"/>
    <cellStyle name="Normal 9 2 4 3 2 2 4" xfId="15889" xr:uid="{0B5DB3E0-3C1F-493D-9F6B-2B2D0EE2E774}"/>
    <cellStyle name="Normal 9 2 4 3 2 3" xfId="20112" xr:uid="{21F1D9A7-9D5C-4B41-AC52-411F77EAB79C}"/>
    <cellStyle name="Normal 9 2 4 3 2 4" xfId="28559" xr:uid="{DD143454-AC1E-4E15-81B0-8A1BB59F9F2B}"/>
    <cellStyle name="Normal 9 2 4 3 2 5" xfId="11671" xr:uid="{E4905E81-01CD-472E-806E-B4313F04276B}"/>
    <cellStyle name="Normal 9 2 4 3 3" xfId="5302" xr:uid="{00000000-0005-0000-0000-0000741F0000}"/>
    <cellStyle name="Normal 9 2 4 3 3 2" xfId="22185" xr:uid="{D5A03528-99A7-4A73-9F29-8E820B38F4F4}"/>
    <cellStyle name="Normal 9 2 4 3 3 3" xfId="30631" xr:uid="{333CFBBA-FB7E-4662-96E3-EE0248AEC54D}"/>
    <cellStyle name="Normal 9 2 4 3 3 4" xfId="13744" xr:uid="{E20C249F-3F2C-4FFD-807C-15F7BDB052F0}"/>
    <cellStyle name="Normal 9 2 4 3 4" xfId="17967" xr:uid="{50C17363-7A0A-4990-B02F-F4E0F9BEC263}"/>
    <cellStyle name="Normal 9 2 4 3 5" xfId="26412" xr:uid="{2566B73C-DE44-41C2-9A21-49E8519754E6}"/>
    <cellStyle name="Normal 9 2 4 3 6" xfId="9526" xr:uid="{06799BE5-2365-400E-B238-5EA7865CD3C7}"/>
    <cellStyle name="Normal 9 2 4 4" xfId="1407" xr:uid="{00000000-0005-0000-0000-0000751F0000}"/>
    <cellStyle name="Normal 9 2 4 4 2" xfId="3637" xr:uid="{00000000-0005-0000-0000-0000761F0000}"/>
    <cellStyle name="Normal 9 2 4 4 2 2" xfId="7860" xr:uid="{00000000-0005-0000-0000-0000771F0000}"/>
    <cellStyle name="Normal 9 2 4 4 2 2 2" xfId="24743" xr:uid="{F6B02C2B-F6CC-4299-977D-82C9A6A0F692}"/>
    <cellStyle name="Normal 9 2 4 4 2 2 3" xfId="33189" xr:uid="{79B82AA1-9603-4C62-9892-F4DE0CC623E2}"/>
    <cellStyle name="Normal 9 2 4 4 2 2 4" xfId="16302" xr:uid="{21AA1F4E-9ACB-46A9-B42A-3DD3C4F4F217}"/>
    <cellStyle name="Normal 9 2 4 4 2 3" xfId="20525" xr:uid="{29CD30C8-D475-4C62-A7E2-715B18CE9178}"/>
    <cellStyle name="Normal 9 2 4 4 2 4" xfId="28972" xr:uid="{E2D7C7ED-F3B8-4EE3-BD7B-468125005AC1}"/>
    <cellStyle name="Normal 9 2 4 4 2 5" xfId="12084" xr:uid="{8BEBC982-D4C4-4169-BE61-F90B89D0892A}"/>
    <cellStyle name="Normal 9 2 4 4 3" xfId="5715" xr:uid="{00000000-0005-0000-0000-0000781F0000}"/>
    <cellStyle name="Normal 9 2 4 4 3 2" xfId="22598" xr:uid="{20DC00F2-0BFD-4562-88E3-F4A8DAA89DCB}"/>
    <cellStyle name="Normal 9 2 4 4 3 3" xfId="31044" xr:uid="{2746869A-5620-4286-8AA2-14FF1BFE03AB}"/>
    <cellStyle name="Normal 9 2 4 4 3 4" xfId="14157" xr:uid="{16CC825E-BE59-4AAE-A11B-306FB1A6C1E7}"/>
    <cellStyle name="Normal 9 2 4 4 4" xfId="18380" xr:uid="{6BBDAF85-A092-4341-B870-28CC9FDAEEF1}"/>
    <cellStyle name="Normal 9 2 4 4 5" xfId="26825" xr:uid="{8B5AFBBA-0DBD-491E-A9A6-1F3D339645CF}"/>
    <cellStyle name="Normal 9 2 4 4 6" xfId="9939" xr:uid="{B47794D9-736F-491A-9190-7DF24D95AA9D}"/>
    <cellStyle name="Normal 9 2 4 5" xfId="1820" xr:uid="{00000000-0005-0000-0000-0000791F0000}"/>
    <cellStyle name="Normal 9 2 4 5 2" xfId="4050" xr:uid="{00000000-0005-0000-0000-00007A1F0000}"/>
    <cellStyle name="Normal 9 2 4 5 2 2" xfId="8273" xr:uid="{00000000-0005-0000-0000-00007B1F0000}"/>
    <cellStyle name="Normal 9 2 4 5 2 2 2" xfId="25156" xr:uid="{8FB860F1-CAC4-4BFA-B8B6-259545F729CD}"/>
    <cellStyle name="Normal 9 2 4 5 2 2 3" xfId="33602" xr:uid="{E9AF5C69-CA05-45E9-B024-F1CD0643DA8E}"/>
    <cellStyle name="Normal 9 2 4 5 2 2 4" xfId="16715" xr:uid="{4A026233-055B-48EA-93BE-D1699C4DBD98}"/>
    <cellStyle name="Normal 9 2 4 5 2 3" xfId="20938" xr:uid="{D6D9D874-0617-4010-9883-C11FD2F6430A}"/>
    <cellStyle name="Normal 9 2 4 5 2 4" xfId="29385" xr:uid="{ABE84F2E-CD27-4290-860A-85C4FDA1F0D2}"/>
    <cellStyle name="Normal 9 2 4 5 2 5" xfId="12497" xr:uid="{D7102974-090C-4D0C-ABA9-5BB92BBCD69A}"/>
    <cellStyle name="Normal 9 2 4 5 3" xfId="6128" xr:uid="{00000000-0005-0000-0000-00007C1F0000}"/>
    <cellStyle name="Normal 9 2 4 5 3 2" xfId="23011" xr:uid="{19B44CCB-BDAE-4664-B1FD-0D2FF9419338}"/>
    <cellStyle name="Normal 9 2 4 5 3 3" xfId="31457" xr:uid="{44712FDD-D729-4ECB-871B-DCED33A64050}"/>
    <cellStyle name="Normal 9 2 4 5 3 4" xfId="14570" xr:uid="{90D9696A-B5B6-4A10-B272-DAA44332308A}"/>
    <cellStyle name="Normal 9 2 4 5 4" xfId="18793" xr:uid="{8797B8F4-46F2-4CF7-9EB3-4AC2EFC5082F}"/>
    <cellStyle name="Normal 9 2 4 5 5" xfId="27238" xr:uid="{1EFEA178-A86C-4109-8FE8-33B6F513FAE0}"/>
    <cellStyle name="Normal 9 2 4 5 6" xfId="10352" xr:uid="{F283DA31-DB3D-450F-B96B-1A6254D65890}"/>
    <cellStyle name="Normal 9 2 4 6" xfId="2234" xr:uid="{00000000-0005-0000-0000-00007D1F0000}"/>
    <cellStyle name="Normal 9 2 4 6 2" xfId="4463" xr:uid="{00000000-0005-0000-0000-00007E1F0000}"/>
    <cellStyle name="Normal 9 2 4 6 2 2" xfId="8686" xr:uid="{00000000-0005-0000-0000-00007F1F0000}"/>
    <cellStyle name="Normal 9 2 4 6 2 2 2" xfId="25569" xr:uid="{DD07DA9F-D530-47A5-A410-1FAEC0AC962E}"/>
    <cellStyle name="Normal 9 2 4 6 2 2 3" xfId="34015" xr:uid="{8D7297F5-C5BB-42E3-A9BA-9D955CA574CF}"/>
    <cellStyle name="Normal 9 2 4 6 2 2 4" xfId="17128" xr:uid="{D0221D4B-FBC5-44AE-8C34-95DD06CA4126}"/>
    <cellStyle name="Normal 9 2 4 6 2 3" xfId="21351" xr:uid="{B4097393-DA6E-49F0-8A38-6BD136438368}"/>
    <cellStyle name="Normal 9 2 4 6 2 4" xfId="29798" xr:uid="{6C82FA29-AD30-4B4A-AE86-935B2A808E0D}"/>
    <cellStyle name="Normal 9 2 4 6 2 5" xfId="12910" xr:uid="{98E4CC16-153C-4A97-A3C0-55DE198B12B6}"/>
    <cellStyle name="Normal 9 2 4 6 3" xfId="6541" xr:uid="{00000000-0005-0000-0000-0000801F0000}"/>
    <cellStyle name="Normal 9 2 4 6 3 2" xfId="23424" xr:uid="{7C0863EC-A934-438C-9C20-A500DE211D6A}"/>
    <cellStyle name="Normal 9 2 4 6 3 3" xfId="31870" xr:uid="{39A2F65F-1438-4A86-B4BF-D2BFF452DEAC}"/>
    <cellStyle name="Normal 9 2 4 6 3 4" xfId="14983" xr:uid="{F15D12A3-C51B-4764-B3F3-2BF31AD1363D}"/>
    <cellStyle name="Normal 9 2 4 6 4" xfId="19206" xr:uid="{8152BBDD-707F-4852-B78B-A5142AEB2A83}"/>
    <cellStyle name="Normal 9 2 4 6 5" xfId="27651" xr:uid="{57B65963-01C1-4455-97FF-E814196C0B66}"/>
    <cellStyle name="Normal 9 2 4 6 6" xfId="10765" xr:uid="{22C75B31-0895-490F-B18D-B8D72CFEDE85}"/>
    <cellStyle name="Normal 9 2 4 7" xfId="2670" xr:uid="{00000000-0005-0000-0000-0000811F0000}"/>
    <cellStyle name="Normal 9 2 4 7 2" xfId="6954" xr:uid="{00000000-0005-0000-0000-0000821F0000}"/>
    <cellStyle name="Normal 9 2 4 7 2 2" xfId="23837" xr:uid="{E08E01BE-7B07-4561-B59C-7F3FA0B77AD6}"/>
    <cellStyle name="Normal 9 2 4 7 2 3" xfId="32283" xr:uid="{C4A16E45-1653-4D1B-91C9-2B173EA4A575}"/>
    <cellStyle name="Normal 9 2 4 7 2 4" xfId="15396" xr:uid="{020A6A32-BFC2-47F6-8162-A79EB4490BC6}"/>
    <cellStyle name="Normal 9 2 4 7 3" xfId="19619" xr:uid="{A9A7BF44-3053-4576-BA66-5E04B687256E}"/>
    <cellStyle name="Normal 9 2 4 7 4" xfId="28064" xr:uid="{628069AE-9F3B-4EE9-B2CE-9CBC119CFFED}"/>
    <cellStyle name="Normal 9 2 4 7 5" xfId="11178" xr:uid="{62945DB6-2FCF-4F2F-A6FC-ED694527F602}"/>
    <cellStyle name="Normal 9 2 4 8" xfId="4889" xr:uid="{00000000-0005-0000-0000-0000831F0000}"/>
    <cellStyle name="Normal 9 2 4 8 2" xfId="21772" xr:uid="{A41FC54F-EABA-40A3-AEC2-EBEE6A87481F}"/>
    <cellStyle name="Normal 9 2 4 8 3" xfId="30218" xr:uid="{A076975A-94CA-432A-9159-DE881BE84FEC}"/>
    <cellStyle name="Normal 9 2 4 8 4" xfId="13331" xr:uid="{4A6C6BF9-3553-4B3C-9A9C-51B0916FE6B1}"/>
    <cellStyle name="Normal 9 2 4 9" xfId="17554" xr:uid="{80085707-73FC-42F2-A3AE-818C65A2008E}"/>
    <cellStyle name="Normal 9 2 5" xfId="526" xr:uid="{00000000-0005-0000-0000-0000841F0000}"/>
    <cellStyle name="Normal 9 2 5 10" xfId="9115" xr:uid="{46B73E80-6494-49E1-B654-3EB2E6D351E3}"/>
    <cellStyle name="Normal 9 2 5 2" xfId="993" xr:uid="{00000000-0005-0000-0000-0000851F0000}"/>
    <cellStyle name="Normal 9 2 5 2 2" xfId="3226" xr:uid="{00000000-0005-0000-0000-0000861F0000}"/>
    <cellStyle name="Normal 9 2 5 2 2 2" xfId="7449" xr:uid="{00000000-0005-0000-0000-0000871F0000}"/>
    <cellStyle name="Normal 9 2 5 2 2 2 2" xfId="24332" xr:uid="{073FD546-FCA8-47B1-8A62-31B2C7A433DF}"/>
    <cellStyle name="Normal 9 2 5 2 2 2 3" xfId="32778" xr:uid="{689571AA-EC0A-4FE8-B2C2-BF86570032AF}"/>
    <cellStyle name="Normal 9 2 5 2 2 2 4" xfId="15891" xr:uid="{DBA8941C-9E07-4A23-B8FF-42137F0F7CA4}"/>
    <cellStyle name="Normal 9 2 5 2 2 3" xfId="20114" xr:uid="{4D34DFF0-BBB6-4CB7-8437-56B251DDA1A8}"/>
    <cellStyle name="Normal 9 2 5 2 2 4" xfId="28561" xr:uid="{18A36439-1EB4-4B25-A05A-135E62A640B6}"/>
    <cellStyle name="Normal 9 2 5 2 2 5" xfId="11673" xr:uid="{1F976458-3668-456E-9648-535BC1C72ACA}"/>
    <cellStyle name="Normal 9 2 5 2 3" xfId="5304" xr:uid="{00000000-0005-0000-0000-0000881F0000}"/>
    <cellStyle name="Normal 9 2 5 2 3 2" xfId="22187" xr:uid="{6C718D2A-304B-427A-B2C1-3C6D3A4BE32A}"/>
    <cellStyle name="Normal 9 2 5 2 3 3" xfId="30633" xr:uid="{6D6B6811-1FFC-4BA5-B401-9177C2F4C931}"/>
    <cellStyle name="Normal 9 2 5 2 3 4" xfId="13746" xr:uid="{5E12CE2E-D228-46F2-B781-0B1D5FDF52E1}"/>
    <cellStyle name="Normal 9 2 5 2 4" xfId="17969" xr:uid="{6F8C41B1-51B4-440F-97D0-A733C9E29983}"/>
    <cellStyle name="Normal 9 2 5 2 5" xfId="26414" xr:uid="{F73FBA95-44E3-4582-86BE-92505EC2F6E0}"/>
    <cellStyle name="Normal 9 2 5 2 6" xfId="9528" xr:uid="{CFE3182D-E327-4F9F-B3B5-26C8ECC613AA}"/>
    <cellStyle name="Normal 9 2 5 3" xfId="1409" xr:uid="{00000000-0005-0000-0000-0000891F0000}"/>
    <cellStyle name="Normal 9 2 5 3 2" xfId="3639" xr:uid="{00000000-0005-0000-0000-00008A1F0000}"/>
    <cellStyle name="Normal 9 2 5 3 2 2" xfId="7862" xr:uid="{00000000-0005-0000-0000-00008B1F0000}"/>
    <cellStyle name="Normal 9 2 5 3 2 2 2" xfId="24745" xr:uid="{F46B1998-96FD-4630-89F9-25AC01584405}"/>
    <cellStyle name="Normal 9 2 5 3 2 2 3" xfId="33191" xr:uid="{22666EA0-E9A3-424E-9E3A-6FC8B6F46749}"/>
    <cellStyle name="Normal 9 2 5 3 2 2 4" xfId="16304" xr:uid="{B1184891-D512-43C0-BA8A-51D613BFBA2E}"/>
    <cellStyle name="Normal 9 2 5 3 2 3" xfId="20527" xr:uid="{4C764B05-8FC8-41BB-97EA-E97E5FC61D7E}"/>
    <cellStyle name="Normal 9 2 5 3 2 4" xfId="28974" xr:uid="{0B13046B-6A87-4E27-AA95-CF4EED681147}"/>
    <cellStyle name="Normal 9 2 5 3 2 5" xfId="12086" xr:uid="{2F955D47-9355-4C41-A8E9-35BC76C2D475}"/>
    <cellStyle name="Normal 9 2 5 3 3" xfId="5717" xr:uid="{00000000-0005-0000-0000-00008C1F0000}"/>
    <cellStyle name="Normal 9 2 5 3 3 2" xfId="22600" xr:uid="{D1FC96C5-1677-4777-B8F2-82CACB77D7EC}"/>
    <cellStyle name="Normal 9 2 5 3 3 3" xfId="31046" xr:uid="{C408363C-41BD-40F9-99B5-6A55EFA74297}"/>
    <cellStyle name="Normal 9 2 5 3 3 4" xfId="14159" xr:uid="{9EA83E9B-B61B-419B-9A64-26FFA92597BE}"/>
    <cellStyle name="Normal 9 2 5 3 4" xfId="18382" xr:uid="{3F50303B-FBAE-4ECC-9960-47348E0750CD}"/>
    <cellStyle name="Normal 9 2 5 3 5" xfId="26827" xr:uid="{2749E45E-908D-4C66-8195-73E6EFF57B67}"/>
    <cellStyle name="Normal 9 2 5 3 6" xfId="9941" xr:uid="{52AC7A40-EA5F-4CFB-BD92-F1162FED5DD9}"/>
    <cellStyle name="Normal 9 2 5 4" xfId="1822" xr:uid="{00000000-0005-0000-0000-00008D1F0000}"/>
    <cellStyle name="Normal 9 2 5 4 2" xfId="4052" xr:uid="{00000000-0005-0000-0000-00008E1F0000}"/>
    <cellStyle name="Normal 9 2 5 4 2 2" xfId="8275" xr:uid="{00000000-0005-0000-0000-00008F1F0000}"/>
    <cellStyle name="Normal 9 2 5 4 2 2 2" xfId="25158" xr:uid="{21B84D63-E39E-4188-B3E5-628CCEB9D578}"/>
    <cellStyle name="Normal 9 2 5 4 2 2 3" xfId="33604" xr:uid="{3BB5BF43-6344-4808-AE19-0FDFE0A87C28}"/>
    <cellStyle name="Normal 9 2 5 4 2 2 4" xfId="16717" xr:uid="{A5447468-A441-4B52-AEC5-C0258DF5B230}"/>
    <cellStyle name="Normal 9 2 5 4 2 3" xfId="20940" xr:uid="{35E60220-2F06-447D-B786-575366DDBFA5}"/>
    <cellStyle name="Normal 9 2 5 4 2 4" xfId="29387" xr:uid="{3E1E54CD-6DF1-42E8-98E3-AB19124B9FEB}"/>
    <cellStyle name="Normal 9 2 5 4 2 5" xfId="12499" xr:uid="{5918380E-8137-4BDE-9CEE-A8B44AF754FC}"/>
    <cellStyle name="Normal 9 2 5 4 3" xfId="6130" xr:uid="{00000000-0005-0000-0000-0000901F0000}"/>
    <cellStyle name="Normal 9 2 5 4 3 2" xfId="23013" xr:uid="{E81D1000-E546-4BEC-8B00-35A30F0C9C9B}"/>
    <cellStyle name="Normal 9 2 5 4 3 3" xfId="31459" xr:uid="{6580E00C-C92B-4872-B858-A5B84895324E}"/>
    <cellStyle name="Normal 9 2 5 4 3 4" xfId="14572" xr:uid="{38AFED79-FC55-46E0-A2C4-5184D224D19C}"/>
    <cellStyle name="Normal 9 2 5 4 4" xfId="18795" xr:uid="{DDF2139B-2E11-44E0-86CF-55CAB78644B6}"/>
    <cellStyle name="Normal 9 2 5 4 5" xfId="27240" xr:uid="{812AD418-ABD6-47A7-A68E-48BFDCFA39CF}"/>
    <cellStyle name="Normal 9 2 5 4 6" xfId="10354" xr:uid="{8248CB3C-BC90-4238-97B9-75C84EF42F49}"/>
    <cellStyle name="Normal 9 2 5 5" xfId="2236" xr:uid="{00000000-0005-0000-0000-0000911F0000}"/>
    <cellStyle name="Normal 9 2 5 5 2" xfId="4465" xr:uid="{00000000-0005-0000-0000-0000921F0000}"/>
    <cellStyle name="Normal 9 2 5 5 2 2" xfId="8688" xr:uid="{00000000-0005-0000-0000-0000931F0000}"/>
    <cellStyle name="Normal 9 2 5 5 2 2 2" xfId="25571" xr:uid="{28B4E407-FB55-4A64-9DE9-EB5EEF685DE7}"/>
    <cellStyle name="Normal 9 2 5 5 2 2 3" xfId="34017" xr:uid="{6669A9FA-72E9-42E5-AD42-6CEE3DB833B0}"/>
    <cellStyle name="Normal 9 2 5 5 2 2 4" xfId="17130" xr:uid="{F0DA3949-9869-4AE0-A116-E6C127AEB842}"/>
    <cellStyle name="Normal 9 2 5 5 2 3" xfId="21353" xr:uid="{A9F9C165-FAC0-4814-8532-03A23949F53F}"/>
    <cellStyle name="Normal 9 2 5 5 2 4" xfId="29800" xr:uid="{7C6F7601-E846-427A-9592-58744ACA818C}"/>
    <cellStyle name="Normal 9 2 5 5 2 5" xfId="12912" xr:uid="{E8655810-4DA0-4B46-833F-AD50CDF09F13}"/>
    <cellStyle name="Normal 9 2 5 5 3" xfId="6543" xr:uid="{00000000-0005-0000-0000-0000941F0000}"/>
    <cellStyle name="Normal 9 2 5 5 3 2" xfId="23426" xr:uid="{1EA64AA4-8072-45CA-8A48-A1A68224CAC8}"/>
    <cellStyle name="Normal 9 2 5 5 3 3" xfId="31872" xr:uid="{A2C96F75-087D-48C8-81A4-A47A757BB576}"/>
    <cellStyle name="Normal 9 2 5 5 3 4" xfId="14985" xr:uid="{797C251E-C5DC-4F89-B656-EC5DDD967D7D}"/>
    <cellStyle name="Normal 9 2 5 5 4" xfId="19208" xr:uid="{33BA1314-72D6-4991-885A-CD0380B887C6}"/>
    <cellStyle name="Normal 9 2 5 5 5" xfId="27653" xr:uid="{2F1B4082-61A9-4942-BCA4-7CA7AF031388}"/>
    <cellStyle name="Normal 9 2 5 5 6" xfId="10767" xr:uid="{5A6757C9-B548-4C8F-B686-390D056F3E50}"/>
    <cellStyle name="Normal 9 2 5 6" xfId="2672" xr:uid="{00000000-0005-0000-0000-0000951F0000}"/>
    <cellStyle name="Normal 9 2 5 6 2" xfId="6956" xr:uid="{00000000-0005-0000-0000-0000961F0000}"/>
    <cellStyle name="Normal 9 2 5 6 2 2" xfId="23839" xr:uid="{4CA3C2FB-0CE2-42C4-A3C5-4C0265946F18}"/>
    <cellStyle name="Normal 9 2 5 6 2 3" xfId="32285" xr:uid="{C8D0F075-2EE7-4ED2-8BC2-6A06C0B3C617}"/>
    <cellStyle name="Normal 9 2 5 6 2 4" xfId="15398" xr:uid="{3B45804D-CE5F-4D8A-8DD6-6A0844EF36B7}"/>
    <cellStyle name="Normal 9 2 5 6 3" xfId="19621" xr:uid="{5F4E1AFF-475D-466B-9855-287DB0B747AF}"/>
    <cellStyle name="Normal 9 2 5 6 4" xfId="28066" xr:uid="{2E96F603-720E-42BC-8DEE-03C0D139A787}"/>
    <cellStyle name="Normal 9 2 5 6 5" xfId="11180" xr:uid="{5D3B6186-DE88-4D18-8AD4-BCD2D864E874}"/>
    <cellStyle name="Normal 9 2 5 7" xfId="4891" xr:uid="{00000000-0005-0000-0000-0000971F0000}"/>
    <cellStyle name="Normal 9 2 5 7 2" xfId="21774" xr:uid="{F491E74F-B371-4762-9076-6968391E56F0}"/>
    <cellStyle name="Normal 9 2 5 7 3" xfId="30220" xr:uid="{DA9F6814-76B5-4219-8644-D647725544FA}"/>
    <cellStyle name="Normal 9 2 5 7 4" xfId="13333" xr:uid="{DA744F9A-2C52-443D-BD7D-C9C478C35C5F}"/>
    <cellStyle name="Normal 9 2 5 8" xfId="17556" xr:uid="{91E70914-6D8B-4EAD-9F8E-41F880BBCF90}"/>
    <cellStyle name="Normal 9 2 5 9" xfId="26001" xr:uid="{D17CCF27-341F-4A28-AD48-FB199D304C10}"/>
    <cellStyle name="Normal 9 2 6" xfId="978" xr:uid="{00000000-0005-0000-0000-0000981F0000}"/>
    <cellStyle name="Normal 9 2 6 2" xfId="3211" xr:uid="{00000000-0005-0000-0000-0000991F0000}"/>
    <cellStyle name="Normal 9 2 6 2 2" xfId="7434" xr:uid="{00000000-0005-0000-0000-00009A1F0000}"/>
    <cellStyle name="Normal 9 2 6 2 2 2" xfId="24317" xr:uid="{68AC81AC-0318-4D84-A829-F67E5BF0292E}"/>
    <cellStyle name="Normal 9 2 6 2 2 3" xfId="32763" xr:uid="{61B604C1-BE07-4112-90FC-D19139976E9A}"/>
    <cellStyle name="Normal 9 2 6 2 2 4" xfId="15876" xr:uid="{A6656AB3-EB74-4BF6-AAE1-A2442006D38D}"/>
    <cellStyle name="Normal 9 2 6 2 3" xfId="20099" xr:uid="{55A31B32-817E-49C4-ABD6-EFCFB7C78765}"/>
    <cellStyle name="Normal 9 2 6 2 4" xfId="28546" xr:uid="{8C30465E-5BD0-4EA7-9067-68B3E7D92226}"/>
    <cellStyle name="Normal 9 2 6 2 5" xfId="11658" xr:uid="{B0C91EEA-4B52-488B-9EC9-42B30237D85A}"/>
    <cellStyle name="Normal 9 2 6 3" xfId="5289" xr:uid="{00000000-0005-0000-0000-00009B1F0000}"/>
    <cellStyle name="Normal 9 2 6 3 2" xfId="22172" xr:uid="{E0B9778D-4388-4520-8C3C-32712696DBAA}"/>
    <cellStyle name="Normal 9 2 6 3 3" xfId="30618" xr:uid="{F853A133-4EA2-4A5F-8C0C-B11B4EFDF0BA}"/>
    <cellStyle name="Normal 9 2 6 3 4" xfId="13731" xr:uid="{542E949E-1D91-4272-9950-5B87E0265BCF}"/>
    <cellStyle name="Normal 9 2 6 4" xfId="17954" xr:uid="{5E6B8E05-1562-47FD-9B31-7008B60AD35A}"/>
    <cellStyle name="Normal 9 2 6 5" xfId="26399" xr:uid="{934EA2B0-1677-45A6-9F37-B73C2E0F6719}"/>
    <cellStyle name="Normal 9 2 6 6" xfId="9513" xr:uid="{22DF690F-2006-4900-A6AA-2D6EB7836394}"/>
    <cellStyle name="Normal 9 2 7" xfId="1394" xr:uid="{00000000-0005-0000-0000-00009C1F0000}"/>
    <cellStyle name="Normal 9 2 7 2" xfId="3624" xr:uid="{00000000-0005-0000-0000-00009D1F0000}"/>
    <cellStyle name="Normal 9 2 7 2 2" xfId="7847" xr:uid="{00000000-0005-0000-0000-00009E1F0000}"/>
    <cellStyle name="Normal 9 2 7 2 2 2" xfId="24730" xr:uid="{79220213-DCAF-423E-B5F5-14D3D2958E44}"/>
    <cellStyle name="Normal 9 2 7 2 2 3" xfId="33176" xr:uid="{1C137B6B-A16A-419E-88EB-A3DC18C6AE8E}"/>
    <cellStyle name="Normal 9 2 7 2 2 4" xfId="16289" xr:uid="{8A8C41DF-66FD-4041-8714-9FD13AC5905E}"/>
    <cellStyle name="Normal 9 2 7 2 3" xfId="20512" xr:uid="{C8FEC5AE-83B2-4EA0-9F12-CB2E561C5221}"/>
    <cellStyle name="Normal 9 2 7 2 4" xfId="28959" xr:uid="{E044E07E-93F9-4925-8F96-5F12A6DECC3E}"/>
    <cellStyle name="Normal 9 2 7 2 5" xfId="12071" xr:uid="{89F2FB1C-DE3A-4AD8-A3B0-5AE95E419E8F}"/>
    <cellStyle name="Normal 9 2 7 3" xfId="5702" xr:uid="{00000000-0005-0000-0000-00009F1F0000}"/>
    <cellStyle name="Normal 9 2 7 3 2" xfId="22585" xr:uid="{BF3876E4-E632-479E-B782-A7C05C171AA8}"/>
    <cellStyle name="Normal 9 2 7 3 3" xfId="31031" xr:uid="{D0F5FD9B-9552-4EFC-B2E7-29F774681870}"/>
    <cellStyle name="Normal 9 2 7 3 4" xfId="14144" xr:uid="{6E7317B4-4221-4FD1-B04A-AC5454B59FE6}"/>
    <cellStyle name="Normal 9 2 7 4" xfId="18367" xr:uid="{5D2F9836-C4DA-403E-9CE7-F10CE0CC1548}"/>
    <cellStyle name="Normal 9 2 7 5" xfId="26812" xr:uid="{1371BC14-BAC1-47AF-9932-4FF108248DBA}"/>
    <cellStyle name="Normal 9 2 7 6" xfId="9926" xr:uid="{1F86C181-4AFF-45A5-95C2-408BB42C1F7E}"/>
    <cellStyle name="Normal 9 2 8" xfId="1807" xr:uid="{00000000-0005-0000-0000-0000A01F0000}"/>
    <cellStyle name="Normal 9 2 8 2" xfId="4037" xr:uid="{00000000-0005-0000-0000-0000A11F0000}"/>
    <cellStyle name="Normal 9 2 8 2 2" xfId="8260" xr:uid="{00000000-0005-0000-0000-0000A21F0000}"/>
    <cellStyle name="Normal 9 2 8 2 2 2" xfId="25143" xr:uid="{91C7F35E-8613-489A-9A81-5716343466B3}"/>
    <cellStyle name="Normal 9 2 8 2 2 3" xfId="33589" xr:uid="{0D84860D-0B12-4DE6-9626-6CEB79F89135}"/>
    <cellStyle name="Normal 9 2 8 2 2 4" xfId="16702" xr:uid="{6F398376-50CE-4187-A26B-F991CFAF3D10}"/>
    <cellStyle name="Normal 9 2 8 2 3" xfId="20925" xr:uid="{3DC837BE-8AE5-40C6-A472-BAB570A50216}"/>
    <cellStyle name="Normal 9 2 8 2 4" xfId="29372" xr:uid="{7D3D5389-DDFD-4525-B861-A60BC721B310}"/>
    <cellStyle name="Normal 9 2 8 2 5" xfId="12484" xr:uid="{522DB09C-7812-43CA-AFE5-48B710D017EA}"/>
    <cellStyle name="Normal 9 2 8 3" xfId="6115" xr:uid="{00000000-0005-0000-0000-0000A31F0000}"/>
    <cellStyle name="Normal 9 2 8 3 2" xfId="22998" xr:uid="{CA478DD9-8760-4F76-B101-E0D8B715E99B}"/>
    <cellStyle name="Normal 9 2 8 3 3" xfId="31444" xr:uid="{3764963C-89E1-447B-A010-E9F6EC39E3E7}"/>
    <cellStyle name="Normal 9 2 8 3 4" xfId="14557" xr:uid="{BF4005E6-2CA4-4001-8151-15F4DFACB4EF}"/>
    <cellStyle name="Normal 9 2 8 4" xfId="18780" xr:uid="{BA25C0DE-DCA6-465C-AB58-9E8468F11CD3}"/>
    <cellStyle name="Normal 9 2 8 5" xfId="27225" xr:uid="{8E5F6857-3BC9-4535-A479-92484DE81427}"/>
    <cellStyle name="Normal 9 2 8 6" xfId="10339" xr:uid="{88F8B804-E3A1-4876-BC00-260B0012B271}"/>
    <cellStyle name="Normal 9 2 9" xfId="2221" xr:uid="{00000000-0005-0000-0000-0000A41F0000}"/>
    <cellStyle name="Normal 9 2 9 2" xfId="4450" xr:uid="{00000000-0005-0000-0000-0000A51F0000}"/>
    <cellStyle name="Normal 9 2 9 2 2" xfId="8673" xr:uid="{00000000-0005-0000-0000-0000A61F0000}"/>
    <cellStyle name="Normal 9 2 9 2 2 2" xfId="25556" xr:uid="{AA2F3641-C580-418C-A435-C6B8E0B4CA2D}"/>
    <cellStyle name="Normal 9 2 9 2 2 3" xfId="34002" xr:uid="{B5222C72-2CB0-48F7-A295-D2A336672291}"/>
    <cellStyle name="Normal 9 2 9 2 2 4" xfId="17115" xr:uid="{3DF2B873-54C9-46E7-A7DA-66549533EF53}"/>
    <cellStyle name="Normal 9 2 9 2 3" xfId="21338" xr:uid="{F99E200C-022D-4D65-97C2-B83978665D52}"/>
    <cellStyle name="Normal 9 2 9 2 4" xfId="29785" xr:uid="{4EB5DDAD-B236-4603-BEC7-060DD7EB3FB0}"/>
    <cellStyle name="Normal 9 2 9 2 5" xfId="12897" xr:uid="{AF3037F9-AE52-4E3F-8999-53BD84E30E0E}"/>
    <cellStyle name="Normal 9 2 9 3" xfId="6528" xr:uid="{00000000-0005-0000-0000-0000A71F0000}"/>
    <cellStyle name="Normal 9 2 9 3 2" xfId="23411" xr:uid="{48497E1D-BCC2-4697-8205-DA651C5D1A70}"/>
    <cellStyle name="Normal 9 2 9 3 3" xfId="31857" xr:uid="{1D209C51-8498-404B-938E-E5232D82A241}"/>
    <cellStyle name="Normal 9 2 9 3 4" xfId="14970" xr:uid="{4FC931AE-41E1-44B8-A680-116A437DC93C}"/>
    <cellStyle name="Normal 9 2 9 4" xfId="19193" xr:uid="{B8DE6C0F-9386-4CF6-9DE4-7ADA1F8E2D6D}"/>
    <cellStyle name="Normal 9 2 9 5" xfId="27638" xr:uid="{EE164DCD-2C74-47BF-B650-175A2453012E}"/>
    <cellStyle name="Normal 9 2 9 6" xfId="10752" xr:uid="{842FED3F-E85F-4C03-9F66-3F32A5A69187}"/>
    <cellStyle name="Normal 9 3" xfId="527" xr:uid="{00000000-0005-0000-0000-0000A81F0000}"/>
    <cellStyle name="Normal 9 3 10" xfId="4892" xr:uid="{00000000-0005-0000-0000-0000A91F0000}"/>
    <cellStyle name="Normal 9 3 10 2" xfId="21775" xr:uid="{CFBFF908-91F0-475D-B525-FCD7CFD848DE}"/>
    <cellStyle name="Normal 9 3 10 3" xfId="30221" xr:uid="{870A8731-143C-4E4C-B414-77CA0604C2F8}"/>
    <cellStyle name="Normal 9 3 10 4" xfId="13334" xr:uid="{79048D67-6696-4A3B-ABBA-3B394752AF66}"/>
    <cellStyle name="Normal 9 3 11" xfId="17557" xr:uid="{9D569403-750C-4F67-98F3-5111C0EA04D3}"/>
    <cellStyle name="Normal 9 3 12" xfId="26002" xr:uid="{F0821445-5028-4D70-8567-0C72625F513F}"/>
    <cellStyle name="Normal 9 3 13" xfId="9116" xr:uid="{6189F76B-885C-4969-BF6C-B19F57346B2C}"/>
    <cellStyle name="Normal 9 3 2" xfId="528" xr:uid="{00000000-0005-0000-0000-0000AA1F0000}"/>
    <cellStyle name="Normal 9 3 2 10" xfId="17558" xr:uid="{D7E985E3-1D41-45D1-8379-6883CBDE1252}"/>
    <cellStyle name="Normal 9 3 2 11" xfId="26003" xr:uid="{FEEE1007-1DA9-4ABC-AC14-0D1FBE651AEF}"/>
    <cellStyle name="Normal 9 3 2 12" xfId="9117" xr:uid="{29401146-F5DB-421C-83D8-FF2A91B40AEE}"/>
    <cellStyle name="Normal 9 3 2 2" xfId="529" xr:uid="{00000000-0005-0000-0000-0000AB1F0000}"/>
    <cellStyle name="Normal 9 3 2 2 10" xfId="26004" xr:uid="{7A0989A9-F9F7-4FC3-B919-8FB5FAF91F19}"/>
    <cellStyle name="Normal 9 3 2 2 11" xfId="9118" xr:uid="{8A1CC1C8-96A0-453D-BA2A-B02410E5FC15}"/>
    <cellStyle name="Normal 9 3 2 2 2" xfId="530" xr:uid="{00000000-0005-0000-0000-0000AC1F0000}"/>
    <cellStyle name="Normal 9 3 2 2 2 10" xfId="9119" xr:uid="{2953BA90-AA10-453D-9489-B60B88A9F854}"/>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24336" xr:uid="{24539A50-DBBD-49F6-A086-D8439E60C681}"/>
    <cellStyle name="Normal 9 3 2 2 2 2 2 2 3" xfId="32782" xr:uid="{F7F8FE9B-7AD5-4DFF-BA63-B7AAA3D6CA4E}"/>
    <cellStyle name="Normal 9 3 2 2 2 2 2 2 4" xfId="15895" xr:uid="{0AC93E50-A7BA-4362-A25D-756E89412AF7}"/>
    <cellStyle name="Normal 9 3 2 2 2 2 2 3" xfId="20118" xr:uid="{697EB402-3C73-49AC-AE03-4139E9109F7D}"/>
    <cellStyle name="Normal 9 3 2 2 2 2 2 4" xfId="28565" xr:uid="{0B3151B4-E8DA-4B48-9B79-3E34DADBD8E9}"/>
    <cellStyle name="Normal 9 3 2 2 2 2 2 5" xfId="11677" xr:uid="{911A9EC9-6918-4D44-8C03-3684CBFFCE27}"/>
    <cellStyle name="Normal 9 3 2 2 2 2 3" xfId="5308" xr:uid="{00000000-0005-0000-0000-0000B01F0000}"/>
    <cellStyle name="Normal 9 3 2 2 2 2 3 2" xfId="22191" xr:uid="{0E28773A-CED5-4C34-9E71-11E81E9B87B2}"/>
    <cellStyle name="Normal 9 3 2 2 2 2 3 3" xfId="30637" xr:uid="{E936F836-90C0-4E9E-83BA-DBA4EC46E2C9}"/>
    <cellStyle name="Normal 9 3 2 2 2 2 3 4" xfId="13750" xr:uid="{1A43B3CE-B8D3-414A-A1F9-D0190728CA84}"/>
    <cellStyle name="Normal 9 3 2 2 2 2 4" xfId="17973" xr:uid="{E251234C-CCA0-4A1D-A839-68FF1288FC35}"/>
    <cellStyle name="Normal 9 3 2 2 2 2 5" xfId="26418" xr:uid="{2C182A16-678F-41F3-8811-63965E12D9F9}"/>
    <cellStyle name="Normal 9 3 2 2 2 2 6" xfId="9532" xr:uid="{4FDD974A-EEED-49DC-B346-F66D8171DC27}"/>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24749" xr:uid="{388E3164-C992-4953-85D3-1388AA605265}"/>
    <cellStyle name="Normal 9 3 2 2 2 3 2 2 3" xfId="33195" xr:uid="{7EAEFEE2-3775-402C-B305-1DC3F66DDC3A}"/>
    <cellStyle name="Normal 9 3 2 2 2 3 2 2 4" xfId="16308" xr:uid="{260BE1E5-953D-4B9C-8E23-EF7F2D0BE2FA}"/>
    <cellStyle name="Normal 9 3 2 2 2 3 2 3" xfId="20531" xr:uid="{4DF38290-842F-4DF9-AC81-A2A18DFB8993}"/>
    <cellStyle name="Normal 9 3 2 2 2 3 2 4" xfId="28978" xr:uid="{F44B75BD-8070-4D78-BED9-89C34C3BED43}"/>
    <cellStyle name="Normal 9 3 2 2 2 3 2 5" xfId="12090" xr:uid="{FF5CCC2B-15C4-4158-97F0-9B442C1E38E4}"/>
    <cellStyle name="Normal 9 3 2 2 2 3 3" xfId="5721" xr:uid="{00000000-0005-0000-0000-0000B41F0000}"/>
    <cellStyle name="Normal 9 3 2 2 2 3 3 2" xfId="22604" xr:uid="{EB31A839-599C-4500-A656-8518B2B72334}"/>
    <cellStyle name="Normal 9 3 2 2 2 3 3 3" xfId="31050" xr:uid="{6C8DE90E-7CC4-47AD-85DF-808C1D871FF3}"/>
    <cellStyle name="Normal 9 3 2 2 2 3 3 4" xfId="14163" xr:uid="{54AB0E80-2DF7-40FA-994F-7A2D661380C0}"/>
    <cellStyle name="Normal 9 3 2 2 2 3 4" xfId="18386" xr:uid="{F65B82DC-AD89-4B0D-9B2A-24AFFE8C8A3D}"/>
    <cellStyle name="Normal 9 3 2 2 2 3 5" xfId="26831" xr:uid="{C5021F18-B827-476F-8201-98BDA76EFA69}"/>
    <cellStyle name="Normal 9 3 2 2 2 3 6" xfId="9945" xr:uid="{57766B8D-6F2B-4B53-8F35-FBD24FACF87D}"/>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25162" xr:uid="{7D04A608-6419-4516-BEDC-79738C385E8F}"/>
    <cellStyle name="Normal 9 3 2 2 2 4 2 2 3" xfId="33608" xr:uid="{BBE04202-A3AE-4629-8449-CA157072CD7B}"/>
    <cellStyle name="Normal 9 3 2 2 2 4 2 2 4" xfId="16721" xr:uid="{2D090AB7-F9F8-4637-9B70-958BBE4B3EE2}"/>
    <cellStyle name="Normal 9 3 2 2 2 4 2 3" xfId="20944" xr:uid="{F38CC55C-8CCF-4886-9D2D-2A4B8147E8D8}"/>
    <cellStyle name="Normal 9 3 2 2 2 4 2 4" xfId="29391" xr:uid="{E407E9AD-B5E5-4F3F-80E9-32127AD2D21A}"/>
    <cellStyle name="Normal 9 3 2 2 2 4 2 5" xfId="12503" xr:uid="{B1190178-38C9-432D-91E9-61C8E3AF6C5F}"/>
    <cellStyle name="Normal 9 3 2 2 2 4 3" xfId="6134" xr:uid="{00000000-0005-0000-0000-0000B81F0000}"/>
    <cellStyle name="Normal 9 3 2 2 2 4 3 2" xfId="23017" xr:uid="{3D728B70-7E5C-483E-8241-63D295C2D6D9}"/>
    <cellStyle name="Normal 9 3 2 2 2 4 3 3" xfId="31463" xr:uid="{9CA607D4-FE82-443E-B56A-9323AED0A45B}"/>
    <cellStyle name="Normal 9 3 2 2 2 4 3 4" xfId="14576" xr:uid="{F268A60C-52FB-4625-A628-0E5B4234924C}"/>
    <cellStyle name="Normal 9 3 2 2 2 4 4" xfId="18799" xr:uid="{B353B794-E2C8-4CEF-894D-46F7FC63E6C4}"/>
    <cellStyle name="Normal 9 3 2 2 2 4 5" xfId="27244" xr:uid="{9EEF389B-3F67-4903-8B31-CE8B87B58E94}"/>
    <cellStyle name="Normal 9 3 2 2 2 4 6" xfId="10358" xr:uid="{DEC538DB-4B62-49E3-9EC8-EFE030B00F2C}"/>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25575" xr:uid="{92F48590-771E-4461-A1D1-BFD8A394AE9D}"/>
    <cellStyle name="Normal 9 3 2 2 2 5 2 2 3" xfId="34021" xr:uid="{442AED55-20CC-4D4A-B5E2-171973E09509}"/>
    <cellStyle name="Normal 9 3 2 2 2 5 2 2 4" xfId="17134" xr:uid="{676FAD95-556B-4933-B201-D220E20B6398}"/>
    <cellStyle name="Normal 9 3 2 2 2 5 2 3" xfId="21357" xr:uid="{BF9FDAFC-FEF2-4517-80CE-55274E8050D7}"/>
    <cellStyle name="Normal 9 3 2 2 2 5 2 4" xfId="29804" xr:uid="{290DEB7D-34EA-4484-9F98-28A064B98B09}"/>
    <cellStyle name="Normal 9 3 2 2 2 5 2 5" xfId="12916" xr:uid="{228237C0-3CC1-45A2-B18F-07A6A0678CE6}"/>
    <cellStyle name="Normal 9 3 2 2 2 5 3" xfId="6547" xr:uid="{00000000-0005-0000-0000-0000BC1F0000}"/>
    <cellStyle name="Normal 9 3 2 2 2 5 3 2" xfId="23430" xr:uid="{F136673C-0920-413B-8FBB-D3D992C8270A}"/>
    <cellStyle name="Normal 9 3 2 2 2 5 3 3" xfId="31876" xr:uid="{92354D02-6680-4D61-96EB-A20D1A5DF8D8}"/>
    <cellStyle name="Normal 9 3 2 2 2 5 3 4" xfId="14989" xr:uid="{49F415A9-B66C-4621-91CE-099270762765}"/>
    <cellStyle name="Normal 9 3 2 2 2 5 4" xfId="19212" xr:uid="{E62DBF33-869F-4FF1-9635-47552CD2C400}"/>
    <cellStyle name="Normal 9 3 2 2 2 5 5" xfId="27657" xr:uid="{E90225C9-4660-4DB7-857E-2140F8C5B33C}"/>
    <cellStyle name="Normal 9 3 2 2 2 5 6" xfId="10771" xr:uid="{35C9AA09-83C2-4A66-AE37-5FDFDCD03F2A}"/>
    <cellStyle name="Normal 9 3 2 2 2 6" xfId="2676" xr:uid="{00000000-0005-0000-0000-0000BD1F0000}"/>
    <cellStyle name="Normal 9 3 2 2 2 6 2" xfId="6960" xr:uid="{00000000-0005-0000-0000-0000BE1F0000}"/>
    <cellStyle name="Normal 9 3 2 2 2 6 2 2" xfId="23843" xr:uid="{9D3EB90A-0592-4936-91CB-21A4A930AD70}"/>
    <cellStyle name="Normal 9 3 2 2 2 6 2 3" xfId="32289" xr:uid="{1EBC0A40-E9D2-4E5E-AF99-7923DB4F4A45}"/>
    <cellStyle name="Normal 9 3 2 2 2 6 2 4" xfId="15402" xr:uid="{36CB7CC0-043C-4248-806E-B6905FE829CA}"/>
    <cellStyle name="Normal 9 3 2 2 2 6 3" xfId="19625" xr:uid="{02B8C67D-EDCF-41F2-B020-A3BCEEF54514}"/>
    <cellStyle name="Normal 9 3 2 2 2 6 4" xfId="28070" xr:uid="{8AD2BEC8-C834-43A8-803F-638E67C12104}"/>
    <cellStyle name="Normal 9 3 2 2 2 6 5" xfId="11184" xr:uid="{1556A6BB-1BC8-41E4-A88F-7E58B013512B}"/>
    <cellStyle name="Normal 9 3 2 2 2 7" xfId="4895" xr:uid="{00000000-0005-0000-0000-0000BF1F0000}"/>
    <cellStyle name="Normal 9 3 2 2 2 7 2" xfId="21778" xr:uid="{C77E1869-AC8C-4D58-95F0-D0B02B56A6D2}"/>
    <cellStyle name="Normal 9 3 2 2 2 7 3" xfId="30224" xr:uid="{87B4AF09-9D10-46D5-BC16-DF1CDDC01DDB}"/>
    <cellStyle name="Normal 9 3 2 2 2 7 4" xfId="13337" xr:uid="{61CC2725-2B31-4540-93CD-FDAC3661F86F}"/>
    <cellStyle name="Normal 9 3 2 2 2 8" xfId="17560" xr:uid="{73D7965C-0649-40A4-B6FF-9E7A16816C2B}"/>
    <cellStyle name="Normal 9 3 2 2 2 9" xfId="26005" xr:uid="{EECFE14B-D76C-45AB-AD13-4FE9B348F74F}"/>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24335" xr:uid="{C7C39BF5-0D09-41C8-989E-62E9496365F4}"/>
    <cellStyle name="Normal 9 3 2 2 3 2 2 3" xfId="32781" xr:uid="{B5B8153A-A051-43B0-949F-C99979CE7437}"/>
    <cellStyle name="Normal 9 3 2 2 3 2 2 4" xfId="15894" xr:uid="{A34C951A-2DFD-4472-B92B-3D102BD1CEF2}"/>
    <cellStyle name="Normal 9 3 2 2 3 2 3" xfId="20117" xr:uid="{262D2BE6-B738-4F93-BB81-B70F5A17AC8E}"/>
    <cellStyle name="Normal 9 3 2 2 3 2 4" xfId="28564" xr:uid="{3AF9F1D6-0A09-44FA-826A-2ED558FB2FE1}"/>
    <cellStyle name="Normal 9 3 2 2 3 2 5" xfId="11676" xr:uid="{7CEC2902-26FD-46D5-B566-8C379B1F6D3F}"/>
    <cellStyle name="Normal 9 3 2 2 3 3" xfId="5307" xr:uid="{00000000-0005-0000-0000-0000C31F0000}"/>
    <cellStyle name="Normal 9 3 2 2 3 3 2" xfId="22190" xr:uid="{CE0E2956-B69C-4F2C-AB50-B1FE2AF6CE3F}"/>
    <cellStyle name="Normal 9 3 2 2 3 3 3" xfId="30636" xr:uid="{8BA193EC-837D-4E66-9D74-555C37584315}"/>
    <cellStyle name="Normal 9 3 2 2 3 3 4" xfId="13749" xr:uid="{1D4CE605-31FF-4B4A-9D5E-7B621CFD56D2}"/>
    <cellStyle name="Normal 9 3 2 2 3 4" xfId="17972" xr:uid="{55872478-4A9A-4E24-BAA9-1817B24AAB87}"/>
    <cellStyle name="Normal 9 3 2 2 3 5" xfId="26417" xr:uid="{E7099B0F-87E3-4D34-9327-CB2A03CB9A39}"/>
    <cellStyle name="Normal 9 3 2 2 3 6" xfId="9531" xr:uid="{04802384-5EDB-4795-BBC7-158789A6B46A}"/>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24748" xr:uid="{EFAC5B4A-029D-484B-B2FE-22F54038DD71}"/>
    <cellStyle name="Normal 9 3 2 2 4 2 2 3" xfId="33194" xr:uid="{FB68360F-AB34-45DD-A7EA-427AE0417C0C}"/>
    <cellStyle name="Normal 9 3 2 2 4 2 2 4" xfId="16307" xr:uid="{7558D1EA-06D9-40FF-B1D0-61A91517A87B}"/>
    <cellStyle name="Normal 9 3 2 2 4 2 3" xfId="20530" xr:uid="{806BB686-AE5A-49F7-9E2D-D97A73F0B397}"/>
    <cellStyle name="Normal 9 3 2 2 4 2 4" xfId="28977" xr:uid="{E971FAB6-7103-490A-9E46-5EC43A219C63}"/>
    <cellStyle name="Normal 9 3 2 2 4 2 5" xfId="12089" xr:uid="{DEA65879-AC67-4277-97C8-2A24024B7A60}"/>
    <cellStyle name="Normal 9 3 2 2 4 3" xfId="5720" xr:uid="{00000000-0005-0000-0000-0000C71F0000}"/>
    <cellStyle name="Normal 9 3 2 2 4 3 2" xfId="22603" xr:uid="{6725A702-1C28-4902-B209-3596FFC0AA19}"/>
    <cellStyle name="Normal 9 3 2 2 4 3 3" xfId="31049" xr:uid="{D19702B7-51D5-406F-AB24-58E5D3AF0147}"/>
    <cellStyle name="Normal 9 3 2 2 4 3 4" xfId="14162" xr:uid="{4BD41C96-8387-43E4-AA16-85D37C465AA4}"/>
    <cellStyle name="Normal 9 3 2 2 4 4" xfId="18385" xr:uid="{4DBA0037-BE9A-49C6-ACB5-A675D94AD60E}"/>
    <cellStyle name="Normal 9 3 2 2 4 5" xfId="26830" xr:uid="{D0EDDCD0-2EF5-42BB-9688-61500557C11F}"/>
    <cellStyle name="Normal 9 3 2 2 4 6" xfId="9944" xr:uid="{1B5B64E4-A252-433E-B3D6-970A3A8D65B7}"/>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25161" xr:uid="{6148E0AD-CD9E-450E-8A15-4871E4A9909F}"/>
    <cellStyle name="Normal 9 3 2 2 5 2 2 3" xfId="33607" xr:uid="{65C721BB-84B9-4D53-9A15-A24BEF2AF9A8}"/>
    <cellStyle name="Normal 9 3 2 2 5 2 2 4" xfId="16720" xr:uid="{F55E8FD2-6FDF-4869-B72E-19937B20630E}"/>
    <cellStyle name="Normal 9 3 2 2 5 2 3" xfId="20943" xr:uid="{9B13DABD-B086-41C0-A7E8-63CCACDC3D17}"/>
    <cellStyle name="Normal 9 3 2 2 5 2 4" xfId="29390" xr:uid="{5EA231DA-9802-46EC-B071-8AA7E19A9AA1}"/>
    <cellStyle name="Normal 9 3 2 2 5 2 5" xfId="12502" xr:uid="{C0C623A2-A495-47F1-B069-490ECD7782C7}"/>
    <cellStyle name="Normal 9 3 2 2 5 3" xfId="6133" xr:uid="{00000000-0005-0000-0000-0000CB1F0000}"/>
    <cellStyle name="Normal 9 3 2 2 5 3 2" xfId="23016" xr:uid="{E08FB67E-6B4D-4D68-B993-F66932538167}"/>
    <cellStyle name="Normal 9 3 2 2 5 3 3" xfId="31462" xr:uid="{5346B8E3-2C55-4613-8B07-C4BDE3AA9DE3}"/>
    <cellStyle name="Normal 9 3 2 2 5 3 4" xfId="14575" xr:uid="{AD9CD318-FD1D-46ED-93D7-DFA45EA2FECB}"/>
    <cellStyle name="Normal 9 3 2 2 5 4" xfId="18798" xr:uid="{6AEBB68F-3176-4EC7-8EF5-73A3E8B765A5}"/>
    <cellStyle name="Normal 9 3 2 2 5 5" xfId="27243" xr:uid="{1B4BB1A9-F27B-425D-90FD-E7E22C94612E}"/>
    <cellStyle name="Normal 9 3 2 2 5 6" xfId="10357" xr:uid="{44A5D539-4527-4698-B07F-4D712F6A1E26}"/>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25574" xr:uid="{1F46EB80-EC4D-4D8C-8F3F-564B1A60099D}"/>
    <cellStyle name="Normal 9 3 2 2 6 2 2 3" xfId="34020" xr:uid="{BE7DCF5E-F37B-4DFC-9F6C-D36D0D95E5E5}"/>
    <cellStyle name="Normal 9 3 2 2 6 2 2 4" xfId="17133" xr:uid="{B4ADB16A-D96C-481D-9421-1FFFE4DF28BB}"/>
    <cellStyle name="Normal 9 3 2 2 6 2 3" xfId="21356" xr:uid="{16A8A217-D112-42ED-94E9-73F599C86666}"/>
    <cellStyle name="Normal 9 3 2 2 6 2 4" xfId="29803" xr:uid="{EC02C02A-8B87-4AD5-8CC4-C29652B74186}"/>
    <cellStyle name="Normal 9 3 2 2 6 2 5" xfId="12915" xr:uid="{227CECD2-E5A7-441D-ADB2-2BA0F9F57055}"/>
    <cellStyle name="Normal 9 3 2 2 6 3" xfId="6546" xr:uid="{00000000-0005-0000-0000-0000CF1F0000}"/>
    <cellStyle name="Normal 9 3 2 2 6 3 2" xfId="23429" xr:uid="{0E6E8C50-22CA-4A28-AD3A-0D6F0023E71E}"/>
    <cellStyle name="Normal 9 3 2 2 6 3 3" xfId="31875" xr:uid="{C0002398-DA81-4F0F-A9DB-AD9178CAC4C2}"/>
    <cellStyle name="Normal 9 3 2 2 6 3 4" xfId="14988" xr:uid="{FE531C67-5142-49B3-9C3E-BF7217305AFE}"/>
    <cellStyle name="Normal 9 3 2 2 6 4" xfId="19211" xr:uid="{866027DF-16A2-4A91-8C60-4DE81E83DDD2}"/>
    <cellStyle name="Normal 9 3 2 2 6 5" xfId="27656" xr:uid="{06403AFA-C5D0-484C-A670-D2CC6EB966CB}"/>
    <cellStyle name="Normal 9 3 2 2 6 6" xfId="10770" xr:uid="{D9F8721E-4A92-483E-A1C3-EC5855841496}"/>
    <cellStyle name="Normal 9 3 2 2 7" xfId="2675" xr:uid="{00000000-0005-0000-0000-0000D01F0000}"/>
    <cellStyle name="Normal 9 3 2 2 7 2" xfId="6959" xr:uid="{00000000-0005-0000-0000-0000D11F0000}"/>
    <cellStyle name="Normal 9 3 2 2 7 2 2" xfId="23842" xr:uid="{7EC6DFCF-543B-48B9-BE53-4DA8EB7B215B}"/>
    <cellStyle name="Normal 9 3 2 2 7 2 3" xfId="32288" xr:uid="{9858CC2D-524D-4C0F-8530-DD6752C6C9A8}"/>
    <cellStyle name="Normal 9 3 2 2 7 2 4" xfId="15401" xr:uid="{69FB69D2-225F-4F48-9B03-3712679F80FE}"/>
    <cellStyle name="Normal 9 3 2 2 7 3" xfId="19624" xr:uid="{E8B9F8EE-CBDC-4018-A7E4-ADE34F5269F1}"/>
    <cellStyle name="Normal 9 3 2 2 7 4" xfId="28069" xr:uid="{C4E79F74-96E6-450C-98D2-1FE5CD5F237A}"/>
    <cellStyle name="Normal 9 3 2 2 7 5" xfId="11183" xr:uid="{0EAAF5C9-542F-40D1-BE4A-E32D2E5BC727}"/>
    <cellStyle name="Normal 9 3 2 2 8" xfId="4894" xr:uid="{00000000-0005-0000-0000-0000D21F0000}"/>
    <cellStyle name="Normal 9 3 2 2 8 2" xfId="21777" xr:uid="{39B7B016-7840-41C8-AC3B-584AF55F7185}"/>
    <cellStyle name="Normal 9 3 2 2 8 3" xfId="30223" xr:uid="{BD64D4BC-BE18-480B-90D0-DB162EDFD651}"/>
    <cellStyle name="Normal 9 3 2 2 8 4" xfId="13336" xr:uid="{B04E2510-55D9-4FC0-B12B-469E1875C8EE}"/>
    <cellStyle name="Normal 9 3 2 2 9" xfId="17559" xr:uid="{F1977B06-AB68-4E67-A692-6667205C5F48}"/>
    <cellStyle name="Normal 9 3 2 3" xfId="531" xr:uid="{00000000-0005-0000-0000-0000D31F0000}"/>
    <cellStyle name="Normal 9 3 2 3 10" xfId="9120" xr:uid="{945A7B68-C9C6-4AEC-B2A4-FF56B30CFBC6}"/>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24337" xr:uid="{31247899-F86A-42EC-8B7F-C44C8D237982}"/>
    <cellStyle name="Normal 9 3 2 3 2 2 2 3" xfId="32783" xr:uid="{A8EE75AF-13E6-4F65-9C6D-A42BF4C3DB63}"/>
    <cellStyle name="Normal 9 3 2 3 2 2 2 4" xfId="15896" xr:uid="{E2160CE4-0EE2-4263-945E-AEB89B419609}"/>
    <cellStyle name="Normal 9 3 2 3 2 2 3" xfId="20119" xr:uid="{49D0A25C-3088-4BF1-B657-1ED5B5D50F28}"/>
    <cellStyle name="Normal 9 3 2 3 2 2 4" xfId="28566" xr:uid="{5B42C6B3-1522-45C7-882A-1BD493CAA419}"/>
    <cellStyle name="Normal 9 3 2 3 2 2 5" xfId="11678" xr:uid="{70ADAE7C-0BEB-4D79-ADB2-F89A1F3A1713}"/>
    <cellStyle name="Normal 9 3 2 3 2 3" xfId="5309" xr:uid="{00000000-0005-0000-0000-0000D71F0000}"/>
    <cellStyle name="Normal 9 3 2 3 2 3 2" xfId="22192" xr:uid="{BC5D3C40-FD4D-492B-85B5-9CAE0A9FBBC5}"/>
    <cellStyle name="Normal 9 3 2 3 2 3 3" xfId="30638" xr:uid="{C058C13F-A286-46CA-B248-037DC4848B30}"/>
    <cellStyle name="Normal 9 3 2 3 2 3 4" xfId="13751" xr:uid="{5D8125F2-E190-4941-94A1-92F6E262413A}"/>
    <cellStyle name="Normal 9 3 2 3 2 4" xfId="17974" xr:uid="{C4C4C452-8979-4415-8203-FB1DF89A21DE}"/>
    <cellStyle name="Normal 9 3 2 3 2 5" xfId="26419" xr:uid="{32257015-43E0-469E-BC7D-1A28BD59F577}"/>
    <cellStyle name="Normal 9 3 2 3 2 6" xfId="9533" xr:uid="{E9E81D15-12C1-436C-859B-803C6529B508}"/>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24750" xr:uid="{72CE1CD4-50B5-481C-B9F9-BFC5406BB384}"/>
    <cellStyle name="Normal 9 3 2 3 3 2 2 3" xfId="33196" xr:uid="{980CAA06-66AA-49F6-B029-107E4F539912}"/>
    <cellStyle name="Normal 9 3 2 3 3 2 2 4" xfId="16309" xr:uid="{DA548FE3-5988-4B74-A070-C0C1D70D34B6}"/>
    <cellStyle name="Normal 9 3 2 3 3 2 3" xfId="20532" xr:uid="{04AC479D-BD0C-43F4-9BDD-A4678E38FCF1}"/>
    <cellStyle name="Normal 9 3 2 3 3 2 4" xfId="28979" xr:uid="{9053AC31-CE52-472D-A27F-B3EF6E7D9814}"/>
    <cellStyle name="Normal 9 3 2 3 3 2 5" xfId="12091" xr:uid="{F8AE1815-32F2-49A9-B0CF-4244BDFA1B47}"/>
    <cellStyle name="Normal 9 3 2 3 3 3" xfId="5722" xr:uid="{00000000-0005-0000-0000-0000DB1F0000}"/>
    <cellStyle name="Normal 9 3 2 3 3 3 2" xfId="22605" xr:uid="{655E281D-485E-425B-BB49-8D27E3D6A8E3}"/>
    <cellStyle name="Normal 9 3 2 3 3 3 3" xfId="31051" xr:uid="{5AC831B6-60BE-46CE-8063-BA13380FEBD5}"/>
    <cellStyle name="Normal 9 3 2 3 3 3 4" xfId="14164" xr:uid="{34AEEFB0-D755-412F-9527-62A8EC9C91ED}"/>
    <cellStyle name="Normal 9 3 2 3 3 4" xfId="18387" xr:uid="{A1BCC655-FADE-46BB-B777-47BEC61E3314}"/>
    <cellStyle name="Normal 9 3 2 3 3 5" xfId="26832" xr:uid="{D2367860-4A10-4BDC-BF99-A4CC1BA07113}"/>
    <cellStyle name="Normal 9 3 2 3 3 6" xfId="9946" xr:uid="{AA035829-8E92-430A-82EB-22B83F7E2BAD}"/>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25163" xr:uid="{D1F8A0ED-B8F9-4F67-BC40-5ED48D341998}"/>
    <cellStyle name="Normal 9 3 2 3 4 2 2 3" xfId="33609" xr:uid="{19AADCF1-5A6A-4A0A-9416-6833B9A34BC3}"/>
    <cellStyle name="Normal 9 3 2 3 4 2 2 4" xfId="16722" xr:uid="{DE1FCFA2-C238-4A3D-BF59-3561A8852FC3}"/>
    <cellStyle name="Normal 9 3 2 3 4 2 3" xfId="20945" xr:uid="{64F95248-4D98-4668-865D-046469E92077}"/>
    <cellStyle name="Normal 9 3 2 3 4 2 4" xfId="29392" xr:uid="{FA73B9E4-2D12-414E-863B-149CFD034E18}"/>
    <cellStyle name="Normal 9 3 2 3 4 2 5" xfId="12504" xr:uid="{57237C2A-DC70-4708-A84B-AB5F308DA2D3}"/>
    <cellStyle name="Normal 9 3 2 3 4 3" xfId="6135" xr:uid="{00000000-0005-0000-0000-0000DF1F0000}"/>
    <cellStyle name="Normal 9 3 2 3 4 3 2" xfId="23018" xr:uid="{46EED759-E2EA-48A8-A0C1-2E77B4F0D12C}"/>
    <cellStyle name="Normal 9 3 2 3 4 3 3" xfId="31464" xr:uid="{60B39003-C0F5-4271-B483-22ADF0EDC1A3}"/>
    <cellStyle name="Normal 9 3 2 3 4 3 4" xfId="14577" xr:uid="{E998541C-F335-4E85-B25A-36F3E18CD1A5}"/>
    <cellStyle name="Normal 9 3 2 3 4 4" xfId="18800" xr:uid="{6DD82F33-EA47-47E5-85F9-68C55A389A40}"/>
    <cellStyle name="Normal 9 3 2 3 4 5" xfId="27245" xr:uid="{4EED162F-6B83-4EF7-A8C1-E5E1D76FA7AF}"/>
    <cellStyle name="Normal 9 3 2 3 4 6" xfId="10359" xr:uid="{B63A214C-372E-4D14-90E2-6FB9DF04018B}"/>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25576" xr:uid="{609E3643-DB4C-4071-A01F-B5CB3A55F54D}"/>
    <cellStyle name="Normal 9 3 2 3 5 2 2 3" xfId="34022" xr:uid="{56498469-9460-4BDA-883F-32AD2AD80262}"/>
    <cellStyle name="Normal 9 3 2 3 5 2 2 4" xfId="17135" xr:uid="{038F2FD9-951B-40A6-8C5B-1692ADB80DFE}"/>
    <cellStyle name="Normal 9 3 2 3 5 2 3" xfId="21358" xr:uid="{797B507D-7ECC-483E-8E9B-A8EF4D038F02}"/>
    <cellStyle name="Normal 9 3 2 3 5 2 4" xfId="29805" xr:uid="{0F1775EC-DDBA-4008-B08A-9F496009F0A7}"/>
    <cellStyle name="Normal 9 3 2 3 5 2 5" xfId="12917" xr:uid="{12115408-5968-4C9C-8C32-94615489D89A}"/>
    <cellStyle name="Normal 9 3 2 3 5 3" xfId="6548" xr:uid="{00000000-0005-0000-0000-0000E31F0000}"/>
    <cellStyle name="Normal 9 3 2 3 5 3 2" xfId="23431" xr:uid="{3F616CB3-02A6-4849-B11A-8971F7FDD261}"/>
    <cellStyle name="Normal 9 3 2 3 5 3 3" xfId="31877" xr:uid="{45282C48-AE86-4596-A317-8F28AE3C2BD5}"/>
    <cellStyle name="Normal 9 3 2 3 5 3 4" xfId="14990" xr:uid="{ECE9CCF7-CC3D-40EA-AD6A-EFB58180CD0F}"/>
    <cellStyle name="Normal 9 3 2 3 5 4" xfId="19213" xr:uid="{6E01A5C8-2EF4-4B3C-A030-2CA81CD875CF}"/>
    <cellStyle name="Normal 9 3 2 3 5 5" xfId="27658" xr:uid="{7751F5B4-DD33-4990-B95E-27BB9F1F4151}"/>
    <cellStyle name="Normal 9 3 2 3 5 6" xfId="10772" xr:uid="{FFEFBEB0-D6E7-4833-BB01-9CCD28085792}"/>
    <cellStyle name="Normal 9 3 2 3 6" xfId="2677" xr:uid="{00000000-0005-0000-0000-0000E41F0000}"/>
    <cellStyle name="Normal 9 3 2 3 6 2" xfId="6961" xr:uid="{00000000-0005-0000-0000-0000E51F0000}"/>
    <cellStyle name="Normal 9 3 2 3 6 2 2" xfId="23844" xr:uid="{B1F26ADE-0B87-4816-A3B4-1FF74517AA09}"/>
    <cellStyle name="Normal 9 3 2 3 6 2 3" xfId="32290" xr:uid="{9F70D688-1743-4C9F-A3DF-5F1422FD3BC8}"/>
    <cellStyle name="Normal 9 3 2 3 6 2 4" xfId="15403" xr:uid="{5E5133EA-FEF7-4B61-9D71-03F2AFA4D9EF}"/>
    <cellStyle name="Normal 9 3 2 3 6 3" xfId="19626" xr:uid="{FD8C897F-9803-4F01-AED6-F540CBBF80A1}"/>
    <cellStyle name="Normal 9 3 2 3 6 4" xfId="28071" xr:uid="{74E80E6E-3DC8-4794-AAD4-3F6A89206AEF}"/>
    <cellStyle name="Normal 9 3 2 3 6 5" xfId="11185" xr:uid="{0370F082-B45E-44E5-BD95-3E40D2085BAC}"/>
    <cellStyle name="Normal 9 3 2 3 7" xfId="4896" xr:uid="{00000000-0005-0000-0000-0000E61F0000}"/>
    <cellStyle name="Normal 9 3 2 3 7 2" xfId="21779" xr:uid="{A0BDC172-02A9-4861-823E-361784BC7952}"/>
    <cellStyle name="Normal 9 3 2 3 7 3" xfId="30225" xr:uid="{91B7B728-700D-443C-8B1C-AD25F74BBABC}"/>
    <cellStyle name="Normal 9 3 2 3 7 4" xfId="13338" xr:uid="{EA418935-10E2-462E-AF80-3E5FF3072F31}"/>
    <cellStyle name="Normal 9 3 2 3 8" xfId="17561" xr:uid="{DB4CA5D0-8B28-4ACF-B3B3-6162159EE9DE}"/>
    <cellStyle name="Normal 9 3 2 3 9" xfId="26006" xr:uid="{60F6C706-99AF-4ADC-8D84-3666132DAEB8}"/>
    <cellStyle name="Normal 9 3 2 4" xfId="995" xr:uid="{00000000-0005-0000-0000-0000E71F0000}"/>
    <cellStyle name="Normal 9 3 2 4 2" xfId="3228" xr:uid="{00000000-0005-0000-0000-0000E81F0000}"/>
    <cellStyle name="Normal 9 3 2 4 2 2" xfId="7451" xr:uid="{00000000-0005-0000-0000-0000E91F0000}"/>
    <cellStyle name="Normal 9 3 2 4 2 2 2" xfId="24334" xr:uid="{4AE0A823-2328-4FEB-A437-5050A13C024E}"/>
    <cellStyle name="Normal 9 3 2 4 2 2 3" xfId="32780" xr:uid="{1683FE7B-0966-4E76-9191-DDC84B820387}"/>
    <cellStyle name="Normal 9 3 2 4 2 2 4" xfId="15893" xr:uid="{0BFA8B1A-3B8F-4A1C-BD8C-8C39A2EF8EF8}"/>
    <cellStyle name="Normal 9 3 2 4 2 3" xfId="20116" xr:uid="{041A5F3E-A61D-4CFB-9071-477200256376}"/>
    <cellStyle name="Normal 9 3 2 4 2 4" xfId="28563" xr:uid="{D1A44705-73D0-4FFC-84A4-5566FA5FD31F}"/>
    <cellStyle name="Normal 9 3 2 4 2 5" xfId="11675" xr:uid="{5CDD015A-F142-42CA-A995-22182B39626A}"/>
    <cellStyle name="Normal 9 3 2 4 3" xfId="5306" xr:uid="{00000000-0005-0000-0000-0000EA1F0000}"/>
    <cellStyle name="Normal 9 3 2 4 3 2" xfId="22189" xr:uid="{CE8A7936-B03A-4567-B4E9-75A54A4DB1FE}"/>
    <cellStyle name="Normal 9 3 2 4 3 3" xfId="30635" xr:uid="{4FAC9476-0607-4A71-B7C7-0F0CA4991D94}"/>
    <cellStyle name="Normal 9 3 2 4 3 4" xfId="13748" xr:uid="{32928753-75C0-44D2-840F-2C473282C1FF}"/>
    <cellStyle name="Normal 9 3 2 4 4" xfId="17971" xr:uid="{430E504F-BAE8-4F50-822D-162AD94A0C7B}"/>
    <cellStyle name="Normal 9 3 2 4 5" xfId="26416" xr:uid="{580FDA5C-1757-429C-8BC0-21CF97F13DD1}"/>
    <cellStyle name="Normal 9 3 2 4 6" xfId="9530" xr:uid="{2875A863-02B2-439E-9093-B83421530B32}"/>
    <cellStyle name="Normal 9 3 2 5" xfId="1411" xr:uid="{00000000-0005-0000-0000-0000EB1F0000}"/>
    <cellStyle name="Normal 9 3 2 5 2" xfId="3641" xr:uid="{00000000-0005-0000-0000-0000EC1F0000}"/>
    <cellStyle name="Normal 9 3 2 5 2 2" xfId="7864" xr:uid="{00000000-0005-0000-0000-0000ED1F0000}"/>
    <cellStyle name="Normal 9 3 2 5 2 2 2" xfId="24747" xr:uid="{76104C65-4347-4F00-AA29-8D5B0B2512EB}"/>
    <cellStyle name="Normal 9 3 2 5 2 2 3" xfId="33193" xr:uid="{B2D4B073-5E31-4D97-BD76-7125EA03EAA8}"/>
    <cellStyle name="Normal 9 3 2 5 2 2 4" xfId="16306" xr:uid="{0B4E4EED-3296-46F5-A747-202656DDDA82}"/>
    <cellStyle name="Normal 9 3 2 5 2 3" xfId="20529" xr:uid="{8553CB83-AE4F-4142-BFBC-4ECE4D5C2E06}"/>
    <cellStyle name="Normal 9 3 2 5 2 4" xfId="28976" xr:uid="{340B34D8-24DA-4F51-87DE-15E6B2AB5224}"/>
    <cellStyle name="Normal 9 3 2 5 2 5" xfId="12088" xr:uid="{A0E9E498-2FEA-4147-A02D-ABDAC8E69261}"/>
    <cellStyle name="Normal 9 3 2 5 3" xfId="5719" xr:uid="{00000000-0005-0000-0000-0000EE1F0000}"/>
    <cellStyle name="Normal 9 3 2 5 3 2" xfId="22602" xr:uid="{E178D3AF-7EEF-4DB7-940B-01F4EF732F1D}"/>
    <cellStyle name="Normal 9 3 2 5 3 3" xfId="31048" xr:uid="{93210563-A701-450C-8170-B1D114F49538}"/>
    <cellStyle name="Normal 9 3 2 5 3 4" xfId="14161" xr:uid="{28B9039C-6EA7-4180-9BDB-EF7F06852C01}"/>
    <cellStyle name="Normal 9 3 2 5 4" xfId="18384" xr:uid="{C37F8491-8EA8-40BC-81EC-2E3C72F20816}"/>
    <cellStyle name="Normal 9 3 2 5 5" xfId="26829" xr:uid="{1E57C358-E073-4C4D-A4DA-0E932EC3BB6D}"/>
    <cellStyle name="Normal 9 3 2 5 6" xfId="9943" xr:uid="{3D05AD11-CA3E-48F0-800F-A133C1C476FE}"/>
    <cellStyle name="Normal 9 3 2 6" xfId="1824" xr:uid="{00000000-0005-0000-0000-0000EF1F0000}"/>
    <cellStyle name="Normal 9 3 2 6 2" xfId="4054" xr:uid="{00000000-0005-0000-0000-0000F01F0000}"/>
    <cellStyle name="Normal 9 3 2 6 2 2" xfId="8277" xr:uid="{00000000-0005-0000-0000-0000F11F0000}"/>
    <cellStyle name="Normal 9 3 2 6 2 2 2" xfId="25160" xr:uid="{419BFE88-DA1A-4DCB-913E-A6B46AA0CAF5}"/>
    <cellStyle name="Normal 9 3 2 6 2 2 3" xfId="33606" xr:uid="{B8FA5B7E-FD69-4958-B2CC-2D5E5865F6B2}"/>
    <cellStyle name="Normal 9 3 2 6 2 2 4" xfId="16719" xr:uid="{FC82B746-3339-4238-9177-DDBDF870F323}"/>
    <cellStyle name="Normal 9 3 2 6 2 3" xfId="20942" xr:uid="{1D112B4C-8999-40BB-B5E4-4FA2FA68410E}"/>
    <cellStyle name="Normal 9 3 2 6 2 4" xfId="29389" xr:uid="{919CD453-9C40-4401-9E54-D27CD80BAF49}"/>
    <cellStyle name="Normal 9 3 2 6 2 5" xfId="12501" xr:uid="{1FBC23C5-E8EB-4992-B05F-2CE9E843FC70}"/>
    <cellStyle name="Normal 9 3 2 6 3" xfId="6132" xr:uid="{00000000-0005-0000-0000-0000F21F0000}"/>
    <cellStyle name="Normal 9 3 2 6 3 2" xfId="23015" xr:uid="{98EE6B5F-EDB6-449F-8201-BA3E7344D514}"/>
    <cellStyle name="Normal 9 3 2 6 3 3" xfId="31461" xr:uid="{9C86DF23-E2BE-40A7-ADA3-3D946FD857D6}"/>
    <cellStyle name="Normal 9 3 2 6 3 4" xfId="14574" xr:uid="{562DD2A1-F54A-477E-AF39-F4D96699E7CD}"/>
    <cellStyle name="Normal 9 3 2 6 4" xfId="18797" xr:uid="{A1FFB99B-16C6-4E51-8E62-66C668391538}"/>
    <cellStyle name="Normal 9 3 2 6 5" xfId="27242" xr:uid="{DA3D76FF-5BDA-42ED-8E6A-FB612BDB56A9}"/>
    <cellStyle name="Normal 9 3 2 6 6" xfId="10356" xr:uid="{4DC36E51-2EED-47D1-95FB-E3BDF8F1FF47}"/>
    <cellStyle name="Normal 9 3 2 7" xfId="2238" xr:uid="{00000000-0005-0000-0000-0000F31F0000}"/>
    <cellStyle name="Normal 9 3 2 7 2" xfId="4467" xr:uid="{00000000-0005-0000-0000-0000F41F0000}"/>
    <cellStyle name="Normal 9 3 2 7 2 2" xfId="8690" xr:uid="{00000000-0005-0000-0000-0000F51F0000}"/>
    <cellStyle name="Normal 9 3 2 7 2 2 2" xfId="25573" xr:uid="{0421A80C-C506-4D23-8752-CA588200F0EC}"/>
    <cellStyle name="Normal 9 3 2 7 2 2 3" xfId="34019" xr:uid="{CF9A8AF0-3424-4707-9E35-415472627802}"/>
    <cellStyle name="Normal 9 3 2 7 2 2 4" xfId="17132" xr:uid="{C454BB45-9FA1-47F4-8F2A-2040B7244AA2}"/>
    <cellStyle name="Normal 9 3 2 7 2 3" xfId="21355" xr:uid="{A4AD1ABC-C4B8-4EA4-8650-26F4C35B3513}"/>
    <cellStyle name="Normal 9 3 2 7 2 4" xfId="29802" xr:uid="{AC34AA35-B8F8-434D-97AB-591C644B2596}"/>
    <cellStyle name="Normal 9 3 2 7 2 5" xfId="12914" xr:uid="{E0C02112-90C8-4838-8B75-957E6412C38A}"/>
    <cellStyle name="Normal 9 3 2 7 3" xfId="6545" xr:uid="{00000000-0005-0000-0000-0000F61F0000}"/>
    <cellStyle name="Normal 9 3 2 7 3 2" xfId="23428" xr:uid="{6E361E01-260B-4FF1-956D-F23F7942B6BD}"/>
    <cellStyle name="Normal 9 3 2 7 3 3" xfId="31874" xr:uid="{FB720773-4829-4D10-BD70-CC5086694A1C}"/>
    <cellStyle name="Normal 9 3 2 7 3 4" xfId="14987" xr:uid="{0B9D7979-AFF6-4B05-B538-8C8A988F508B}"/>
    <cellStyle name="Normal 9 3 2 7 4" xfId="19210" xr:uid="{A123B53E-AAC5-44B2-AC2B-0E5EE68E84C4}"/>
    <cellStyle name="Normal 9 3 2 7 5" xfId="27655" xr:uid="{8CFFEA39-AC46-41CE-A576-A29C9F7E52F9}"/>
    <cellStyle name="Normal 9 3 2 7 6" xfId="10769" xr:uid="{B0832C4C-A04B-4DE8-8140-36FB638A4819}"/>
    <cellStyle name="Normal 9 3 2 8" xfId="2674" xr:uid="{00000000-0005-0000-0000-0000F71F0000}"/>
    <cellStyle name="Normal 9 3 2 8 2" xfId="6958" xr:uid="{00000000-0005-0000-0000-0000F81F0000}"/>
    <cellStyle name="Normal 9 3 2 8 2 2" xfId="23841" xr:uid="{7DEBF984-82A7-4E81-A6B5-9B357105DB07}"/>
    <cellStyle name="Normal 9 3 2 8 2 3" xfId="32287" xr:uid="{8A659B90-0B1D-4329-8762-5A73315310B2}"/>
    <cellStyle name="Normal 9 3 2 8 2 4" xfId="15400" xr:uid="{9C5EC1D9-2CB9-4340-A390-9004EEC22412}"/>
    <cellStyle name="Normal 9 3 2 8 3" xfId="19623" xr:uid="{D27A16D0-5F73-4C6C-9B66-09878AC1F1D1}"/>
    <cellStyle name="Normal 9 3 2 8 4" xfId="28068" xr:uid="{7FFC90E2-A480-4775-8A47-A655C55CBD29}"/>
    <cellStyle name="Normal 9 3 2 8 5" xfId="11182" xr:uid="{137B8C69-829C-4C4A-A0E7-342A6611AB78}"/>
    <cellStyle name="Normal 9 3 2 9" xfId="4893" xr:uid="{00000000-0005-0000-0000-0000F91F0000}"/>
    <cellStyle name="Normal 9 3 2 9 2" xfId="21776" xr:uid="{DF6E94DA-1E4F-430C-9AB0-5C3D32483B94}"/>
    <cellStyle name="Normal 9 3 2 9 3" xfId="30222" xr:uid="{24C70FD8-E420-46F3-8DBC-2E4C77E9DA42}"/>
    <cellStyle name="Normal 9 3 2 9 4" xfId="13335" xr:uid="{B0E6AD21-8ABC-43EA-945C-4AACEA42E020}"/>
    <cellStyle name="Normal 9 3 3" xfId="532" xr:uid="{00000000-0005-0000-0000-0000FA1F0000}"/>
    <cellStyle name="Normal 9 3 3 10" xfId="26007" xr:uid="{12FACFA1-5AD8-4233-8CA3-63D78D79AA4B}"/>
    <cellStyle name="Normal 9 3 3 11" xfId="9121" xr:uid="{6A6080F1-3EE1-4E7D-AF00-9473B191CD40}"/>
    <cellStyle name="Normal 9 3 3 2" xfId="533" xr:uid="{00000000-0005-0000-0000-0000FB1F0000}"/>
    <cellStyle name="Normal 9 3 3 2 10" xfId="9122" xr:uid="{A30D99A6-7CD3-4B70-99E4-CC458DA012B9}"/>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24339" xr:uid="{567A8AB8-1DD9-41DC-9B8F-1655CE5220BB}"/>
    <cellStyle name="Normal 9 3 3 2 2 2 2 3" xfId="32785" xr:uid="{E5D1D815-DAA2-4B40-8A59-82D0C9BDA5F8}"/>
    <cellStyle name="Normal 9 3 3 2 2 2 2 4" xfId="15898" xr:uid="{BEF740DE-DAEC-45B0-BBD5-CF1A014AA891}"/>
    <cellStyle name="Normal 9 3 3 2 2 2 3" xfId="20121" xr:uid="{58677955-ACE9-47A9-9F2D-C0C81D5D0FB6}"/>
    <cellStyle name="Normal 9 3 3 2 2 2 4" xfId="28568" xr:uid="{844B9EA4-0FC5-49A2-92CD-C432F1120482}"/>
    <cellStyle name="Normal 9 3 3 2 2 2 5" xfId="11680" xr:uid="{46C01C7D-3AA6-472F-A041-1F222D0A4E70}"/>
    <cellStyle name="Normal 9 3 3 2 2 3" xfId="5311" xr:uid="{00000000-0005-0000-0000-0000FF1F0000}"/>
    <cellStyle name="Normal 9 3 3 2 2 3 2" xfId="22194" xr:uid="{84C61115-4332-408D-8DA5-78F99D664A89}"/>
    <cellStyle name="Normal 9 3 3 2 2 3 3" xfId="30640" xr:uid="{4B40FD58-2154-4A6D-92DA-A1EE33703AD7}"/>
    <cellStyle name="Normal 9 3 3 2 2 3 4" xfId="13753" xr:uid="{AC8E6E51-FBD8-4AD4-ADE7-31D06F115FAF}"/>
    <cellStyle name="Normal 9 3 3 2 2 4" xfId="17976" xr:uid="{8658D8C4-F758-46BF-8DE7-FB5F3380CBBC}"/>
    <cellStyle name="Normal 9 3 3 2 2 5" xfId="26421" xr:uid="{3BFE72F7-F702-4311-8401-85D3C11FCC6B}"/>
    <cellStyle name="Normal 9 3 3 2 2 6" xfId="9535" xr:uid="{B3C70A55-E2F5-424F-8EE7-12AA7A90815A}"/>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24752" xr:uid="{57E1E18F-FBCC-47A8-ACC6-6BD27896B89E}"/>
    <cellStyle name="Normal 9 3 3 2 3 2 2 3" xfId="33198" xr:uid="{7E2FE9C6-8EF3-4100-BC49-5C7C994C16AA}"/>
    <cellStyle name="Normal 9 3 3 2 3 2 2 4" xfId="16311" xr:uid="{49727295-F5FA-42B9-BBAA-6ABC5BBB54F4}"/>
    <cellStyle name="Normal 9 3 3 2 3 2 3" xfId="20534" xr:uid="{32731E99-9E95-4A7C-B897-A4E385A645C5}"/>
    <cellStyle name="Normal 9 3 3 2 3 2 4" xfId="28981" xr:uid="{0713DAF9-F376-4109-9B69-9113F894C194}"/>
    <cellStyle name="Normal 9 3 3 2 3 2 5" xfId="12093" xr:uid="{AA4B347B-7259-48FF-94F2-4FD96A53CA61}"/>
    <cellStyle name="Normal 9 3 3 2 3 3" xfId="5724" xr:uid="{00000000-0005-0000-0000-000003200000}"/>
    <cellStyle name="Normal 9 3 3 2 3 3 2" xfId="22607" xr:uid="{848A215F-1F43-4E13-AB6B-B827FA071E67}"/>
    <cellStyle name="Normal 9 3 3 2 3 3 3" xfId="31053" xr:uid="{7E4DA285-B82F-4F16-8F21-4E9B1DF1F836}"/>
    <cellStyle name="Normal 9 3 3 2 3 3 4" xfId="14166" xr:uid="{29F166C8-5932-48F8-8B79-22E961CFDAB7}"/>
    <cellStyle name="Normal 9 3 3 2 3 4" xfId="18389" xr:uid="{E17691F9-A624-4974-A344-FAB197888429}"/>
    <cellStyle name="Normal 9 3 3 2 3 5" xfId="26834" xr:uid="{83748151-1061-41E7-8C64-8D83E8BCB638}"/>
    <cellStyle name="Normal 9 3 3 2 3 6" xfId="9948" xr:uid="{137A0A9C-0467-40B2-BEC5-A96F9CCD60ED}"/>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25165" xr:uid="{5754B86E-0A05-4DE6-864C-3A11E591AAEF}"/>
    <cellStyle name="Normal 9 3 3 2 4 2 2 3" xfId="33611" xr:uid="{4C8225E6-77F0-4FEA-B4C3-9FDE172A16BB}"/>
    <cellStyle name="Normal 9 3 3 2 4 2 2 4" xfId="16724" xr:uid="{5A606CCB-BAC4-476C-9FAD-5099ABE4D8BE}"/>
    <cellStyle name="Normal 9 3 3 2 4 2 3" xfId="20947" xr:uid="{EED996C1-BE85-4196-9DFF-0B94E4893F77}"/>
    <cellStyle name="Normal 9 3 3 2 4 2 4" xfId="29394" xr:uid="{C6261BEF-3ADC-4EE2-9AC6-853CB719962C}"/>
    <cellStyle name="Normal 9 3 3 2 4 2 5" xfId="12506" xr:uid="{6EAC5862-236C-4279-860F-A48E853E8D15}"/>
    <cellStyle name="Normal 9 3 3 2 4 3" xfId="6137" xr:uid="{00000000-0005-0000-0000-000007200000}"/>
    <cellStyle name="Normal 9 3 3 2 4 3 2" xfId="23020" xr:uid="{947280A3-5356-420E-8A92-4F9EE0AA27DC}"/>
    <cellStyle name="Normal 9 3 3 2 4 3 3" xfId="31466" xr:uid="{5A0C2EDB-5C27-4860-AAE9-B2E7A9374876}"/>
    <cellStyle name="Normal 9 3 3 2 4 3 4" xfId="14579" xr:uid="{EA8A8686-4FCF-4E43-9E2C-097232867933}"/>
    <cellStyle name="Normal 9 3 3 2 4 4" xfId="18802" xr:uid="{A97FAC3D-8BE0-42A6-9FBA-BF694F228027}"/>
    <cellStyle name="Normal 9 3 3 2 4 5" xfId="27247" xr:uid="{819D683E-E56A-4BA9-A225-FE98F53BD865}"/>
    <cellStyle name="Normal 9 3 3 2 4 6" xfId="10361" xr:uid="{BD451CC2-C7CD-4637-9D40-FA575168F3C8}"/>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25578" xr:uid="{93839DCD-81ED-4FAD-B4C6-0E29179EB702}"/>
    <cellStyle name="Normal 9 3 3 2 5 2 2 3" xfId="34024" xr:uid="{8FFB0B24-32CF-4D1F-8851-C8C2F93E7A2C}"/>
    <cellStyle name="Normal 9 3 3 2 5 2 2 4" xfId="17137" xr:uid="{D03BE9AB-C77F-4521-8BE6-5C6125E9AB17}"/>
    <cellStyle name="Normal 9 3 3 2 5 2 3" xfId="21360" xr:uid="{93A20184-8D96-48D9-A898-59680B4F64A2}"/>
    <cellStyle name="Normal 9 3 3 2 5 2 4" xfId="29807" xr:uid="{AACACE5E-97A7-4E6C-A651-A99F1F1F7335}"/>
    <cellStyle name="Normal 9 3 3 2 5 2 5" xfId="12919" xr:uid="{CCA1D4BF-625D-457F-975D-BF59D2C4DA83}"/>
    <cellStyle name="Normal 9 3 3 2 5 3" xfId="6550" xr:uid="{00000000-0005-0000-0000-00000B200000}"/>
    <cellStyle name="Normal 9 3 3 2 5 3 2" xfId="23433" xr:uid="{A56F30EF-5F99-421F-8391-4C82E0D94189}"/>
    <cellStyle name="Normal 9 3 3 2 5 3 3" xfId="31879" xr:uid="{C335262D-1CAC-4167-9972-2D8BB18E6AFF}"/>
    <cellStyle name="Normal 9 3 3 2 5 3 4" xfId="14992" xr:uid="{03861302-A266-42BB-B0DF-C1B4D0FF7AE6}"/>
    <cellStyle name="Normal 9 3 3 2 5 4" xfId="19215" xr:uid="{C1B43122-5E86-49F7-88EA-F3D8A9CA4DBF}"/>
    <cellStyle name="Normal 9 3 3 2 5 5" xfId="27660" xr:uid="{2CDA5B4A-C900-4D3B-87E9-5BB3B90D0052}"/>
    <cellStyle name="Normal 9 3 3 2 5 6" xfId="10774" xr:uid="{41D65487-F1BC-4BB7-ADE1-7FEF97A7DAC8}"/>
    <cellStyle name="Normal 9 3 3 2 6" xfId="2679" xr:uid="{00000000-0005-0000-0000-00000C200000}"/>
    <cellStyle name="Normal 9 3 3 2 6 2" xfId="6963" xr:uid="{00000000-0005-0000-0000-00000D200000}"/>
    <cellStyle name="Normal 9 3 3 2 6 2 2" xfId="23846" xr:uid="{C8312258-7979-44E6-A39F-21D6350F7F6D}"/>
    <cellStyle name="Normal 9 3 3 2 6 2 3" xfId="32292" xr:uid="{E86FCECC-8DD5-47EE-A44D-F82C506A992E}"/>
    <cellStyle name="Normal 9 3 3 2 6 2 4" xfId="15405" xr:uid="{5989F7E5-8997-4D1C-A29D-3A5C8C0680A8}"/>
    <cellStyle name="Normal 9 3 3 2 6 3" xfId="19628" xr:uid="{D2F4220C-53ED-4C84-876F-6C84DB428C0B}"/>
    <cellStyle name="Normal 9 3 3 2 6 4" xfId="28073" xr:uid="{05CD5BC6-6540-4876-A592-9F757D851621}"/>
    <cellStyle name="Normal 9 3 3 2 6 5" xfId="11187" xr:uid="{B686BC47-2F35-4716-A5A2-96B28C469977}"/>
    <cellStyle name="Normal 9 3 3 2 7" xfId="4898" xr:uid="{00000000-0005-0000-0000-00000E200000}"/>
    <cellStyle name="Normal 9 3 3 2 7 2" xfId="21781" xr:uid="{314DD681-60D0-404A-A134-0E542FA15422}"/>
    <cellStyle name="Normal 9 3 3 2 7 3" xfId="30227" xr:uid="{1D120705-0C1F-4791-8495-8E74B4E2DE7D}"/>
    <cellStyle name="Normal 9 3 3 2 7 4" xfId="13340" xr:uid="{007663E3-5A56-4C6F-838D-22B392BECE6C}"/>
    <cellStyle name="Normal 9 3 3 2 8" xfId="17563" xr:uid="{E917F3D7-6E92-4350-87D0-D6AEA8614564}"/>
    <cellStyle name="Normal 9 3 3 2 9" xfId="26008" xr:uid="{EF1E5AE0-87AB-48E6-9653-3B158F66B8F2}"/>
    <cellStyle name="Normal 9 3 3 3" xfId="999" xr:uid="{00000000-0005-0000-0000-00000F200000}"/>
    <cellStyle name="Normal 9 3 3 3 2" xfId="3232" xr:uid="{00000000-0005-0000-0000-000010200000}"/>
    <cellStyle name="Normal 9 3 3 3 2 2" xfId="7455" xr:uid="{00000000-0005-0000-0000-000011200000}"/>
    <cellStyle name="Normal 9 3 3 3 2 2 2" xfId="24338" xr:uid="{715C2D52-69E4-4413-AD7A-39A9C51C11FC}"/>
    <cellStyle name="Normal 9 3 3 3 2 2 3" xfId="32784" xr:uid="{FB5B45F4-C499-4087-9900-2FBE0593385B}"/>
    <cellStyle name="Normal 9 3 3 3 2 2 4" xfId="15897" xr:uid="{89308702-E7B0-410C-95A8-E00F31CB525B}"/>
    <cellStyle name="Normal 9 3 3 3 2 3" xfId="20120" xr:uid="{3BDFCE48-EAE9-4FCE-90C0-479A4E72005C}"/>
    <cellStyle name="Normal 9 3 3 3 2 4" xfId="28567" xr:uid="{62E11F51-A388-4585-91EB-CDEB71FDE91D}"/>
    <cellStyle name="Normal 9 3 3 3 2 5" xfId="11679" xr:uid="{E80B5B55-79F2-41D3-8AE3-D0FE8D5E18AA}"/>
    <cellStyle name="Normal 9 3 3 3 3" xfId="5310" xr:uid="{00000000-0005-0000-0000-000012200000}"/>
    <cellStyle name="Normal 9 3 3 3 3 2" xfId="22193" xr:uid="{F7C2E347-783C-4C16-BDAB-3827627ECDC5}"/>
    <cellStyle name="Normal 9 3 3 3 3 3" xfId="30639" xr:uid="{730A145F-EC6F-4600-926C-F676B894EE60}"/>
    <cellStyle name="Normal 9 3 3 3 3 4" xfId="13752" xr:uid="{467D55DF-B4CE-4D5E-928E-A1F8EFE7DCD7}"/>
    <cellStyle name="Normal 9 3 3 3 4" xfId="17975" xr:uid="{48303660-19DD-4E42-85EE-D255A3FED8BC}"/>
    <cellStyle name="Normal 9 3 3 3 5" xfId="26420" xr:uid="{F81F6871-1B73-447A-B191-DDEE07112830}"/>
    <cellStyle name="Normal 9 3 3 3 6" xfId="9534" xr:uid="{B8C8C149-A213-44A0-8F7B-7E2FFFBA75D7}"/>
    <cellStyle name="Normal 9 3 3 4" xfId="1415" xr:uid="{00000000-0005-0000-0000-000013200000}"/>
    <cellStyle name="Normal 9 3 3 4 2" xfId="3645" xr:uid="{00000000-0005-0000-0000-000014200000}"/>
    <cellStyle name="Normal 9 3 3 4 2 2" xfId="7868" xr:uid="{00000000-0005-0000-0000-000015200000}"/>
    <cellStyle name="Normal 9 3 3 4 2 2 2" xfId="24751" xr:uid="{C83CF9D9-EFD2-46E5-8159-57A6EB1D08BB}"/>
    <cellStyle name="Normal 9 3 3 4 2 2 3" xfId="33197" xr:uid="{B43DAF95-70BA-4DD9-BE77-64ED8F9E21F4}"/>
    <cellStyle name="Normal 9 3 3 4 2 2 4" xfId="16310" xr:uid="{F7B95C73-31EC-4732-8624-1884411DC361}"/>
    <cellStyle name="Normal 9 3 3 4 2 3" xfId="20533" xr:uid="{85E3FEDE-7554-483F-B062-B07BC7F354F6}"/>
    <cellStyle name="Normal 9 3 3 4 2 4" xfId="28980" xr:uid="{95017675-623B-4638-81E9-7691614D2F8F}"/>
    <cellStyle name="Normal 9 3 3 4 2 5" xfId="12092" xr:uid="{56DAB823-9C75-4AF0-8EA7-F18C31A10AFB}"/>
    <cellStyle name="Normal 9 3 3 4 3" xfId="5723" xr:uid="{00000000-0005-0000-0000-000016200000}"/>
    <cellStyle name="Normal 9 3 3 4 3 2" xfId="22606" xr:uid="{6F3AE26B-E5F0-436B-906B-853D152CF513}"/>
    <cellStyle name="Normal 9 3 3 4 3 3" xfId="31052" xr:uid="{2B8A28CA-2159-4BE7-B6ED-9A420899D791}"/>
    <cellStyle name="Normal 9 3 3 4 3 4" xfId="14165" xr:uid="{791A57EE-ADCC-48A1-8A26-06A3A3D1BCD3}"/>
    <cellStyle name="Normal 9 3 3 4 4" xfId="18388" xr:uid="{A1A9E8D1-522B-437A-AEE6-D1421D7D8DD5}"/>
    <cellStyle name="Normal 9 3 3 4 5" xfId="26833" xr:uid="{E7546CD5-C2E5-4A55-98B3-D8E9D9EAF87B}"/>
    <cellStyle name="Normal 9 3 3 4 6" xfId="9947" xr:uid="{BFEB7175-CDE0-47FA-8A11-DC886436D129}"/>
    <cellStyle name="Normal 9 3 3 5" xfId="1828" xr:uid="{00000000-0005-0000-0000-000017200000}"/>
    <cellStyle name="Normal 9 3 3 5 2" xfId="4058" xr:uid="{00000000-0005-0000-0000-000018200000}"/>
    <cellStyle name="Normal 9 3 3 5 2 2" xfId="8281" xr:uid="{00000000-0005-0000-0000-000019200000}"/>
    <cellStyle name="Normal 9 3 3 5 2 2 2" xfId="25164" xr:uid="{9DC55C09-6485-49E5-A399-68937EEFBEF0}"/>
    <cellStyle name="Normal 9 3 3 5 2 2 3" xfId="33610" xr:uid="{5A979AB5-3446-44BC-B108-34A8927A1D95}"/>
    <cellStyle name="Normal 9 3 3 5 2 2 4" xfId="16723" xr:uid="{24A112C4-2B6B-49EE-86A1-598AC3A57749}"/>
    <cellStyle name="Normal 9 3 3 5 2 3" xfId="20946" xr:uid="{8491006B-5D58-44F9-8FFD-37C4E83901A6}"/>
    <cellStyle name="Normal 9 3 3 5 2 4" xfId="29393" xr:uid="{A16A23F8-4171-464F-8E57-23D1EAC83F93}"/>
    <cellStyle name="Normal 9 3 3 5 2 5" xfId="12505" xr:uid="{40410BFE-AC75-43C6-81D8-5156B22B0981}"/>
    <cellStyle name="Normal 9 3 3 5 3" xfId="6136" xr:uid="{00000000-0005-0000-0000-00001A200000}"/>
    <cellStyle name="Normal 9 3 3 5 3 2" xfId="23019" xr:uid="{2E2D3816-6CE0-4002-9A53-94FCE19F29BF}"/>
    <cellStyle name="Normal 9 3 3 5 3 3" xfId="31465" xr:uid="{FD95D537-A6EA-493A-A5F8-51A3482DF8D2}"/>
    <cellStyle name="Normal 9 3 3 5 3 4" xfId="14578" xr:uid="{2F0D2E42-1AB7-48AF-B499-91C9A49C3A55}"/>
    <cellStyle name="Normal 9 3 3 5 4" xfId="18801" xr:uid="{2B2EE1B5-1C35-48E9-AB09-18D05B880AB5}"/>
    <cellStyle name="Normal 9 3 3 5 5" xfId="27246" xr:uid="{F66EA9B3-D1C7-4C3F-9DAE-DCC7B6E29F5C}"/>
    <cellStyle name="Normal 9 3 3 5 6" xfId="10360" xr:uid="{DB74194E-CAB7-433C-97A1-8E8B9F6BF64B}"/>
    <cellStyle name="Normal 9 3 3 6" xfId="2242" xr:uid="{00000000-0005-0000-0000-00001B200000}"/>
    <cellStyle name="Normal 9 3 3 6 2" xfId="4471" xr:uid="{00000000-0005-0000-0000-00001C200000}"/>
    <cellStyle name="Normal 9 3 3 6 2 2" xfId="8694" xr:uid="{00000000-0005-0000-0000-00001D200000}"/>
    <cellStyle name="Normal 9 3 3 6 2 2 2" xfId="25577" xr:uid="{A0B3A70E-4F52-4239-9C40-7DD819601618}"/>
    <cellStyle name="Normal 9 3 3 6 2 2 3" xfId="34023" xr:uid="{CB90B55E-15D9-483A-B0A1-85945CFF25CB}"/>
    <cellStyle name="Normal 9 3 3 6 2 2 4" xfId="17136" xr:uid="{083D4E50-9ACB-4DDE-A0C2-7AF0C9ECA6E9}"/>
    <cellStyle name="Normal 9 3 3 6 2 3" xfId="21359" xr:uid="{D9D98754-DF95-4261-BCD2-5E6895041D25}"/>
    <cellStyle name="Normal 9 3 3 6 2 4" xfId="29806" xr:uid="{DDE0701F-7C86-43A6-9A3C-76A9289AF365}"/>
    <cellStyle name="Normal 9 3 3 6 2 5" xfId="12918" xr:uid="{C100242B-6EC3-4CE3-9168-233A163F80C8}"/>
    <cellStyle name="Normal 9 3 3 6 3" xfId="6549" xr:uid="{00000000-0005-0000-0000-00001E200000}"/>
    <cellStyle name="Normal 9 3 3 6 3 2" xfId="23432" xr:uid="{D0643509-7AA3-4009-86CE-740A728EE0A5}"/>
    <cellStyle name="Normal 9 3 3 6 3 3" xfId="31878" xr:uid="{EA2D2D12-CC19-49FE-B54C-F7BF15AB6A49}"/>
    <cellStyle name="Normal 9 3 3 6 3 4" xfId="14991" xr:uid="{C2E96721-FBF2-4DCB-BE9C-EB8DC56774A3}"/>
    <cellStyle name="Normal 9 3 3 6 4" xfId="19214" xr:uid="{5B322869-38B4-495A-B2F9-85A0805A0B95}"/>
    <cellStyle name="Normal 9 3 3 6 5" xfId="27659" xr:uid="{A48B1329-43E2-4FC9-BAFB-2E4E1A80C00F}"/>
    <cellStyle name="Normal 9 3 3 6 6" xfId="10773" xr:uid="{62DD6C07-5FED-4849-8FEB-9C4E25E981B1}"/>
    <cellStyle name="Normal 9 3 3 7" xfId="2678" xr:uid="{00000000-0005-0000-0000-00001F200000}"/>
    <cellStyle name="Normal 9 3 3 7 2" xfId="6962" xr:uid="{00000000-0005-0000-0000-000020200000}"/>
    <cellStyle name="Normal 9 3 3 7 2 2" xfId="23845" xr:uid="{EBE9FF43-6A22-47CE-8E2F-84951BE5AF8D}"/>
    <cellStyle name="Normal 9 3 3 7 2 3" xfId="32291" xr:uid="{B83F0D49-C526-4853-8830-6BC256A741A7}"/>
    <cellStyle name="Normal 9 3 3 7 2 4" xfId="15404" xr:uid="{B88AF453-5268-4D0C-98ED-F359D5D56387}"/>
    <cellStyle name="Normal 9 3 3 7 3" xfId="19627" xr:uid="{1A928653-9E78-47C4-B87C-4925572EECF7}"/>
    <cellStyle name="Normal 9 3 3 7 4" xfId="28072" xr:uid="{A1E56D04-EA0E-4419-A332-93D0AA68D774}"/>
    <cellStyle name="Normal 9 3 3 7 5" xfId="11186" xr:uid="{93719B15-393B-427B-9326-70FCA1ECA976}"/>
    <cellStyle name="Normal 9 3 3 8" xfId="4897" xr:uid="{00000000-0005-0000-0000-000021200000}"/>
    <cellStyle name="Normal 9 3 3 8 2" xfId="21780" xr:uid="{4621198A-52E2-4A80-B525-BE1E4E92019A}"/>
    <cellStyle name="Normal 9 3 3 8 3" xfId="30226" xr:uid="{E3D88FAA-F966-419D-B99F-420E0461B0C7}"/>
    <cellStyle name="Normal 9 3 3 8 4" xfId="13339" xr:uid="{E587AA6E-3E28-485C-A6F0-CD0BCEA165BD}"/>
    <cellStyle name="Normal 9 3 3 9" xfId="17562" xr:uid="{39EAD14B-FDC3-43F5-A124-C43BABAFEF19}"/>
    <cellStyle name="Normal 9 3 4" xfId="534" xr:uid="{00000000-0005-0000-0000-000022200000}"/>
    <cellStyle name="Normal 9 3 4 10" xfId="9123" xr:uid="{CA5A5E6E-7945-45B4-A690-F52E109C9285}"/>
    <cellStyle name="Normal 9 3 4 2" xfId="1001" xr:uid="{00000000-0005-0000-0000-000023200000}"/>
    <cellStyle name="Normal 9 3 4 2 2" xfId="3234" xr:uid="{00000000-0005-0000-0000-000024200000}"/>
    <cellStyle name="Normal 9 3 4 2 2 2" xfId="7457" xr:uid="{00000000-0005-0000-0000-000025200000}"/>
    <cellStyle name="Normal 9 3 4 2 2 2 2" xfId="24340" xr:uid="{8BA714BD-39EA-4C8E-9F99-C8F7781DE9AF}"/>
    <cellStyle name="Normal 9 3 4 2 2 2 3" xfId="32786" xr:uid="{88441AC2-711B-488A-BFBA-E07DECBAEB61}"/>
    <cellStyle name="Normal 9 3 4 2 2 2 4" xfId="15899" xr:uid="{AD8D96D1-37E9-47B9-B40B-FC1013AA2430}"/>
    <cellStyle name="Normal 9 3 4 2 2 3" xfId="20122" xr:uid="{47AA9933-2E01-4B9E-8DE9-288EF0089F6C}"/>
    <cellStyle name="Normal 9 3 4 2 2 4" xfId="28569" xr:uid="{442BF4C8-B9E9-4DAF-8E43-34ED003377CD}"/>
    <cellStyle name="Normal 9 3 4 2 2 5" xfId="11681" xr:uid="{6E96C115-215E-4492-AED1-6EC66F82B06F}"/>
    <cellStyle name="Normal 9 3 4 2 3" xfId="5312" xr:uid="{00000000-0005-0000-0000-000026200000}"/>
    <cellStyle name="Normal 9 3 4 2 3 2" xfId="22195" xr:uid="{912E2554-EE3B-48D6-BF95-1A54EE5DCB1E}"/>
    <cellStyle name="Normal 9 3 4 2 3 3" xfId="30641" xr:uid="{D12D1D78-2AF2-4FA4-AA82-CC5E008BF0C5}"/>
    <cellStyle name="Normal 9 3 4 2 3 4" xfId="13754" xr:uid="{2DFE96D5-3FEB-413E-B7A7-15090D3F05F6}"/>
    <cellStyle name="Normal 9 3 4 2 4" xfId="17977" xr:uid="{ED61CAC5-B4FB-4B08-A80F-58D73F8831EB}"/>
    <cellStyle name="Normal 9 3 4 2 5" xfId="26422" xr:uid="{59464CA4-C773-4BD2-8B5E-6F4BFC2D936F}"/>
    <cellStyle name="Normal 9 3 4 2 6" xfId="9536" xr:uid="{1EBEBFD7-8033-45CB-86B7-C4001D7B73B7}"/>
    <cellStyle name="Normal 9 3 4 3" xfId="1417" xr:uid="{00000000-0005-0000-0000-000027200000}"/>
    <cellStyle name="Normal 9 3 4 3 2" xfId="3647" xr:uid="{00000000-0005-0000-0000-000028200000}"/>
    <cellStyle name="Normal 9 3 4 3 2 2" xfId="7870" xr:uid="{00000000-0005-0000-0000-000029200000}"/>
    <cellStyle name="Normal 9 3 4 3 2 2 2" xfId="24753" xr:uid="{F141741A-66C7-46F9-912E-0C57A28A16F2}"/>
    <cellStyle name="Normal 9 3 4 3 2 2 3" xfId="33199" xr:uid="{A209786B-71AC-4FF9-84C1-F7686C50C0E6}"/>
    <cellStyle name="Normal 9 3 4 3 2 2 4" xfId="16312" xr:uid="{47E1D38A-D974-44FC-A5C6-10F0ECAB497A}"/>
    <cellStyle name="Normal 9 3 4 3 2 3" xfId="20535" xr:uid="{8D67FF54-9E40-4B54-B57F-918800C1D033}"/>
    <cellStyle name="Normal 9 3 4 3 2 4" xfId="28982" xr:uid="{BC10C919-FF50-4D88-AB8A-5687C2824D2F}"/>
    <cellStyle name="Normal 9 3 4 3 2 5" xfId="12094" xr:uid="{926EEA47-FB35-4BEB-A3AF-92845C4C1A83}"/>
    <cellStyle name="Normal 9 3 4 3 3" xfId="5725" xr:uid="{00000000-0005-0000-0000-00002A200000}"/>
    <cellStyle name="Normal 9 3 4 3 3 2" xfId="22608" xr:uid="{1F489F6D-3DA7-4145-96E0-9B1F93B55DDE}"/>
    <cellStyle name="Normal 9 3 4 3 3 3" xfId="31054" xr:uid="{CE202F22-22B6-4CC3-905C-CC3B71E6DE9A}"/>
    <cellStyle name="Normal 9 3 4 3 3 4" xfId="14167" xr:uid="{9E655538-22A4-43DF-8E71-E03F71889762}"/>
    <cellStyle name="Normal 9 3 4 3 4" xfId="18390" xr:uid="{96B6671D-5F4E-4470-83FC-59D8C432F1A0}"/>
    <cellStyle name="Normal 9 3 4 3 5" xfId="26835" xr:uid="{2B3BF215-121A-4B1A-BEED-86A436004062}"/>
    <cellStyle name="Normal 9 3 4 3 6" xfId="9949" xr:uid="{FE86CCE4-2976-4C14-96DE-77E64A18E32F}"/>
    <cellStyle name="Normal 9 3 4 4" xfId="1830" xr:uid="{00000000-0005-0000-0000-00002B200000}"/>
    <cellStyle name="Normal 9 3 4 4 2" xfId="4060" xr:uid="{00000000-0005-0000-0000-00002C200000}"/>
    <cellStyle name="Normal 9 3 4 4 2 2" xfId="8283" xr:uid="{00000000-0005-0000-0000-00002D200000}"/>
    <cellStyle name="Normal 9 3 4 4 2 2 2" xfId="25166" xr:uid="{0DC9FC3A-4AE2-4843-B9B7-7110CFC20552}"/>
    <cellStyle name="Normal 9 3 4 4 2 2 3" xfId="33612" xr:uid="{C5AF49EF-112C-4A6B-BDAD-D391101FAB10}"/>
    <cellStyle name="Normal 9 3 4 4 2 2 4" xfId="16725" xr:uid="{F6F75DF5-1DA6-482B-A9A0-C256AB99E5C0}"/>
    <cellStyle name="Normal 9 3 4 4 2 3" xfId="20948" xr:uid="{C23D4E6F-5989-48CD-B9A7-EF298581287C}"/>
    <cellStyle name="Normal 9 3 4 4 2 4" xfId="29395" xr:uid="{E2BAE766-7D83-4BC1-A6C5-69F6CC7BF486}"/>
    <cellStyle name="Normal 9 3 4 4 2 5" xfId="12507" xr:uid="{6C32966F-D124-417E-A440-BDD50DEDEA4D}"/>
    <cellStyle name="Normal 9 3 4 4 3" xfId="6138" xr:uid="{00000000-0005-0000-0000-00002E200000}"/>
    <cellStyle name="Normal 9 3 4 4 3 2" xfId="23021" xr:uid="{46AF3844-278F-4402-A68B-1B7BFFFA482A}"/>
    <cellStyle name="Normal 9 3 4 4 3 3" xfId="31467" xr:uid="{533B7709-540F-4A85-9A64-418712284C99}"/>
    <cellStyle name="Normal 9 3 4 4 3 4" xfId="14580" xr:uid="{76066302-1B75-4D7C-B6C5-37449C97AB04}"/>
    <cellStyle name="Normal 9 3 4 4 4" xfId="18803" xr:uid="{73C536CD-EAB9-4590-B72A-F40E421253FC}"/>
    <cellStyle name="Normal 9 3 4 4 5" xfId="27248" xr:uid="{8CE1C4ED-57CF-4130-B44E-A2270D8CF63E}"/>
    <cellStyle name="Normal 9 3 4 4 6" xfId="10362" xr:uid="{535A6462-2EC4-49B8-B5C9-9F31E7301619}"/>
    <cellStyle name="Normal 9 3 4 5" xfId="2244" xr:uid="{00000000-0005-0000-0000-00002F200000}"/>
    <cellStyle name="Normal 9 3 4 5 2" xfId="4473" xr:uid="{00000000-0005-0000-0000-000030200000}"/>
    <cellStyle name="Normal 9 3 4 5 2 2" xfId="8696" xr:uid="{00000000-0005-0000-0000-000031200000}"/>
    <cellStyle name="Normal 9 3 4 5 2 2 2" xfId="25579" xr:uid="{5F0416C9-660E-4EDD-BC5B-3DE2F7FAA036}"/>
    <cellStyle name="Normal 9 3 4 5 2 2 3" xfId="34025" xr:uid="{4AC21082-A5FA-43D1-B005-5D514CE0C1E8}"/>
    <cellStyle name="Normal 9 3 4 5 2 2 4" xfId="17138" xr:uid="{37DE4B24-9417-4F3D-B52C-BC6C87AF2D6D}"/>
    <cellStyle name="Normal 9 3 4 5 2 3" xfId="21361" xr:uid="{E311627A-6ECD-40B3-B26C-6FC354F4146B}"/>
    <cellStyle name="Normal 9 3 4 5 2 4" xfId="29808" xr:uid="{3201AF6E-1347-4BFD-943D-910142C0B6C2}"/>
    <cellStyle name="Normal 9 3 4 5 2 5" xfId="12920" xr:uid="{5F653950-9A96-4AFF-9D8D-C10973D3A114}"/>
    <cellStyle name="Normal 9 3 4 5 3" xfId="6551" xr:uid="{00000000-0005-0000-0000-000032200000}"/>
    <cellStyle name="Normal 9 3 4 5 3 2" xfId="23434" xr:uid="{A03692C0-99EA-4396-A2CE-0D75A60F54D4}"/>
    <cellStyle name="Normal 9 3 4 5 3 3" xfId="31880" xr:uid="{29117BF2-77CC-4A6E-87AA-8704356152B7}"/>
    <cellStyle name="Normal 9 3 4 5 3 4" xfId="14993" xr:uid="{60BA5AAB-07F0-4E9D-9717-BBDF884A2DC6}"/>
    <cellStyle name="Normal 9 3 4 5 4" xfId="19216" xr:uid="{B4C7CDB1-B04D-45DE-AD04-534D8840133D}"/>
    <cellStyle name="Normal 9 3 4 5 5" xfId="27661" xr:uid="{63ACCE36-C615-4CC5-BBC1-1B1EC550B135}"/>
    <cellStyle name="Normal 9 3 4 5 6" xfId="10775" xr:uid="{5973D3D4-4A83-4961-991D-677A818CFBF3}"/>
    <cellStyle name="Normal 9 3 4 6" xfId="2680" xr:uid="{00000000-0005-0000-0000-000033200000}"/>
    <cellStyle name="Normal 9 3 4 6 2" xfId="6964" xr:uid="{00000000-0005-0000-0000-000034200000}"/>
    <cellStyle name="Normal 9 3 4 6 2 2" xfId="23847" xr:uid="{06AD0B07-8635-419C-A9D2-F4C133A0628E}"/>
    <cellStyle name="Normal 9 3 4 6 2 3" xfId="32293" xr:uid="{986AB06B-6510-479D-8369-75ED7C5E75D8}"/>
    <cellStyle name="Normal 9 3 4 6 2 4" xfId="15406" xr:uid="{8C52F737-BBF7-4D0A-80D2-1A765436E61B}"/>
    <cellStyle name="Normal 9 3 4 6 3" xfId="19629" xr:uid="{5D56D650-E737-4008-BBF1-F88E6324BC8E}"/>
    <cellStyle name="Normal 9 3 4 6 4" xfId="28074" xr:uid="{446B4D4A-C02E-40A4-A4E3-B7DCE3778DFB}"/>
    <cellStyle name="Normal 9 3 4 6 5" xfId="11188" xr:uid="{0220D8B4-3C89-4493-B6B5-86332E2F6BEE}"/>
    <cellStyle name="Normal 9 3 4 7" xfId="4899" xr:uid="{00000000-0005-0000-0000-000035200000}"/>
    <cellStyle name="Normal 9 3 4 7 2" xfId="21782" xr:uid="{2A75D631-9439-4221-9FBA-BA29F7D3FE4E}"/>
    <cellStyle name="Normal 9 3 4 7 3" xfId="30228" xr:uid="{83EAEAA8-305E-4976-899D-2528C07E640F}"/>
    <cellStyle name="Normal 9 3 4 7 4" xfId="13341" xr:uid="{36DF57BC-6881-4CEE-B266-6FCE6CCFEFBA}"/>
    <cellStyle name="Normal 9 3 4 8" xfId="17564" xr:uid="{D5E3B91A-48BE-47C4-A483-2836025A30B8}"/>
    <cellStyle name="Normal 9 3 4 9" xfId="26009" xr:uid="{73316DAB-577D-4341-8248-9B46B98B51C7}"/>
    <cellStyle name="Normal 9 3 5" xfId="994" xr:uid="{00000000-0005-0000-0000-000036200000}"/>
    <cellStyle name="Normal 9 3 5 2" xfId="3227" xr:uid="{00000000-0005-0000-0000-000037200000}"/>
    <cellStyle name="Normal 9 3 5 2 2" xfId="7450" xr:uid="{00000000-0005-0000-0000-000038200000}"/>
    <cellStyle name="Normal 9 3 5 2 2 2" xfId="24333" xr:uid="{FDD3027A-7909-40CF-84F1-85DABA912AAB}"/>
    <cellStyle name="Normal 9 3 5 2 2 3" xfId="32779" xr:uid="{E93B02A8-ABCC-4DA7-A5EF-5983FED2B277}"/>
    <cellStyle name="Normal 9 3 5 2 2 4" xfId="15892" xr:uid="{B1DB939A-05E9-4664-B7BA-FD9A294A721E}"/>
    <cellStyle name="Normal 9 3 5 2 3" xfId="20115" xr:uid="{0C3A7385-B76A-4380-91A2-4F6CA4DA2987}"/>
    <cellStyle name="Normal 9 3 5 2 4" xfId="28562" xr:uid="{F8624D4C-C1C7-4BBA-90CF-DD330B7913E9}"/>
    <cellStyle name="Normal 9 3 5 2 5" xfId="11674" xr:uid="{2014AF52-D37D-4C62-91B9-C3AA5E3BC10B}"/>
    <cellStyle name="Normal 9 3 5 3" xfId="5305" xr:uid="{00000000-0005-0000-0000-000039200000}"/>
    <cellStyle name="Normal 9 3 5 3 2" xfId="22188" xr:uid="{EAB2274C-77AC-4EF5-8668-3340B51B26C4}"/>
    <cellStyle name="Normal 9 3 5 3 3" xfId="30634" xr:uid="{9CD5D584-7C3F-4E99-B3B1-D3BADE0834B4}"/>
    <cellStyle name="Normal 9 3 5 3 4" xfId="13747" xr:uid="{C892E461-6CF1-4898-85A4-BF9903290D74}"/>
    <cellStyle name="Normal 9 3 5 4" xfId="17970" xr:uid="{A153683D-8439-4B38-B1B6-D4D6D15C8DD4}"/>
    <cellStyle name="Normal 9 3 5 5" xfId="26415" xr:uid="{ADB8E64C-44D9-447B-A87E-FAED42A2EB3D}"/>
    <cellStyle name="Normal 9 3 5 6" xfId="9529" xr:uid="{C5C307FD-7DA2-4262-985A-F472776C5151}"/>
    <cellStyle name="Normal 9 3 6" xfId="1410" xr:uid="{00000000-0005-0000-0000-00003A200000}"/>
    <cellStyle name="Normal 9 3 6 2" xfId="3640" xr:uid="{00000000-0005-0000-0000-00003B200000}"/>
    <cellStyle name="Normal 9 3 6 2 2" xfId="7863" xr:uid="{00000000-0005-0000-0000-00003C200000}"/>
    <cellStyle name="Normal 9 3 6 2 2 2" xfId="24746" xr:uid="{AD8CFFBF-5845-4C01-8C1A-E0D54882A853}"/>
    <cellStyle name="Normal 9 3 6 2 2 3" xfId="33192" xr:uid="{B784A951-A038-4462-9B84-7C10D3119C96}"/>
    <cellStyle name="Normal 9 3 6 2 2 4" xfId="16305" xr:uid="{A03E36CB-0E48-4863-BD55-FD5C636A7B25}"/>
    <cellStyle name="Normal 9 3 6 2 3" xfId="20528" xr:uid="{93D58E67-D523-41B4-BD08-400657733EFF}"/>
    <cellStyle name="Normal 9 3 6 2 4" xfId="28975" xr:uid="{E17777BE-C655-4D70-9CED-217D3611804F}"/>
    <cellStyle name="Normal 9 3 6 2 5" xfId="12087" xr:uid="{34E76B24-2F3C-4F89-BA0F-B9ED7D7B4B55}"/>
    <cellStyle name="Normal 9 3 6 3" xfId="5718" xr:uid="{00000000-0005-0000-0000-00003D200000}"/>
    <cellStyle name="Normal 9 3 6 3 2" xfId="22601" xr:uid="{26D350E7-7278-41E6-8E35-E8ACD1DE5B37}"/>
    <cellStyle name="Normal 9 3 6 3 3" xfId="31047" xr:uid="{CFAA53F4-6A9D-4222-B29B-94B09192538C}"/>
    <cellStyle name="Normal 9 3 6 3 4" xfId="14160" xr:uid="{996E53F8-6740-471A-BC3E-9E6ABFB2FE9E}"/>
    <cellStyle name="Normal 9 3 6 4" xfId="18383" xr:uid="{DBCFC7A7-9479-479B-8BBC-CEB1E33B4D00}"/>
    <cellStyle name="Normal 9 3 6 5" xfId="26828" xr:uid="{B06221CE-56FD-49CC-A50F-A3979936337F}"/>
    <cellStyle name="Normal 9 3 6 6" xfId="9942" xr:uid="{0B0B60C1-C41D-4799-8298-0662F4F5B43C}"/>
    <cellStyle name="Normal 9 3 7" xfId="1823" xr:uid="{00000000-0005-0000-0000-00003E200000}"/>
    <cellStyle name="Normal 9 3 7 2" xfId="4053" xr:uid="{00000000-0005-0000-0000-00003F200000}"/>
    <cellStyle name="Normal 9 3 7 2 2" xfId="8276" xr:uid="{00000000-0005-0000-0000-000040200000}"/>
    <cellStyle name="Normal 9 3 7 2 2 2" xfId="25159" xr:uid="{F67F4BCB-79E0-4CB5-8535-32A4B97868EE}"/>
    <cellStyle name="Normal 9 3 7 2 2 3" xfId="33605" xr:uid="{649ED9D1-CB3E-4E2C-B101-ECCEF1AEABCD}"/>
    <cellStyle name="Normal 9 3 7 2 2 4" xfId="16718" xr:uid="{0545ADFA-EE52-48E4-AABB-CA5F75AB59A5}"/>
    <cellStyle name="Normal 9 3 7 2 3" xfId="20941" xr:uid="{71804984-85AC-4433-AAD2-489FEFF5CCA3}"/>
    <cellStyle name="Normal 9 3 7 2 4" xfId="29388" xr:uid="{EC9C4808-C90F-4465-9926-79A8606F966B}"/>
    <cellStyle name="Normal 9 3 7 2 5" xfId="12500" xr:uid="{E5347D4B-15E9-497D-8BCE-4F9867B72291}"/>
    <cellStyle name="Normal 9 3 7 3" xfId="6131" xr:uid="{00000000-0005-0000-0000-000041200000}"/>
    <cellStyle name="Normal 9 3 7 3 2" xfId="23014" xr:uid="{47B8F141-A369-4101-9CD4-80EC4B641F3C}"/>
    <cellStyle name="Normal 9 3 7 3 3" xfId="31460" xr:uid="{5E032A29-CD1D-4E30-9263-384761C0CC85}"/>
    <cellStyle name="Normal 9 3 7 3 4" xfId="14573" xr:uid="{E23C7F0E-8877-4951-9BB7-5C0E9B95B553}"/>
    <cellStyle name="Normal 9 3 7 4" xfId="18796" xr:uid="{47EC2E83-14CB-41C9-A130-477D8F9C04AF}"/>
    <cellStyle name="Normal 9 3 7 5" xfId="27241" xr:uid="{78EAB2F2-5BBA-4992-B934-059EE1E104F4}"/>
    <cellStyle name="Normal 9 3 7 6" xfId="10355" xr:uid="{78878E35-20D6-4482-A3AF-08247EC67563}"/>
    <cellStyle name="Normal 9 3 8" xfId="2237" xr:uid="{00000000-0005-0000-0000-000042200000}"/>
    <cellStyle name="Normal 9 3 8 2" xfId="4466" xr:uid="{00000000-0005-0000-0000-000043200000}"/>
    <cellStyle name="Normal 9 3 8 2 2" xfId="8689" xr:uid="{00000000-0005-0000-0000-000044200000}"/>
    <cellStyle name="Normal 9 3 8 2 2 2" xfId="25572" xr:uid="{7CF6B213-1A2C-4B83-9BB9-963C25A53176}"/>
    <cellStyle name="Normal 9 3 8 2 2 3" xfId="34018" xr:uid="{5A590921-AA4F-4662-A334-C7A37A7374B7}"/>
    <cellStyle name="Normal 9 3 8 2 2 4" xfId="17131" xr:uid="{482BC6C7-E944-4BCB-91F2-BCF5A78FE2DC}"/>
    <cellStyle name="Normal 9 3 8 2 3" xfId="21354" xr:uid="{76C4B0BA-C5CE-48B1-AD23-2900570B31D1}"/>
    <cellStyle name="Normal 9 3 8 2 4" xfId="29801" xr:uid="{C9D83C5A-A17E-4B30-BF08-52BEF55A9EA2}"/>
    <cellStyle name="Normal 9 3 8 2 5" xfId="12913" xr:uid="{08B8D834-BACB-43C3-8B25-5DA60E7FF416}"/>
    <cellStyle name="Normal 9 3 8 3" xfId="6544" xr:uid="{00000000-0005-0000-0000-000045200000}"/>
    <cellStyle name="Normal 9 3 8 3 2" xfId="23427" xr:uid="{CF2F8677-A398-44F3-855C-080D1FF15579}"/>
    <cellStyle name="Normal 9 3 8 3 3" xfId="31873" xr:uid="{EAAEBF86-0740-4976-B7B5-8F6FA94FEEEC}"/>
    <cellStyle name="Normal 9 3 8 3 4" xfId="14986" xr:uid="{09A1F3D7-BF60-4665-8EFD-017CF3B9317F}"/>
    <cellStyle name="Normal 9 3 8 4" xfId="19209" xr:uid="{C2CFF6B6-45E1-4CD8-90AC-F65695A7A7FE}"/>
    <cellStyle name="Normal 9 3 8 5" xfId="27654" xr:uid="{8E7EB569-C89D-468B-BB44-1D78B8F27754}"/>
    <cellStyle name="Normal 9 3 8 6" xfId="10768" xr:uid="{608EBBA8-DC34-4A76-A5B7-A86FB420822E}"/>
    <cellStyle name="Normal 9 3 9" xfId="2673" xr:uid="{00000000-0005-0000-0000-000046200000}"/>
    <cellStyle name="Normal 9 3 9 2" xfId="6957" xr:uid="{00000000-0005-0000-0000-000047200000}"/>
    <cellStyle name="Normal 9 3 9 2 2" xfId="23840" xr:uid="{AD6AF423-5A42-465B-BCFB-BC2FC1335F0F}"/>
    <cellStyle name="Normal 9 3 9 2 3" xfId="32286" xr:uid="{C859B887-0108-48AB-AD98-89C4C573D178}"/>
    <cellStyle name="Normal 9 3 9 2 4" xfId="15399" xr:uid="{6FDE48EE-1356-4223-AB0A-1E28AB52CB06}"/>
    <cellStyle name="Normal 9 3 9 3" xfId="19622" xr:uid="{E82FFDE5-1BD2-49D8-BB66-E01ED5855DC1}"/>
    <cellStyle name="Normal 9 3 9 4" xfId="28067" xr:uid="{FC118229-F99A-49E6-A7F6-FD94013FBC58}"/>
    <cellStyle name="Normal 9 3 9 5" xfId="11181" xr:uid="{11A0F8B7-4417-4130-B853-22DCCA0EF27D}"/>
    <cellStyle name="Normal 9 4" xfId="535" xr:uid="{00000000-0005-0000-0000-000048200000}"/>
    <cellStyle name="Normal 9 4 2" xfId="1002" xr:uid="{00000000-0005-0000-0000-000049200000}"/>
    <cellStyle name="Normal 9 5" xfId="536" xr:uid="{00000000-0005-0000-0000-00004A200000}"/>
    <cellStyle name="Normal 9 5 10" xfId="26010" xr:uid="{51AF2CC6-9B5B-4A69-9BD9-0196C3FAADA6}"/>
    <cellStyle name="Normal 9 5 11" xfId="9124" xr:uid="{DDB0EB6B-CAD4-46C3-AA85-26EA9D8C5005}"/>
    <cellStyle name="Normal 9 5 2" xfId="537" xr:uid="{00000000-0005-0000-0000-00004B200000}"/>
    <cellStyle name="Normal 9 5 2 10" xfId="9125" xr:uid="{CDC7DAF2-18CF-4AC1-8291-0D8B837CD7B9}"/>
    <cellStyle name="Normal 9 5 2 2" xfId="1004" xr:uid="{00000000-0005-0000-0000-00004C200000}"/>
    <cellStyle name="Normal 9 5 2 2 2" xfId="3236" xr:uid="{00000000-0005-0000-0000-00004D200000}"/>
    <cellStyle name="Normal 9 5 2 2 2 2" xfId="7459" xr:uid="{00000000-0005-0000-0000-00004E200000}"/>
    <cellStyle name="Normal 9 5 2 2 2 2 2" xfId="24342" xr:uid="{11DAC197-C923-4E59-8560-ACBC833052BE}"/>
    <cellStyle name="Normal 9 5 2 2 2 2 3" xfId="32788" xr:uid="{FB9DF263-C44E-4718-B66B-264A2818EFB2}"/>
    <cellStyle name="Normal 9 5 2 2 2 2 4" xfId="15901" xr:uid="{9E143C57-4D68-43E7-9CD8-2A9CC96DD893}"/>
    <cellStyle name="Normal 9 5 2 2 2 3" xfId="20124" xr:uid="{4857480B-0AC4-4C5D-9CB2-3AAA315F544F}"/>
    <cellStyle name="Normal 9 5 2 2 2 4" xfId="28571" xr:uid="{8CE8871B-2280-434A-83BB-9E5F8D30C970}"/>
    <cellStyle name="Normal 9 5 2 2 2 5" xfId="11683" xr:uid="{0B70E740-3250-4A87-BBCF-867D1EA35BCF}"/>
    <cellStyle name="Normal 9 5 2 2 3" xfId="5314" xr:uid="{00000000-0005-0000-0000-00004F200000}"/>
    <cellStyle name="Normal 9 5 2 2 3 2" xfId="22197" xr:uid="{AFE54978-5AA3-4D2F-BA46-BB5518EEEB3C}"/>
    <cellStyle name="Normal 9 5 2 2 3 3" xfId="30643" xr:uid="{C6E7D2E1-6BC2-4886-8436-BCDE340E9B3F}"/>
    <cellStyle name="Normal 9 5 2 2 3 4" xfId="13756" xr:uid="{8E3D7CD6-F726-4992-9821-7AC8AE5187B9}"/>
    <cellStyle name="Normal 9 5 2 2 4" xfId="17979" xr:uid="{7B32BD84-AC9E-48A0-B344-DED6B5204E05}"/>
    <cellStyle name="Normal 9 5 2 2 5" xfId="26424" xr:uid="{BC50C8AD-4576-4F6F-B9CC-15567617A5FE}"/>
    <cellStyle name="Normal 9 5 2 2 6" xfId="9538" xr:uid="{6DAB4288-183B-4BF2-BDB5-20A5DB3D4F5D}"/>
    <cellStyle name="Normal 9 5 2 3" xfId="1419" xr:uid="{00000000-0005-0000-0000-000050200000}"/>
    <cellStyle name="Normal 9 5 2 3 2" xfId="3649" xr:uid="{00000000-0005-0000-0000-000051200000}"/>
    <cellStyle name="Normal 9 5 2 3 2 2" xfId="7872" xr:uid="{00000000-0005-0000-0000-000052200000}"/>
    <cellStyle name="Normal 9 5 2 3 2 2 2" xfId="24755" xr:uid="{80073B50-CA3A-4223-B146-A5294966840F}"/>
    <cellStyle name="Normal 9 5 2 3 2 2 3" xfId="33201" xr:uid="{73FAD20C-A8FF-495E-8B8D-3CF9C0A821C3}"/>
    <cellStyle name="Normal 9 5 2 3 2 2 4" xfId="16314" xr:uid="{9D370148-C563-4CDA-86AE-F4C6FAE93013}"/>
    <cellStyle name="Normal 9 5 2 3 2 3" xfId="20537" xr:uid="{19F7B9C5-CE4A-40CD-99BE-29D06849F056}"/>
    <cellStyle name="Normal 9 5 2 3 2 4" xfId="28984" xr:uid="{68717345-987C-4519-ACA8-534F51D04055}"/>
    <cellStyle name="Normal 9 5 2 3 2 5" xfId="12096" xr:uid="{C8DE57AD-F5C9-4703-B769-0FFBFE92ABCD}"/>
    <cellStyle name="Normal 9 5 2 3 3" xfId="5727" xr:uid="{00000000-0005-0000-0000-000053200000}"/>
    <cellStyle name="Normal 9 5 2 3 3 2" xfId="22610" xr:uid="{FC211FE6-799D-460B-9759-741D90C34CBE}"/>
    <cellStyle name="Normal 9 5 2 3 3 3" xfId="31056" xr:uid="{FF650EF1-3665-432D-B444-B51C23EF7A8E}"/>
    <cellStyle name="Normal 9 5 2 3 3 4" xfId="14169" xr:uid="{30C86616-B20B-4113-9B44-A75FFD2601CE}"/>
    <cellStyle name="Normal 9 5 2 3 4" xfId="18392" xr:uid="{112994CB-250C-4B64-A10D-4889DFDDB851}"/>
    <cellStyle name="Normal 9 5 2 3 5" xfId="26837" xr:uid="{CA2963E6-2A7B-4C58-B2CB-1F52B1677B10}"/>
    <cellStyle name="Normal 9 5 2 3 6" xfId="9951" xr:uid="{606D493E-5EDF-41DD-8845-3C84BA2D20F0}"/>
    <cellStyle name="Normal 9 5 2 4" xfId="1832" xr:uid="{00000000-0005-0000-0000-000054200000}"/>
    <cellStyle name="Normal 9 5 2 4 2" xfId="4062" xr:uid="{00000000-0005-0000-0000-000055200000}"/>
    <cellStyle name="Normal 9 5 2 4 2 2" xfId="8285" xr:uid="{00000000-0005-0000-0000-000056200000}"/>
    <cellStyle name="Normal 9 5 2 4 2 2 2" xfId="25168" xr:uid="{8CE6F04E-DF5A-41FF-B8AD-4D9EF98FD3DC}"/>
    <cellStyle name="Normal 9 5 2 4 2 2 3" xfId="33614" xr:uid="{7AA33D8B-1F91-4855-A37D-C30C03B73F90}"/>
    <cellStyle name="Normal 9 5 2 4 2 2 4" xfId="16727" xr:uid="{F19AE6F7-5D3B-482C-B9B1-FF0EED43BE29}"/>
    <cellStyle name="Normal 9 5 2 4 2 3" xfId="20950" xr:uid="{E4806FE3-853C-4868-BBE8-4CE06B239849}"/>
    <cellStyle name="Normal 9 5 2 4 2 4" xfId="29397" xr:uid="{C0DBA5CF-BAA2-4D5D-85E8-CC4CEDF5FFD7}"/>
    <cellStyle name="Normal 9 5 2 4 2 5" xfId="12509" xr:uid="{C0864D36-3AF0-4B23-A5D5-13868B6A2965}"/>
    <cellStyle name="Normal 9 5 2 4 3" xfId="6140" xr:uid="{00000000-0005-0000-0000-000057200000}"/>
    <cellStyle name="Normal 9 5 2 4 3 2" xfId="23023" xr:uid="{C17F1776-451C-42E6-8C98-17C8DF9E91A9}"/>
    <cellStyle name="Normal 9 5 2 4 3 3" xfId="31469" xr:uid="{46AF0262-4250-45FA-9C16-EF8091F9F80D}"/>
    <cellStyle name="Normal 9 5 2 4 3 4" xfId="14582" xr:uid="{149E4804-D30B-45A7-949E-7DD5FECEEEDE}"/>
    <cellStyle name="Normal 9 5 2 4 4" xfId="18805" xr:uid="{201F7F32-63C6-4CEC-A21A-61D8DDD013A8}"/>
    <cellStyle name="Normal 9 5 2 4 5" xfId="27250" xr:uid="{6E068B05-8510-4909-B25D-BF2E617EB6D1}"/>
    <cellStyle name="Normal 9 5 2 4 6" xfId="10364" xr:uid="{6E5D31F4-7717-44B1-89D3-643670AF45EA}"/>
    <cellStyle name="Normal 9 5 2 5" xfId="2246" xr:uid="{00000000-0005-0000-0000-000058200000}"/>
    <cellStyle name="Normal 9 5 2 5 2" xfId="4475" xr:uid="{00000000-0005-0000-0000-000059200000}"/>
    <cellStyle name="Normal 9 5 2 5 2 2" xfId="8698" xr:uid="{00000000-0005-0000-0000-00005A200000}"/>
    <cellStyle name="Normal 9 5 2 5 2 2 2" xfId="25581" xr:uid="{9417121C-2CC4-48B8-8114-37C4B6F3A464}"/>
    <cellStyle name="Normal 9 5 2 5 2 2 3" xfId="34027" xr:uid="{31E3A0B4-FBAE-45C5-9377-63370CB92F58}"/>
    <cellStyle name="Normal 9 5 2 5 2 2 4" xfId="17140" xr:uid="{B672B337-7EF4-4B64-91D6-E7AC09BE58C2}"/>
    <cellStyle name="Normal 9 5 2 5 2 3" xfId="21363" xr:uid="{3397B0A0-6421-46BC-AFA3-58E5FCE75FD1}"/>
    <cellStyle name="Normal 9 5 2 5 2 4" xfId="29810" xr:uid="{D8D5FF51-9B13-4FF4-848F-78DB25E1ECC6}"/>
    <cellStyle name="Normal 9 5 2 5 2 5" xfId="12922" xr:uid="{081C5591-AD32-4350-AB2C-D2318F660977}"/>
    <cellStyle name="Normal 9 5 2 5 3" xfId="6553" xr:uid="{00000000-0005-0000-0000-00005B200000}"/>
    <cellStyle name="Normal 9 5 2 5 3 2" xfId="23436" xr:uid="{082ABB92-3E1E-4584-A8B1-51ECCBDE91EB}"/>
    <cellStyle name="Normal 9 5 2 5 3 3" xfId="31882" xr:uid="{BE79A56D-9D1A-42D1-89AC-8D97069F0C09}"/>
    <cellStyle name="Normal 9 5 2 5 3 4" xfId="14995" xr:uid="{6604C3D5-0E25-414D-9288-D4E9D7E4034B}"/>
    <cellStyle name="Normal 9 5 2 5 4" xfId="19218" xr:uid="{CC3291EB-D25F-448E-9AF4-85154D16A032}"/>
    <cellStyle name="Normal 9 5 2 5 5" xfId="27663" xr:uid="{17626A56-E5FF-448A-9B76-DF3B5483C72D}"/>
    <cellStyle name="Normal 9 5 2 5 6" xfId="10777" xr:uid="{D4A78302-4377-4BB1-A455-020235B59997}"/>
    <cellStyle name="Normal 9 5 2 6" xfId="2682" xr:uid="{00000000-0005-0000-0000-00005C200000}"/>
    <cellStyle name="Normal 9 5 2 6 2" xfId="6966" xr:uid="{00000000-0005-0000-0000-00005D200000}"/>
    <cellStyle name="Normal 9 5 2 6 2 2" xfId="23849" xr:uid="{FFAC3AA6-E3A0-4069-9177-1C56485FEF37}"/>
    <cellStyle name="Normal 9 5 2 6 2 3" xfId="32295" xr:uid="{2D3CF1CA-FA84-4B73-99F4-A0465062D4A3}"/>
    <cellStyle name="Normal 9 5 2 6 2 4" xfId="15408" xr:uid="{11C75E7A-FC6F-44D4-808E-96BAFD5B4A2A}"/>
    <cellStyle name="Normal 9 5 2 6 3" xfId="19631" xr:uid="{F1B21E41-6E89-486F-B1A2-39C937367C9C}"/>
    <cellStyle name="Normal 9 5 2 6 4" xfId="28076" xr:uid="{6DCDC790-771D-41D2-B66B-D02EF9C64396}"/>
    <cellStyle name="Normal 9 5 2 6 5" xfId="11190" xr:uid="{0734B67E-D0EF-40B9-B8EA-664095D5CDB0}"/>
    <cellStyle name="Normal 9 5 2 7" xfId="4901" xr:uid="{00000000-0005-0000-0000-00005E200000}"/>
    <cellStyle name="Normal 9 5 2 7 2" xfId="21784" xr:uid="{E27D3A5F-3D06-4AB3-8E64-130BFF24DCE3}"/>
    <cellStyle name="Normal 9 5 2 7 3" xfId="30230" xr:uid="{8AD3B8C0-AF3F-4A4C-BEEF-2AAAFC8AFF28}"/>
    <cellStyle name="Normal 9 5 2 7 4" xfId="13343" xr:uid="{C3B6C320-2764-4D7C-9F8B-DC6238F60A8B}"/>
    <cellStyle name="Normal 9 5 2 8" xfId="17566" xr:uid="{FE8580F0-0093-443B-8D19-24A3119E7B73}"/>
    <cellStyle name="Normal 9 5 2 9" xfId="26011" xr:uid="{3FD08C40-5A31-45A4-BB7D-472A7147F52F}"/>
    <cellStyle name="Normal 9 5 3" xfId="1003" xr:uid="{00000000-0005-0000-0000-00005F200000}"/>
    <cellStyle name="Normal 9 5 3 2" xfId="3235" xr:uid="{00000000-0005-0000-0000-000060200000}"/>
    <cellStyle name="Normal 9 5 3 2 2" xfId="7458" xr:uid="{00000000-0005-0000-0000-000061200000}"/>
    <cellStyle name="Normal 9 5 3 2 2 2" xfId="24341" xr:uid="{1ABBC82D-F1D9-4435-ABB4-C57F2DF3A40E}"/>
    <cellStyle name="Normal 9 5 3 2 2 3" xfId="32787" xr:uid="{C370DEC4-A2AE-4C66-8239-D5D73F55A484}"/>
    <cellStyle name="Normal 9 5 3 2 2 4" xfId="15900" xr:uid="{54D15E09-D2C0-41D6-8302-AD547A88C85F}"/>
    <cellStyle name="Normal 9 5 3 2 3" xfId="20123" xr:uid="{EF302177-091A-4AB7-A56B-BE250A6D9FDE}"/>
    <cellStyle name="Normal 9 5 3 2 4" xfId="28570" xr:uid="{44B333DB-51EC-4435-A6A4-9AB3A3EFDD93}"/>
    <cellStyle name="Normal 9 5 3 2 5" xfId="11682" xr:uid="{C4E5AA7D-D6C4-4D7B-B044-85967C0B33F7}"/>
    <cellStyle name="Normal 9 5 3 3" xfId="5313" xr:uid="{00000000-0005-0000-0000-000062200000}"/>
    <cellStyle name="Normal 9 5 3 3 2" xfId="22196" xr:uid="{72F0D443-CD1E-478E-8AEA-93CC8116168F}"/>
    <cellStyle name="Normal 9 5 3 3 3" xfId="30642" xr:uid="{DCD214E0-45B1-459B-8331-606A368F5822}"/>
    <cellStyle name="Normal 9 5 3 3 4" xfId="13755" xr:uid="{DC5D58FB-6BB0-4B34-B2A5-A1593CF890D0}"/>
    <cellStyle name="Normal 9 5 3 4" xfId="17978" xr:uid="{EEC8E129-FFCE-456A-946D-C22C34FAD3F0}"/>
    <cellStyle name="Normal 9 5 3 5" xfId="26423" xr:uid="{61E81FFB-D4BA-481C-A483-ADA9098AFA04}"/>
    <cellStyle name="Normal 9 5 3 6" xfId="9537" xr:uid="{803F96E4-1494-49AE-822C-E75235E34A74}"/>
    <cellStyle name="Normal 9 5 4" xfId="1418" xr:uid="{00000000-0005-0000-0000-000063200000}"/>
    <cellStyle name="Normal 9 5 4 2" xfId="3648" xr:uid="{00000000-0005-0000-0000-000064200000}"/>
    <cellStyle name="Normal 9 5 4 2 2" xfId="7871" xr:uid="{00000000-0005-0000-0000-000065200000}"/>
    <cellStyle name="Normal 9 5 4 2 2 2" xfId="24754" xr:uid="{2287D389-B0F2-4D7A-A576-3E3497AD7475}"/>
    <cellStyle name="Normal 9 5 4 2 2 3" xfId="33200" xr:uid="{EB50D680-371F-4B32-9CC0-4F0EEC77AA5E}"/>
    <cellStyle name="Normal 9 5 4 2 2 4" xfId="16313" xr:uid="{ADB2C9D8-4D8F-48D4-8636-715556BD511F}"/>
    <cellStyle name="Normal 9 5 4 2 3" xfId="20536" xr:uid="{2503E016-7F56-4FAC-A617-7C71AC198CC5}"/>
    <cellStyle name="Normal 9 5 4 2 4" xfId="28983" xr:uid="{CDE57A23-B763-45AB-8021-A5B5DF41DC2F}"/>
    <cellStyle name="Normal 9 5 4 2 5" xfId="12095" xr:uid="{012B8140-7867-4477-AFF0-89F4BDFD7475}"/>
    <cellStyle name="Normal 9 5 4 3" xfId="5726" xr:uid="{00000000-0005-0000-0000-000066200000}"/>
    <cellStyle name="Normal 9 5 4 3 2" xfId="22609" xr:uid="{CE9B5CE6-122C-4F44-B852-EB31C39809E9}"/>
    <cellStyle name="Normal 9 5 4 3 3" xfId="31055" xr:uid="{5896636B-BF92-473E-AC35-5A742ABD30EC}"/>
    <cellStyle name="Normal 9 5 4 3 4" xfId="14168" xr:uid="{74D6279A-0486-4584-A5FC-74502E9CE7CC}"/>
    <cellStyle name="Normal 9 5 4 4" xfId="18391" xr:uid="{ABB7414E-867C-49C7-9327-214F6FD7BCD2}"/>
    <cellStyle name="Normal 9 5 4 5" xfId="26836" xr:uid="{5882F887-5618-4180-B826-5CAC9A8987B6}"/>
    <cellStyle name="Normal 9 5 4 6" xfId="9950" xr:uid="{0C1C6E6E-4DB6-4BAC-B81B-A42B3F9CC372}"/>
    <cellStyle name="Normal 9 5 5" xfId="1831" xr:uid="{00000000-0005-0000-0000-000067200000}"/>
    <cellStyle name="Normal 9 5 5 2" xfId="4061" xr:uid="{00000000-0005-0000-0000-000068200000}"/>
    <cellStyle name="Normal 9 5 5 2 2" xfId="8284" xr:uid="{00000000-0005-0000-0000-000069200000}"/>
    <cellStyle name="Normal 9 5 5 2 2 2" xfId="25167" xr:uid="{405316FD-8FED-492C-BB6F-CF5231314492}"/>
    <cellStyle name="Normal 9 5 5 2 2 3" xfId="33613" xr:uid="{C497232E-1B99-4C4D-8B14-C366168D4114}"/>
    <cellStyle name="Normal 9 5 5 2 2 4" xfId="16726" xr:uid="{42FCEEAA-B041-482B-B537-0AA835E02E3D}"/>
    <cellStyle name="Normal 9 5 5 2 3" xfId="20949" xr:uid="{0457DCB4-C1F3-4991-9ADE-BE3A552AD96A}"/>
    <cellStyle name="Normal 9 5 5 2 4" xfId="29396" xr:uid="{350DB3E5-8F93-4A28-ADD8-6E6ED02D70EE}"/>
    <cellStyle name="Normal 9 5 5 2 5" xfId="12508" xr:uid="{FA15A166-EFD5-4791-9EAC-331E477159FD}"/>
    <cellStyle name="Normal 9 5 5 3" xfId="6139" xr:uid="{00000000-0005-0000-0000-00006A200000}"/>
    <cellStyle name="Normal 9 5 5 3 2" xfId="23022" xr:uid="{5E373164-8534-4608-97B4-A753DDFBC47A}"/>
    <cellStyle name="Normal 9 5 5 3 3" xfId="31468" xr:uid="{A569FDB5-B62B-463A-AFB2-858EC35ADC40}"/>
    <cellStyle name="Normal 9 5 5 3 4" xfId="14581" xr:uid="{3676629E-E56D-402B-A3A8-A7BB262AF683}"/>
    <cellStyle name="Normal 9 5 5 4" xfId="18804" xr:uid="{7C0E4EC9-537B-41CC-BC25-56DB797DD1AD}"/>
    <cellStyle name="Normal 9 5 5 5" xfId="27249" xr:uid="{65E19D7C-2E17-422C-ACC4-D41100647879}"/>
    <cellStyle name="Normal 9 5 5 6" xfId="10363" xr:uid="{BFFAC9CB-B5C6-47A8-B82C-4316BC7CB257}"/>
    <cellStyle name="Normal 9 5 6" xfId="2245" xr:uid="{00000000-0005-0000-0000-00006B200000}"/>
    <cellStyle name="Normal 9 5 6 2" xfId="4474" xr:uid="{00000000-0005-0000-0000-00006C200000}"/>
    <cellStyle name="Normal 9 5 6 2 2" xfId="8697" xr:uid="{00000000-0005-0000-0000-00006D200000}"/>
    <cellStyle name="Normal 9 5 6 2 2 2" xfId="25580" xr:uid="{AD07C506-A72B-49A1-856A-402AEDB5F57A}"/>
    <cellStyle name="Normal 9 5 6 2 2 3" xfId="34026" xr:uid="{83BF6424-0012-42E6-9E7D-0AAF430DAC8E}"/>
    <cellStyle name="Normal 9 5 6 2 2 4" xfId="17139" xr:uid="{DAEAC478-90BB-41A6-9838-FB81CB0075BE}"/>
    <cellStyle name="Normal 9 5 6 2 3" xfId="21362" xr:uid="{0ADD9AAB-C4FC-479C-BD7A-4ED535EE51A6}"/>
    <cellStyle name="Normal 9 5 6 2 4" xfId="29809" xr:uid="{EBB8AFC7-D6E1-4949-8A05-DBCDB3BE322C}"/>
    <cellStyle name="Normal 9 5 6 2 5" xfId="12921" xr:uid="{C2A1B371-B8E2-4810-B95E-EC5F8B264B0F}"/>
    <cellStyle name="Normal 9 5 6 3" xfId="6552" xr:uid="{00000000-0005-0000-0000-00006E200000}"/>
    <cellStyle name="Normal 9 5 6 3 2" xfId="23435" xr:uid="{E46D7C0B-78DC-4129-8BE8-C4374D02032E}"/>
    <cellStyle name="Normal 9 5 6 3 3" xfId="31881" xr:uid="{E3D6AD97-6E03-4A46-BA2D-E90CCDB2C6BD}"/>
    <cellStyle name="Normal 9 5 6 3 4" xfId="14994" xr:uid="{D3D80BC3-DD2A-4E83-A0F5-0C471769B9DB}"/>
    <cellStyle name="Normal 9 5 6 4" xfId="19217" xr:uid="{D5FD70BF-69C1-4A7A-8409-A239523E83BC}"/>
    <cellStyle name="Normal 9 5 6 5" xfId="27662" xr:uid="{4983F6FF-D02A-4163-A94F-1B9E21501813}"/>
    <cellStyle name="Normal 9 5 6 6" xfId="10776" xr:uid="{AA1CDAF5-8EF5-4AE1-A066-54628DBED17C}"/>
    <cellStyle name="Normal 9 5 7" xfId="2681" xr:uid="{00000000-0005-0000-0000-00006F200000}"/>
    <cellStyle name="Normal 9 5 7 2" xfId="6965" xr:uid="{00000000-0005-0000-0000-000070200000}"/>
    <cellStyle name="Normal 9 5 7 2 2" xfId="23848" xr:uid="{A50414F5-6F8C-4C72-A9A2-6EF920C848C9}"/>
    <cellStyle name="Normal 9 5 7 2 3" xfId="32294" xr:uid="{7E7E8922-E0D1-42FC-89EC-F6666779C396}"/>
    <cellStyle name="Normal 9 5 7 2 4" xfId="15407" xr:uid="{E27D5439-72CE-4D13-B1A3-49F1E22EDC72}"/>
    <cellStyle name="Normal 9 5 7 3" xfId="19630" xr:uid="{D351D10F-9286-4D8C-AB84-759A8A9062FC}"/>
    <cellStyle name="Normal 9 5 7 4" xfId="28075" xr:uid="{DDC76648-BC0E-4B43-8894-EE3479AAADC8}"/>
    <cellStyle name="Normal 9 5 7 5" xfId="11189" xr:uid="{1524027C-DA30-449F-9BD7-4242EA0045E5}"/>
    <cellStyle name="Normal 9 5 8" xfId="4900" xr:uid="{00000000-0005-0000-0000-000071200000}"/>
    <cellStyle name="Normal 9 5 8 2" xfId="21783" xr:uid="{2B129DBA-0953-44D5-A131-979A447B7DA3}"/>
    <cellStyle name="Normal 9 5 8 3" xfId="30229" xr:uid="{E0B770E1-3548-4710-BA84-3260F335C0B4}"/>
    <cellStyle name="Normal 9 5 8 4" xfId="13342" xr:uid="{0A825FCF-DE78-46E9-AC5A-CD7ECF910755}"/>
    <cellStyle name="Normal 9 5 9" xfId="17565" xr:uid="{1B435083-4249-4D6E-B396-1C4ACA87615C}"/>
    <cellStyle name="Normal 9 6" xfId="538" xr:uid="{00000000-0005-0000-0000-000072200000}"/>
    <cellStyle name="Normal 9 6 10" xfId="9126" xr:uid="{34DEC488-39DB-49F9-B543-AD50E55B8A6D}"/>
    <cellStyle name="Normal 9 6 2" xfId="1005" xr:uid="{00000000-0005-0000-0000-000073200000}"/>
    <cellStyle name="Normal 9 6 2 2" xfId="3237" xr:uid="{00000000-0005-0000-0000-000074200000}"/>
    <cellStyle name="Normal 9 6 2 2 2" xfId="7460" xr:uid="{00000000-0005-0000-0000-000075200000}"/>
    <cellStyle name="Normal 9 6 2 2 2 2" xfId="24343" xr:uid="{B2B7B351-83F7-44D0-8120-BEAAAB8AA31A}"/>
    <cellStyle name="Normal 9 6 2 2 2 3" xfId="32789" xr:uid="{6FE4799A-24D4-492D-AE0F-67A6E5DE9118}"/>
    <cellStyle name="Normal 9 6 2 2 2 4" xfId="15902" xr:uid="{EF197C71-2C5A-49F4-834E-E48685C23171}"/>
    <cellStyle name="Normal 9 6 2 2 3" xfId="20125" xr:uid="{D543E11F-A6ED-4243-854D-CC268F4931BF}"/>
    <cellStyle name="Normal 9 6 2 2 4" xfId="28572" xr:uid="{B04AEFB3-9B29-4F1A-BB25-D4698633BE32}"/>
    <cellStyle name="Normal 9 6 2 2 5" xfId="11684" xr:uid="{B3386950-7E09-406A-8AD8-9790C0D8D2C9}"/>
    <cellStyle name="Normal 9 6 2 3" xfId="5315" xr:uid="{00000000-0005-0000-0000-000076200000}"/>
    <cellStyle name="Normal 9 6 2 3 2" xfId="22198" xr:uid="{1D935006-6F22-43E6-96EE-11076B66D45C}"/>
    <cellStyle name="Normal 9 6 2 3 3" xfId="30644" xr:uid="{9C218FFE-B286-4569-9CAB-EB65433DDCB2}"/>
    <cellStyle name="Normal 9 6 2 3 4" xfId="13757" xr:uid="{69EAEF16-162B-4C99-A214-1425B0978277}"/>
    <cellStyle name="Normal 9 6 2 4" xfId="17980" xr:uid="{980AA26B-7420-410B-8550-1BB58C9FB4E8}"/>
    <cellStyle name="Normal 9 6 2 5" xfId="26425" xr:uid="{B2EB4789-6FF5-4348-B5FF-550F90818FAB}"/>
    <cellStyle name="Normal 9 6 2 6" xfId="9539" xr:uid="{CFDB69FB-F55F-4884-9EA0-3D60CA04C30C}"/>
    <cellStyle name="Normal 9 6 3" xfId="1420" xr:uid="{00000000-0005-0000-0000-000077200000}"/>
    <cellStyle name="Normal 9 6 3 2" xfId="3650" xr:uid="{00000000-0005-0000-0000-000078200000}"/>
    <cellStyle name="Normal 9 6 3 2 2" xfId="7873" xr:uid="{00000000-0005-0000-0000-000079200000}"/>
    <cellStyle name="Normal 9 6 3 2 2 2" xfId="24756" xr:uid="{173D9BEB-7535-4DC0-8162-8C7937574790}"/>
    <cellStyle name="Normal 9 6 3 2 2 3" xfId="33202" xr:uid="{F2177AC1-2C30-44A0-AFC7-8255F2A98E30}"/>
    <cellStyle name="Normal 9 6 3 2 2 4" xfId="16315" xr:uid="{B7ED2534-D0FC-43EE-8335-2A819246B027}"/>
    <cellStyle name="Normal 9 6 3 2 3" xfId="20538" xr:uid="{59CB8597-61BF-4E38-8791-96501B0942DD}"/>
    <cellStyle name="Normal 9 6 3 2 4" xfId="28985" xr:uid="{E0DA655B-2011-47B7-B400-9C55E1C88F8A}"/>
    <cellStyle name="Normal 9 6 3 2 5" xfId="12097" xr:uid="{7AA584BB-8D96-4801-AE9F-E27EBA172155}"/>
    <cellStyle name="Normal 9 6 3 3" xfId="5728" xr:uid="{00000000-0005-0000-0000-00007A200000}"/>
    <cellStyle name="Normal 9 6 3 3 2" xfId="22611" xr:uid="{0A3D96BE-A4DF-4FBA-A127-7C56392E8440}"/>
    <cellStyle name="Normal 9 6 3 3 3" xfId="31057" xr:uid="{D0274499-874A-42D1-945C-618E3ECB9F7E}"/>
    <cellStyle name="Normal 9 6 3 3 4" xfId="14170" xr:uid="{C352F65E-4405-4EDD-BDA7-388590B2F26F}"/>
    <cellStyle name="Normal 9 6 3 4" xfId="18393" xr:uid="{1832C825-0D42-4099-AEE4-EDE1BDFB5CB0}"/>
    <cellStyle name="Normal 9 6 3 5" xfId="26838" xr:uid="{318EE416-77A6-4B43-A4BA-084C4C580CD9}"/>
    <cellStyle name="Normal 9 6 3 6" xfId="9952" xr:uid="{1031E206-0BE5-460E-9518-1FF208A0872D}"/>
    <cellStyle name="Normal 9 6 4" xfId="1833" xr:uid="{00000000-0005-0000-0000-00007B200000}"/>
    <cellStyle name="Normal 9 6 4 2" xfId="4063" xr:uid="{00000000-0005-0000-0000-00007C200000}"/>
    <cellStyle name="Normal 9 6 4 2 2" xfId="8286" xr:uid="{00000000-0005-0000-0000-00007D200000}"/>
    <cellStyle name="Normal 9 6 4 2 2 2" xfId="25169" xr:uid="{9A1AED2B-7FEC-4F5F-92EC-20B7A754D4B7}"/>
    <cellStyle name="Normal 9 6 4 2 2 3" xfId="33615" xr:uid="{7D77AE3A-CAB7-4262-A247-E5110C11B2C3}"/>
    <cellStyle name="Normal 9 6 4 2 2 4" xfId="16728" xr:uid="{CDEFD3F0-5544-4324-9313-3E7C4FAD7545}"/>
    <cellStyle name="Normal 9 6 4 2 3" xfId="20951" xr:uid="{194EF81B-CC24-474C-BC4A-EF5B792F0317}"/>
    <cellStyle name="Normal 9 6 4 2 4" xfId="29398" xr:uid="{03B79072-73C4-4EA3-9D03-B25AD43A4317}"/>
    <cellStyle name="Normal 9 6 4 2 5" xfId="12510" xr:uid="{31AB1AC6-080B-4C49-8F7E-85922CAA1DD9}"/>
    <cellStyle name="Normal 9 6 4 3" xfId="6141" xr:uid="{00000000-0005-0000-0000-00007E200000}"/>
    <cellStyle name="Normal 9 6 4 3 2" xfId="23024" xr:uid="{7DA6B172-7CE6-4664-9983-916DA8972ADF}"/>
    <cellStyle name="Normal 9 6 4 3 3" xfId="31470" xr:uid="{D99CD51F-DF12-48EB-9A2F-69A079A90E6C}"/>
    <cellStyle name="Normal 9 6 4 3 4" xfId="14583" xr:uid="{F3AC4CC0-E9BA-4D2C-B554-E5E5916015CD}"/>
    <cellStyle name="Normal 9 6 4 4" xfId="18806" xr:uid="{602C8CEB-9536-410F-8F84-2D02EA97D0DE}"/>
    <cellStyle name="Normal 9 6 4 5" xfId="27251" xr:uid="{437F02B5-72A9-4209-932B-2655702F7AD1}"/>
    <cellStyle name="Normal 9 6 4 6" xfId="10365" xr:uid="{18179E02-FA09-48FF-B724-5D5A784C3702}"/>
    <cellStyle name="Normal 9 6 5" xfId="2247" xr:uid="{00000000-0005-0000-0000-00007F200000}"/>
    <cellStyle name="Normal 9 6 5 2" xfId="4476" xr:uid="{00000000-0005-0000-0000-000080200000}"/>
    <cellStyle name="Normal 9 6 5 2 2" xfId="8699" xr:uid="{00000000-0005-0000-0000-000081200000}"/>
    <cellStyle name="Normal 9 6 5 2 2 2" xfId="25582" xr:uid="{948C54A7-2422-41C2-9636-8800C800A207}"/>
    <cellStyle name="Normal 9 6 5 2 2 3" xfId="34028" xr:uid="{A68DAE18-F5FC-4ED5-8C69-CF100611BCC3}"/>
    <cellStyle name="Normal 9 6 5 2 2 4" xfId="17141" xr:uid="{64A5FB9D-0040-4E9D-AC81-1BE89C96535E}"/>
    <cellStyle name="Normal 9 6 5 2 3" xfId="21364" xr:uid="{87A7EED9-82FB-4F79-8EB1-0F2CDACC2934}"/>
    <cellStyle name="Normal 9 6 5 2 4" xfId="29811" xr:uid="{37B99C86-9995-41B7-BEB5-FED4EDEF65EC}"/>
    <cellStyle name="Normal 9 6 5 2 5" xfId="12923" xr:uid="{F8494BA0-1BAF-4C22-B695-21CC9C66DEBA}"/>
    <cellStyle name="Normal 9 6 5 3" xfId="6554" xr:uid="{00000000-0005-0000-0000-000082200000}"/>
    <cellStyle name="Normal 9 6 5 3 2" xfId="23437" xr:uid="{EB2C6E78-2C08-4099-95BF-49C46B1D3D54}"/>
    <cellStyle name="Normal 9 6 5 3 3" xfId="31883" xr:uid="{BC2ECEBC-07C8-4371-9504-3B448B59DD3E}"/>
    <cellStyle name="Normal 9 6 5 3 4" xfId="14996" xr:uid="{0C5FE9B0-9AF7-43DB-BD62-F99088155B5C}"/>
    <cellStyle name="Normal 9 6 5 4" xfId="19219" xr:uid="{FB530F9C-EAAE-41C4-8D47-C5AA5E6E87EE}"/>
    <cellStyle name="Normal 9 6 5 5" xfId="27664" xr:uid="{E53700E8-4478-48B4-A817-9F7DD18C218A}"/>
    <cellStyle name="Normal 9 6 5 6" xfId="10778" xr:uid="{C9A45670-9261-4091-9239-E4375CCAA2DE}"/>
    <cellStyle name="Normal 9 6 6" xfId="2683" xr:uid="{00000000-0005-0000-0000-000083200000}"/>
    <cellStyle name="Normal 9 6 6 2" xfId="6967" xr:uid="{00000000-0005-0000-0000-000084200000}"/>
    <cellStyle name="Normal 9 6 6 2 2" xfId="23850" xr:uid="{28CC0063-2871-4106-9B73-98B9AA752D25}"/>
    <cellStyle name="Normal 9 6 6 2 3" xfId="32296" xr:uid="{E4DB9497-DCA8-443C-B819-956104FE26B0}"/>
    <cellStyle name="Normal 9 6 6 2 4" xfId="15409" xr:uid="{C8393205-2AF1-4106-A1C8-1E3C661D46EC}"/>
    <cellStyle name="Normal 9 6 6 3" xfId="19632" xr:uid="{7C3F2B9B-4DD5-46AA-A004-DA4784282AA1}"/>
    <cellStyle name="Normal 9 6 6 4" xfId="28077" xr:uid="{58E59D4C-0CA2-4E12-B569-24837C17DB4B}"/>
    <cellStyle name="Normal 9 6 6 5" xfId="11191" xr:uid="{D1546E16-4471-420C-B423-B4A0104A7C93}"/>
    <cellStyle name="Normal 9 6 7" xfId="4902" xr:uid="{00000000-0005-0000-0000-000085200000}"/>
    <cellStyle name="Normal 9 6 7 2" xfId="21785" xr:uid="{A087D03B-A9D2-4BC8-B1F7-F08B967EFF79}"/>
    <cellStyle name="Normal 9 6 7 3" xfId="30231" xr:uid="{B9F87DF6-B8DE-448C-8821-D9E3FEEB1009}"/>
    <cellStyle name="Normal 9 6 7 4" xfId="13344" xr:uid="{A1FB943D-77E6-4BF5-98A5-726DB8D5A29F}"/>
    <cellStyle name="Normal 9 6 8" xfId="17567" xr:uid="{487800C8-7033-4A95-BB62-C58A0422BE9E}"/>
    <cellStyle name="Normal 9 6 9" xfId="26012" xr:uid="{7E5EC2E7-FD8E-45ED-A8D8-14D0D032F70C}"/>
    <cellStyle name="Normal 9 7" xfId="977" xr:uid="{00000000-0005-0000-0000-000086200000}"/>
    <cellStyle name="Normal 9 8" xfId="34189" xr:uid="{7E41F908-95C8-46EC-B5CE-1B3DCC1115AB}"/>
    <cellStyle name="Normal 9_Dropdowns" xfId="34105" xr:uid="{EA669C4A-1C37-47A9-9471-AE7E5703A988}"/>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23931" xr:uid="{F0A6929D-93F9-4C31-88D8-9353068F9FEA}"/>
    <cellStyle name="Note 2 2 10 2 3" xfId="32377" xr:uid="{CDB9A38B-FAF6-42DE-943A-67CA42AA21F0}"/>
    <cellStyle name="Note 2 2 10 2 4" xfId="15490" xr:uid="{78664852-8EC1-4F3F-8E85-D786E5A9D887}"/>
    <cellStyle name="Note 2 2 10 3" xfId="19713" xr:uid="{6038CDD4-75A1-4599-8D3A-3C537DB6D256}"/>
    <cellStyle name="Note 2 2 10 4" xfId="28160" xr:uid="{581A4F44-C3CB-4E20-BB4E-E75E1FD178F8}"/>
    <cellStyle name="Note 2 2 10 5" xfId="11272" xr:uid="{93CE5A66-4FFA-4A33-82BB-D5AC2867DE5F}"/>
    <cellStyle name="Note 2 2 11" xfId="4903" xr:uid="{00000000-0005-0000-0000-000094200000}"/>
    <cellStyle name="Note 2 2 11 2" xfId="21786" xr:uid="{F9C81565-1162-4E78-AA3D-8A5C2644BC98}"/>
    <cellStyle name="Note 2 2 11 3" xfId="30232" xr:uid="{A1AD4F32-B36F-426B-9F23-68C5142030F4}"/>
    <cellStyle name="Note 2 2 11 4" xfId="13345" xr:uid="{57485389-9B01-4309-A6EB-D6336832C7E5}"/>
    <cellStyle name="Note 2 2 12" xfId="17568" xr:uid="{5E3865FD-3B8C-4CAB-8E15-B67F12FCDA83}"/>
    <cellStyle name="Note 2 2 13" xfId="26013" xr:uid="{8285A623-B986-427D-9C66-86566BD0258F}"/>
    <cellStyle name="Note 2 2 14" xfId="9127" xr:uid="{138D08FC-CD05-48D3-AA95-42B908D6ED1B}"/>
    <cellStyle name="Note 2 2 2" xfId="546" xr:uid="{00000000-0005-0000-0000-000095200000}"/>
    <cellStyle name="Note 2 2 2 10" xfId="4904" xr:uid="{00000000-0005-0000-0000-000096200000}"/>
    <cellStyle name="Note 2 2 2 10 2" xfId="21787" xr:uid="{DD8CC427-5FC4-45B0-A01D-CE7FAB45B16F}"/>
    <cellStyle name="Note 2 2 2 10 3" xfId="30233" xr:uid="{7FE3B385-1EC2-4477-AC1E-D90F81512CC8}"/>
    <cellStyle name="Note 2 2 2 10 4" xfId="13346" xr:uid="{33A69BC5-68AE-4287-B4D2-3B07426DA488}"/>
    <cellStyle name="Note 2 2 2 11" xfId="17569" xr:uid="{5F5BCFDE-F2D6-4796-AB5D-1E148CF166D6}"/>
    <cellStyle name="Note 2 2 2 12" xfId="26014" xr:uid="{619551B8-2E57-4A00-A689-8B93C9BE0A1E}"/>
    <cellStyle name="Note 2 2 2 13" xfId="9128" xr:uid="{CF53BFE9-56C5-4340-B527-FDD07039BFA8}"/>
    <cellStyle name="Note 2 2 2 2" xfId="547" xr:uid="{00000000-0005-0000-0000-000097200000}"/>
    <cellStyle name="Note 2 2 2 2 10" xfId="17570" xr:uid="{5E1C286F-12AC-41B7-BE6B-5822AB761D30}"/>
    <cellStyle name="Note 2 2 2 2 11" xfId="26015" xr:uid="{2A86C124-DB23-4944-ADD7-4DA293E47541}"/>
    <cellStyle name="Note 2 2 2 2 12" xfId="9129" xr:uid="{59A473AF-EAA5-412D-90A8-4486C0DC4F85}"/>
    <cellStyle name="Note 2 2 2 2 2" xfId="1008" xr:uid="{00000000-0005-0000-0000-000098200000}"/>
    <cellStyle name="Note 2 2 2 2 2 2" xfId="3240" xr:uid="{00000000-0005-0000-0000-000099200000}"/>
    <cellStyle name="Note 2 2 2 2 2 2 2" xfId="7463" xr:uid="{00000000-0005-0000-0000-00009A200000}"/>
    <cellStyle name="Note 2 2 2 2 2 2 2 2" xfId="24346" xr:uid="{CF3AC5BE-F606-4F39-938A-AAEAB0F69EF6}"/>
    <cellStyle name="Note 2 2 2 2 2 2 2 3" xfId="32792" xr:uid="{7EC65F65-A47F-4F93-8A20-9B2901553044}"/>
    <cellStyle name="Note 2 2 2 2 2 2 2 4" xfId="15905" xr:uid="{2E2CAEB7-3036-4615-A473-D11EC91D29C2}"/>
    <cellStyle name="Note 2 2 2 2 2 2 3" xfId="20128" xr:uid="{5C93536E-8A1A-4A3C-9FB8-0E68C3A18A9A}"/>
    <cellStyle name="Note 2 2 2 2 2 2 4" xfId="28575" xr:uid="{4D408FB5-7DB9-4F5F-9A25-7BAE0AF1CFD0}"/>
    <cellStyle name="Note 2 2 2 2 2 2 5" xfId="11687" xr:uid="{741DF288-8479-43C2-88A1-86271B60694F}"/>
    <cellStyle name="Note 2 2 2 2 2 3" xfId="5318" xr:uid="{00000000-0005-0000-0000-00009B200000}"/>
    <cellStyle name="Note 2 2 2 2 2 3 2" xfId="22201" xr:uid="{7BBC161B-83CC-4D9A-8995-45BFB7E312FC}"/>
    <cellStyle name="Note 2 2 2 2 2 3 3" xfId="30647" xr:uid="{1251385D-BE7E-4C38-A22A-44C42A6B09EE}"/>
    <cellStyle name="Note 2 2 2 2 2 3 4" xfId="13760" xr:uid="{765C6A95-4286-4097-9F50-38AB2E03BB9E}"/>
    <cellStyle name="Note 2 2 2 2 2 4" xfId="17983" xr:uid="{4E942325-16C7-48A5-B5C0-59B2D5B5B743}"/>
    <cellStyle name="Note 2 2 2 2 2 5" xfId="26428" xr:uid="{CDF5B56A-7341-4170-B85E-900FF48848A4}"/>
    <cellStyle name="Note 2 2 2 2 2 6" xfId="9542" xr:uid="{861B655E-15D6-4CAC-A57D-BF81E1B0DE00}"/>
    <cellStyle name="Note 2 2 2 2 3" xfId="1423" xr:uid="{00000000-0005-0000-0000-00009C200000}"/>
    <cellStyle name="Note 2 2 2 2 3 2" xfId="3653" xr:uid="{00000000-0005-0000-0000-00009D200000}"/>
    <cellStyle name="Note 2 2 2 2 3 2 2" xfId="7876" xr:uid="{00000000-0005-0000-0000-00009E200000}"/>
    <cellStyle name="Note 2 2 2 2 3 2 2 2" xfId="24759" xr:uid="{38D02B04-5238-49B0-A218-41CD0DAD1F61}"/>
    <cellStyle name="Note 2 2 2 2 3 2 2 3" xfId="33205" xr:uid="{E7EB4AB9-98D3-4679-8DF2-818CEA5B7C6B}"/>
    <cellStyle name="Note 2 2 2 2 3 2 2 4" xfId="16318" xr:uid="{8DF6AAE2-96A7-4520-A92C-2DA192AEBC62}"/>
    <cellStyle name="Note 2 2 2 2 3 2 3" xfId="20541" xr:uid="{F5D4E048-ECA7-4997-978C-6C2FC5A1F891}"/>
    <cellStyle name="Note 2 2 2 2 3 2 4" xfId="28988" xr:uid="{9A40CBB2-38BC-4A8A-8727-569EC9C533E0}"/>
    <cellStyle name="Note 2 2 2 2 3 2 5" xfId="12100" xr:uid="{545DD3DF-BD3C-491C-AEBA-5606F6BC5447}"/>
    <cellStyle name="Note 2 2 2 2 3 3" xfId="5731" xr:uid="{00000000-0005-0000-0000-00009F200000}"/>
    <cellStyle name="Note 2 2 2 2 3 3 2" xfId="22614" xr:uid="{A73AD503-D8A8-4400-9C34-BC2E18EA8979}"/>
    <cellStyle name="Note 2 2 2 2 3 3 3" xfId="31060" xr:uid="{6FA3E95D-E6A0-45A5-B3ED-70119FAB7B2C}"/>
    <cellStyle name="Note 2 2 2 2 3 3 4" xfId="14173" xr:uid="{EBC60F65-AD01-4B9E-9B50-A5F114E3E3B8}"/>
    <cellStyle name="Note 2 2 2 2 3 4" xfId="18396" xr:uid="{2226344A-3088-491D-A2D7-F168936107DD}"/>
    <cellStyle name="Note 2 2 2 2 3 5" xfId="26841" xr:uid="{00D2C323-47E4-4097-94C9-DA52ACF6777E}"/>
    <cellStyle name="Note 2 2 2 2 3 6" xfId="9955" xr:uid="{A6CB8D1C-E1B4-46D7-B0AC-3CB39D35657E}"/>
    <cellStyle name="Note 2 2 2 2 4" xfId="1837" xr:uid="{00000000-0005-0000-0000-0000A0200000}"/>
    <cellStyle name="Note 2 2 2 2 4 2" xfId="4066" xr:uid="{00000000-0005-0000-0000-0000A1200000}"/>
    <cellStyle name="Note 2 2 2 2 4 2 2" xfId="8289" xr:uid="{00000000-0005-0000-0000-0000A2200000}"/>
    <cellStyle name="Note 2 2 2 2 4 2 2 2" xfId="25172" xr:uid="{5276DEA1-107D-4C4D-8BBF-945CD57A2D14}"/>
    <cellStyle name="Note 2 2 2 2 4 2 2 3" xfId="33618" xr:uid="{66ACBB9A-ADC1-444E-AF62-CA7C1F2C4184}"/>
    <cellStyle name="Note 2 2 2 2 4 2 2 4" xfId="16731" xr:uid="{BB2679F5-8711-45D5-8814-731694996FA0}"/>
    <cellStyle name="Note 2 2 2 2 4 2 3" xfId="20954" xr:uid="{DE600262-B0CA-4E52-9621-72BAE4108302}"/>
    <cellStyle name="Note 2 2 2 2 4 2 4" xfId="29401" xr:uid="{13B2131F-5A6C-4BB2-8E75-69F4A0B80183}"/>
    <cellStyle name="Note 2 2 2 2 4 2 5" xfId="12513" xr:uid="{C0BBC50E-1C23-49D0-8C45-98D0B17C05BA}"/>
    <cellStyle name="Note 2 2 2 2 4 3" xfId="6144" xr:uid="{00000000-0005-0000-0000-0000A3200000}"/>
    <cellStyle name="Note 2 2 2 2 4 3 2" xfId="23027" xr:uid="{33A20392-15F6-4E8C-A832-D80F0BD869CB}"/>
    <cellStyle name="Note 2 2 2 2 4 3 3" xfId="31473" xr:uid="{5D8DC3CB-6014-4DED-8BA2-94055048C143}"/>
    <cellStyle name="Note 2 2 2 2 4 3 4" xfId="14586" xr:uid="{5940C72D-EEC6-4F0B-A7DB-B77D8D63C07B}"/>
    <cellStyle name="Note 2 2 2 2 4 4" xfId="18809" xr:uid="{AD0CBE66-1502-40D5-B393-A96D8518F39A}"/>
    <cellStyle name="Note 2 2 2 2 4 5" xfId="27254" xr:uid="{F123365D-D1B6-433F-A18A-BFD5729EDEE1}"/>
    <cellStyle name="Note 2 2 2 2 4 6" xfId="10368" xr:uid="{B392277F-FBD6-47A9-BF72-FBA1AA592FA9}"/>
    <cellStyle name="Note 2 2 2 2 5" xfId="2250" xr:uid="{00000000-0005-0000-0000-0000A4200000}"/>
    <cellStyle name="Note 2 2 2 2 5 2" xfId="4479" xr:uid="{00000000-0005-0000-0000-0000A5200000}"/>
    <cellStyle name="Note 2 2 2 2 5 2 2" xfId="8702" xr:uid="{00000000-0005-0000-0000-0000A6200000}"/>
    <cellStyle name="Note 2 2 2 2 5 2 2 2" xfId="25585" xr:uid="{9CD95DB7-0D65-42CC-88BA-F57E735F625B}"/>
    <cellStyle name="Note 2 2 2 2 5 2 2 3" xfId="34031" xr:uid="{EFA821A3-77A4-4255-B947-7CA1C118EA2B}"/>
    <cellStyle name="Note 2 2 2 2 5 2 2 4" xfId="17144" xr:uid="{A4CA6A45-E8A7-48C5-BDB5-8B7886A1E6AB}"/>
    <cellStyle name="Note 2 2 2 2 5 2 3" xfId="21367" xr:uid="{0692BD88-A7C7-4C81-98A0-5AA18E52E7E1}"/>
    <cellStyle name="Note 2 2 2 2 5 2 4" xfId="29814" xr:uid="{BBD9ADC1-EF05-4D92-B7E0-3579CDDBB7D0}"/>
    <cellStyle name="Note 2 2 2 2 5 2 5" xfId="12926" xr:uid="{62DAE079-57D2-4150-8829-C43AABB8E3A7}"/>
    <cellStyle name="Note 2 2 2 2 5 3" xfId="6557" xr:uid="{00000000-0005-0000-0000-0000A7200000}"/>
    <cellStyle name="Note 2 2 2 2 5 3 2" xfId="23440" xr:uid="{1D82BD56-8CD7-4274-93BE-79C4C4B793AA}"/>
    <cellStyle name="Note 2 2 2 2 5 3 3" xfId="31886" xr:uid="{F3E29CA4-DE48-49F0-8A6A-D6CBD048CA01}"/>
    <cellStyle name="Note 2 2 2 2 5 3 4" xfId="14999" xr:uid="{1308E38E-55AB-4415-A345-C9AC9697E562}"/>
    <cellStyle name="Note 2 2 2 2 5 4" xfId="19222" xr:uid="{2320EF37-BF59-4A58-8A1B-EF4919DE2FC0}"/>
    <cellStyle name="Note 2 2 2 2 5 5" xfId="27667" xr:uid="{9B9B96FC-A8AA-41D8-91B1-07E3E76F3BA8}"/>
    <cellStyle name="Note 2 2 2 2 5 6" xfId="10781" xr:uid="{92C01E7F-CA7F-4A2C-B943-761108E23FED}"/>
    <cellStyle name="Note 2 2 2 2 6" xfId="2686" xr:uid="{00000000-0005-0000-0000-0000A8200000}"/>
    <cellStyle name="Note 2 2 2 2 6 2" xfId="6970" xr:uid="{00000000-0005-0000-0000-0000A9200000}"/>
    <cellStyle name="Note 2 2 2 2 6 2 2" xfId="23853" xr:uid="{78D97449-752A-4F15-A0F0-9D73D936FC91}"/>
    <cellStyle name="Note 2 2 2 2 6 2 3" xfId="32299" xr:uid="{05BB430C-DBF2-4500-B55F-D1004D3F390C}"/>
    <cellStyle name="Note 2 2 2 2 6 2 4" xfId="15412" xr:uid="{8C5C51F7-7B21-42CD-98E6-3A69551D1AB9}"/>
    <cellStyle name="Note 2 2 2 2 6 3" xfId="19635" xr:uid="{44BA6F0D-9B68-4386-8D43-8141514086ED}"/>
    <cellStyle name="Note 2 2 2 2 6 4" xfId="28080" xr:uid="{9D46423B-ED19-46A1-8617-A34A8CED54B8}"/>
    <cellStyle name="Note 2 2 2 2 6 5" xfId="11194" xr:uid="{01BB9A40-7CB4-4F16-B4BF-424C17F64F71}"/>
    <cellStyle name="Note 2 2 2 2 7" xfId="2745" xr:uid="{00000000-0005-0000-0000-0000AA200000}"/>
    <cellStyle name="Note 2 2 2 2 8" xfId="2826" xr:uid="{00000000-0005-0000-0000-0000AB200000}"/>
    <cellStyle name="Note 2 2 2 2 8 2" xfId="7050" xr:uid="{00000000-0005-0000-0000-0000AC200000}"/>
    <cellStyle name="Note 2 2 2 2 8 2 2" xfId="23933" xr:uid="{93C48DBF-D194-4912-964F-9D45123AE5EE}"/>
    <cellStyle name="Note 2 2 2 2 8 2 3" xfId="32379" xr:uid="{1126E22A-9638-40DD-AF16-1A16E3F1D865}"/>
    <cellStyle name="Note 2 2 2 2 8 2 4" xfId="15492" xr:uid="{976295F6-9D10-49DA-ADE8-653653B5BE01}"/>
    <cellStyle name="Note 2 2 2 2 8 3" xfId="19715" xr:uid="{7CF0527E-138C-42A3-9A61-0E007E20D33B}"/>
    <cellStyle name="Note 2 2 2 2 8 4" xfId="28162" xr:uid="{3D042D1C-8CBC-4FE7-976E-48DF677ABC9C}"/>
    <cellStyle name="Note 2 2 2 2 8 5" xfId="11274" xr:uid="{4D06B1DF-0E1B-4F72-8B91-2384D51E3E9F}"/>
    <cellStyle name="Note 2 2 2 2 9" xfId="4905" xr:uid="{00000000-0005-0000-0000-0000AD200000}"/>
    <cellStyle name="Note 2 2 2 2 9 2" xfId="21788" xr:uid="{9591C32E-45B6-4496-BCD1-9C037498902F}"/>
    <cellStyle name="Note 2 2 2 2 9 3" xfId="30234" xr:uid="{B7E51621-C095-41AA-B1AB-866D060E7D72}"/>
    <cellStyle name="Note 2 2 2 2 9 4" xfId="13347" xr:uid="{4D30D640-398C-46CE-9637-B674F65BAB9B}"/>
    <cellStyle name="Note 2 2 2 3" xfId="1007" xr:uid="{00000000-0005-0000-0000-0000AE200000}"/>
    <cellStyle name="Note 2 2 2 3 2" xfId="3239" xr:uid="{00000000-0005-0000-0000-0000AF200000}"/>
    <cellStyle name="Note 2 2 2 3 2 2" xfId="7462" xr:uid="{00000000-0005-0000-0000-0000B0200000}"/>
    <cellStyle name="Note 2 2 2 3 2 2 2" xfId="24345" xr:uid="{1E392B01-46A2-4BDC-BC21-AC7C5CCCD327}"/>
    <cellStyle name="Note 2 2 2 3 2 2 3" xfId="32791" xr:uid="{FF9B5646-90FD-447C-964D-B7799FD93E77}"/>
    <cellStyle name="Note 2 2 2 3 2 2 4" xfId="15904" xr:uid="{7315BF16-596A-40F9-ACBF-6758E11EC3FB}"/>
    <cellStyle name="Note 2 2 2 3 2 3" xfId="20127" xr:uid="{D4175B27-CA1D-49F6-B00D-B3B8BCD9C27F}"/>
    <cellStyle name="Note 2 2 2 3 2 4" xfId="28574" xr:uid="{8EE59DA2-0CF7-40CB-9E9E-D038C808076D}"/>
    <cellStyle name="Note 2 2 2 3 2 5" xfId="11686" xr:uid="{CD3CE339-CDF5-4BDB-92E4-34344D02D488}"/>
    <cellStyle name="Note 2 2 2 3 3" xfId="5317" xr:uid="{00000000-0005-0000-0000-0000B1200000}"/>
    <cellStyle name="Note 2 2 2 3 3 2" xfId="22200" xr:uid="{4522B53E-BC26-4331-9AFE-BC195F258C68}"/>
    <cellStyle name="Note 2 2 2 3 3 3" xfId="30646" xr:uid="{8D558799-41B8-4839-8574-34AF60CF950E}"/>
    <cellStyle name="Note 2 2 2 3 3 4" xfId="13759" xr:uid="{D320B7E1-C7A0-4B15-A0E3-D99FC893826C}"/>
    <cellStyle name="Note 2 2 2 3 4" xfId="17982" xr:uid="{BC4BB9F7-DFB6-496E-86AE-3893B3800CCF}"/>
    <cellStyle name="Note 2 2 2 3 5" xfId="26427" xr:uid="{5600A151-40E1-4E6A-8B9B-DF800273A7B0}"/>
    <cellStyle name="Note 2 2 2 3 6" xfId="9541" xr:uid="{3D3341DB-528F-4D2D-9DCA-867C43902A71}"/>
    <cellStyle name="Note 2 2 2 4" xfId="1422" xr:uid="{00000000-0005-0000-0000-0000B2200000}"/>
    <cellStyle name="Note 2 2 2 4 2" xfId="3652" xr:uid="{00000000-0005-0000-0000-0000B3200000}"/>
    <cellStyle name="Note 2 2 2 4 2 2" xfId="7875" xr:uid="{00000000-0005-0000-0000-0000B4200000}"/>
    <cellStyle name="Note 2 2 2 4 2 2 2" xfId="24758" xr:uid="{66F19170-D0AF-4283-B694-B0172D09119A}"/>
    <cellStyle name="Note 2 2 2 4 2 2 3" xfId="33204" xr:uid="{BC69A898-D3FA-4FF3-BA78-5C7199BDFA2D}"/>
    <cellStyle name="Note 2 2 2 4 2 2 4" xfId="16317" xr:uid="{E60DF3DC-226D-4D01-9E7B-0EE2BAFAC611}"/>
    <cellStyle name="Note 2 2 2 4 2 3" xfId="20540" xr:uid="{FD72E411-0455-48F9-94A5-FDEBA54CD015}"/>
    <cellStyle name="Note 2 2 2 4 2 4" xfId="28987" xr:uid="{E62E4850-B71B-4F90-9F04-AFDF16572856}"/>
    <cellStyle name="Note 2 2 2 4 2 5" xfId="12099" xr:uid="{B78E6B4F-28CA-4563-AE72-C87FFD87D41D}"/>
    <cellStyle name="Note 2 2 2 4 3" xfId="5730" xr:uid="{00000000-0005-0000-0000-0000B5200000}"/>
    <cellStyle name="Note 2 2 2 4 3 2" xfId="22613" xr:uid="{91FDBB49-9A01-4C47-A7CC-F5389E52B6ED}"/>
    <cellStyle name="Note 2 2 2 4 3 3" xfId="31059" xr:uid="{2C64C076-C140-412C-A2A2-F4CB46D16AF3}"/>
    <cellStyle name="Note 2 2 2 4 3 4" xfId="14172" xr:uid="{82ACD25A-5B8B-4E8D-9E31-1761131E166B}"/>
    <cellStyle name="Note 2 2 2 4 4" xfId="18395" xr:uid="{B6FBFCDB-53F6-47AF-9D5E-8489C5D29E16}"/>
    <cellStyle name="Note 2 2 2 4 5" xfId="26840" xr:uid="{ED87E932-9053-49F9-96B3-C6A4171524AC}"/>
    <cellStyle name="Note 2 2 2 4 6" xfId="9954" xr:uid="{22C0BE8D-E682-490D-8D4C-BC978D3DB6C3}"/>
    <cellStyle name="Note 2 2 2 5" xfId="1836" xr:uid="{00000000-0005-0000-0000-0000B6200000}"/>
    <cellStyle name="Note 2 2 2 5 2" xfId="4065" xr:uid="{00000000-0005-0000-0000-0000B7200000}"/>
    <cellStyle name="Note 2 2 2 5 2 2" xfId="8288" xr:uid="{00000000-0005-0000-0000-0000B8200000}"/>
    <cellStyle name="Note 2 2 2 5 2 2 2" xfId="25171" xr:uid="{0D458FAD-E7B7-4195-A348-40740970ECB2}"/>
    <cellStyle name="Note 2 2 2 5 2 2 3" xfId="33617" xr:uid="{4CC3DAF6-ACFA-4C17-981E-3F63860F0577}"/>
    <cellStyle name="Note 2 2 2 5 2 2 4" xfId="16730" xr:uid="{60BC6AC6-C516-4796-9EF0-FBE22C420C3D}"/>
    <cellStyle name="Note 2 2 2 5 2 3" xfId="20953" xr:uid="{4F6686A0-9D92-4515-A920-1F33A5141232}"/>
    <cellStyle name="Note 2 2 2 5 2 4" xfId="29400" xr:uid="{26185D58-F3C3-420B-9C61-0217285882F0}"/>
    <cellStyle name="Note 2 2 2 5 2 5" xfId="12512" xr:uid="{C4240B6E-3896-453C-920C-8EF0F8FF9F20}"/>
    <cellStyle name="Note 2 2 2 5 3" xfId="6143" xr:uid="{00000000-0005-0000-0000-0000B9200000}"/>
    <cellStyle name="Note 2 2 2 5 3 2" xfId="23026" xr:uid="{4FCC72E5-AEED-4462-A44A-079AAB630D5D}"/>
    <cellStyle name="Note 2 2 2 5 3 3" xfId="31472" xr:uid="{6E2528F3-B0D2-4C13-AF89-0F2AD60F8073}"/>
    <cellStyle name="Note 2 2 2 5 3 4" xfId="14585" xr:uid="{EF00632F-F8A7-4E74-9477-F7E63507660C}"/>
    <cellStyle name="Note 2 2 2 5 4" xfId="18808" xr:uid="{3915903B-EB49-4A0F-811A-56CABDE12769}"/>
    <cellStyle name="Note 2 2 2 5 5" xfId="27253" xr:uid="{3C9E2026-0446-4BC0-9FAB-8A0A6260DBE1}"/>
    <cellStyle name="Note 2 2 2 5 6" xfId="10367" xr:uid="{70D6C0B2-DA2D-4B27-BF3C-8A0B6E726153}"/>
    <cellStyle name="Note 2 2 2 6" xfId="2249" xr:uid="{00000000-0005-0000-0000-0000BA200000}"/>
    <cellStyle name="Note 2 2 2 6 2" xfId="4478" xr:uid="{00000000-0005-0000-0000-0000BB200000}"/>
    <cellStyle name="Note 2 2 2 6 2 2" xfId="8701" xr:uid="{00000000-0005-0000-0000-0000BC200000}"/>
    <cellStyle name="Note 2 2 2 6 2 2 2" xfId="25584" xr:uid="{4EFB768B-F3B3-4543-9FE1-82FA950DF701}"/>
    <cellStyle name="Note 2 2 2 6 2 2 3" xfId="34030" xr:uid="{097E02F6-9DFF-4D20-82FF-7731ED3B59D2}"/>
    <cellStyle name="Note 2 2 2 6 2 2 4" xfId="17143" xr:uid="{BFD446EC-346D-4A01-8392-4C264DE10ADB}"/>
    <cellStyle name="Note 2 2 2 6 2 3" xfId="21366" xr:uid="{104C8345-F15A-49C0-AE76-16F6382A0149}"/>
    <cellStyle name="Note 2 2 2 6 2 4" xfId="29813" xr:uid="{B4C18098-8A51-4C77-87AD-EB633CD6D6C8}"/>
    <cellStyle name="Note 2 2 2 6 2 5" xfId="12925" xr:uid="{C7E2848D-B58E-4BFF-82D2-53B5FA968A15}"/>
    <cellStyle name="Note 2 2 2 6 3" xfId="6556" xr:uid="{00000000-0005-0000-0000-0000BD200000}"/>
    <cellStyle name="Note 2 2 2 6 3 2" xfId="23439" xr:uid="{2E117902-1D0B-4A40-8E07-DE0752E179DD}"/>
    <cellStyle name="Note 2 2 2 6 3 3" xfId="31885" xr:uid="{E963B4CB-053E-4BCB-A3ED-8AA5EC43F0F5}"/>
    <cellStyle name="Note 2 2 2 6 3 4" xfId="14998" xr:uid="{A8B00964-BA53-44FE-BC31-86806045306E}"/>
    <cellStyle name="Note 2 2 2 6 4" xfId="19221" xr:uid="{0631CDD3-3157-4D6D-AB22-065358F8EC9B}"/>
    <cellStyle name="Note 2 2 2 6 5" xfId="27666" xr:uid="{3C901C1A-4F9E-4914-B6F0-6F00E7E8E823}"/>
    <cellStyle name="Note 2 2 2 6 6" xfId="10780" xr:uid="{396C9AF6-6723-4D1E-8F7E-6C578E296653}"/>
    <cellStyle name="Note 2 2 2 7" xfId="2685" xr:uid="{00000000-0005-0000-0000-0000BE200000}"/>
    <cellStyle name="Note 2 2 2 7 2" xfId="6969" xr:uid="{00000000-0005-0000-0000-0000BF200000}"/>
    <cellStyle name="Note 2 2 2 7 2 2" xfId="23852" xr:uid="{1B1AC5F8-6C1F-4B9D-9EC8-4D75980B7E03}"/>
    <cellStyle name="Note 2 2 2 7 2 3" xfId="32298" xr:uid="{8F9A72AF-D3B0-4F4A-A0A6-E4EEAF45651E}"/>
    <cellStyle name="Note 2 2 2 7 2 4" xfId="15411" xr:uid="{0811FB4F-C0BC-49BF-86DB-5016D348C291}"/>
    <cellStyle name="Note 2 2 2 7 3" xfId="19634" xr:uid="{6AB95CF7-4D8B-4411-B97C-C4F26A737BFA}"/>
    <cellStyle name="Note 2 2 2 7 4" xfId="28079" xr:uid="{18FD09BD-9BA2-4B59-A6E4-68ED05E20588}"/>
    <cellStyle name="Note 2 2 2 7 5" xfId="11193" xr:uid="{69660300-FC31-4C65-B5F9-84A2DFAFAF7D}"/>
    <cellStyle name="Note 2 2 2 8" xfId="2744" xr:uid="{00000000-0005-0000-0000-0000C0200000}"/>
    <cellStyle name="Note 2 2 2 9" xfId="2825" xr:uid="{00000000-0005-0000-0000-0000C1200000}"/>
    <cellStyle name="Note 2 2 2 9 2" xfId="7049" xr:uid="{00000000-0005-0000-0000-0000C2200000}"/>
    <cellStyle name="Note 2 2 2 9 2 2" xfId="23932" xr:uid="{83120B2F-0396-493F-817F-C7FF26FC082D}"/>
    <cellStyle name="Note 2 2 2 9 2 3" xfId="32378" xr:uid="{56D2E910-6F79-40DA-9D1B-9174457E662B}"/>
    <cellStyle name="Note 2 2 2 9 2 4" xfId="15491" xr:uid="{0ABB0983-28A6-4A54-B75A-25F9E6AD947E}"/>
    <cellStyle name="Note 2 2 2 9 3" xfId="19714" xr:uid="{D6A43B0D-C7BB-41A8-AC02-27A592764237}"/>
    <cellStyle name="Note 2 2 2 9 4" xfId="28161" xr:uid="{9DADEB2E-C3B5-4D4E-B9D6-146C2DBA94D9}"/>
    <cellStyle name="Note 2 2 2 9 5" xfId="11273" xr:uid="{96340A69-732E-469B-84F9-3B21955D81FA}"/>
    <cellStyle name="Note 2 2 3" xfId="548" xr:uid="{00000000-0005-0000-0000-0000C3200000}"/>
    <cellStyle name="Note 2 2 3 10" xfId="17571" xr:uid="{F26FB27D-EF52-4150-AAD3-4B3681F76AFD}"/>
    <cellStyle name="Note 2 2 3 11" xfId="26016" xr:uid="{AF05BDF5-B4B7-474E-A766-FF62B58BA7C9}"/>
    <cellStyle name="Note 2 2 3 12" xfId="9130" xr:uid="{F77B8B03-7CAA-4CE8-861A-E356F357CA71}"/>
    <cellStyle name="Note 2 2 3 2" xfId="1009" xr:uid="{00000000-0005-0000-0000-0000C4200000}"/>
    <cellStyle name="Note 2 2 3 2 2" xfId="3241" xr:uid="{00000000-0005-0000-0000-0000C5200000}"/>
    <cellStyle name="Note 2 2 3 2 2 2" xfId="7464" xr:uid="{00000000-0005-0000-0000-0000C6200000}"/>
    <cellStyle name="Note 2 2 3 2 2 2 2" xfId="24347" xr:uid="{605D5CD5-B006-4939-B80F-52B8AB099388}"/>
    <cellStyle name="Note 2 2 3 2 2 2 3" xfId="32793" xr:uid="{DCFCD201-93CA-40E3-9B6C-70C0E8417285}"/>
    <cellStyle name="Note 2 2 3 2 2 2 4" xfId="15906" xr:uid="{7161C471-948D-4D04-923D-5B43472DD43A}"/>
    <cellStyle name="Note 2 2 3 2 2 3" xfId="20129" xr:uid="{05416688-2909-4DCB-B842-A55CF1C09417}"/>
    <cellStyle name="Note 2 2 3 2 2 4" xfId="28576" xr:uid="{5CEF5986-A110-4F51-805E-442ED45BC551}"/>
    <cellStyle name="Note 2 2 3 2 2 5" xfId="11688" xr:uid="{11AD125F-BCDA-4C4F-926C-60371A189F40}"/>
    <cellStyle name="Note 2 2 3 2 3" xfId="5319" xr:uid="{00000000-0005-0000-0000-0000C7200000}"/>
    <cellStyle name="Note 2 2 3 2 3 2" xfId="22202" xr:uid="{DBD7FBE8-407C-40B3-8551-9CC233536436}"/>
    <cellStyle name="Note 2 2 3 2 3 3" xfId="30648" xr:uid="{C7D32F99-8EFC-4374-9A82-BCA6F2E3558B}"/>
    <cellStyle name="Note 2 2 3 2 3 4" xfId="13761" xr:uid="{2A26C03C-56A7-4165-98D5-A3EB08B6C9D3}"/>
    <cellStyle name="Note 2 2 3 2 4" xfId="17984" xr:uid="{D09322BB-1F71-4AD7-9C9D-FE7F17CFE7FD}"/>
    <cellStyle name="Note 2 2 3 2 5" xfId="26429" xr:uid="{3FB747DE-6507-46F5-8586-813D7C37A5A1}"/>
    <cellStyle name="Note 2 2 3 2 6" xfId="9543" xr:uid="{FC98F168-7450-4448-AEA2-6B61B41BFD0F}"/>
    <cellStyle name="Note 2 2 3 3" xfId="1424" xr:uid="{00000000-0005-0000-0000-0000C8200000}"/>
    <cellStyle name="Note 2 2 3 3 2" xfId="3654" xr:uid="{00000000-0005-0000-0000-0000C9200000}"/>
    <cellStyle name="Note 2 2 3 3 2 2" xfId="7877" xr:uid="{00000000-0005-0000-0000-0000CA200000}"/>
    <cellStyle name="Note 2 2 3 3 2 2 2" xfId="24760" xr:uid="{B1EBB61C-947D-401D-BA2E-9A63A69EACA4}"/>
    <cellStyle name="Note 2 2 3 3 2 2 3" xfId="33206" xr:uid="{3ED910C5-1870-41D6-9BDE-A80FEB5B9342}"/>
    <cellStyle name="Note 2 2 3 3 2 2 4" xfId="16319" xr:uid="{CB902DA1-F2BA-4220-AE9B-D784F0C668E8}"/>
    <cellStyle name="Note 2 2 3 3 2 3" xfId="20542" xr:uid="{6F974A42-3A4E-4D20-9B1D-1E28CCDE504F}"/>
    <cellStyle name="Note 2 2 3 3 2 4" xfId="28989" xr:uid="{B657F4C7-E787-4DCE-8671-07DE751B4678}"/>
    <cellStyle name="Note 2 2 3 3 2 5" xfId="12101" xr:uid="{B10FE5E2-DFE8-40E0-BEC6-76DD60F5CF04}"/>
    <cellStyle name="Note 2 2 3 3 3" xfId="5732" xr:uid="{00000000-0005-0000-0000-0000CB200000}"/>
    <cellStyle name="Note 2 2 3 3 3 2" xfId="22615" xr:uid="{98273AF5-0C73-4F4A-BA43-CB1BFACEEF5E}"/>
    <cellStyle name="Note 2 2 3 3 3 3" xfId="31061" xr:uid="{E4F75322-3201-4B43-86D6-30D8BD05D62B}"/>
    <cellStyle name="Note 2 2 3 3 3 4" xfId="14174" xr:uid="{67E0FC65-6BD9-4D31-A892-B3159B1D88AB}"/>
    <cellStyle name="Note 2 2 3 3 4" xfId="18397" xr:uid="{59400847-5E0E-483A-99E9-976C9B4A4770}"/>
    <cellStyle name="Note 2 2 3 3 5" xfId="26842" xr:uid="{8D561942-C8C3-421B-BE5F-AEB42E6E8476}"/>
    <cellStyle name="Note 2 2 3 3 6" xfId="9956" xr:uid="{209DD4C7-8918-4636-9BE8-02362DE6B424}"/>
    <cellStyle name="Note 2 2 3 4" xfId="1838" xr:uid="{00000000-0005-0000-0000-0000CC200000}"/>
    <cellStyle name="Note 2 2 3 4 2" xfId="4067" xr:uid="{00000000-0005-0000-0000-0000CD200000}"/>
    <cellStyle name="Note 2 2 3 4 2 2" xfId="8290" xr:uid="{00000000-0005-0000-0000-0000CE200000}"/>
    <cellStyle name="Note 2 2 3 4 2 2 2" xfId="25173" xr:uid="{8CB99F09-D2E2-4424-A353-03FB92AC1213}"/>
    <cellStyle name="Note 2 2 3 4 2 2 3" xfId="33619" xr:uid="{F3ABC649-A7E3-48B1-B457-FA0826BB88F7}"/>
    <cellStyle name="Note 2 2 3 4 2 2 4" xfId="16732" xr:uid="{6D0E207A-2579-4870-9F4E-6CAAA3444CE5}"/>
    <cellStyle name="Note 2 2 3 4 2 3" xfId="20955" xr:uid="{1BC19B23-C20B-46D2-8D1E-2B82F05A71F3}"/>
    <cellStyle name="Note 2 2 3 4 2 4" xfId="29402" xr:uid="{D94F759B-949A-4B90-BC12-CBE67B0C770B}"/>
    <cellStyle name="Note 2 2 3 4 2 5" xfId="12514" xr:uid="{C035D73A-91CF-4904-949C-2E1FB5895135}"/>
    <cellStyle name="Note 2 2 3 4 3" xfId="6145" xr:uid="{00000000-0005-0000-0000-0000CF200000}"/>
    <cellStyle name="Note 2 2 3 4 3 2" xfId="23028" xr:uid="{0948A870-FD64-472C-AA47-36CCEFBB570F}"/>
    <cellStyle name="Note 2 2 3 4 3 3" xfId="31474" xr:uid="{75D142DC-DEB6-441C-80A8-C8D7064C5365}"/>
    <cellStyle name="Note 2 2 3 4 3 4" xfId="14587" xr:uid="{1B19CB65-E4C4-42D7-82DD-EF669E5863C6}"/>
    <cellStyle name="Note 2 2 3 4 4" xfId="18810" xr:uid="{569AF11A-D228-4BC5-95C8-0FDDF5BFF089}"/>
    <cellStyle name="Note 2 2 3 4 5" xfId="27255" xr:uid="{0A6618A9-EC3D-4C82-8BBE-27A39670B4D8}"/>
    <cellStyle name="Note 2 2 3 4 6" xfId="10369" xr:uid="{8E6E3E69-670B-4DD2-BA39-B1BF50DDBB95}"/>
    <cellStyle name="Note 2 2 3 5" xfId="2251" xr:uid="{00000000-0005-0000-0000-0000D0200000}"/>
    <cellStyle name="Note 2 2 3 5 2" xfId="4480" xr:uid="{00000000-0005-0000-0000-0000D1200000}"/>
    <cellStyle name="Note 2 2 3 5 2 2" xfId="8703" xr:uid="{00000000-0005-0000-0000-0000D2200000}"/>
    <cellStyle name="Note 2 2 3 5 2 2 2" xfId="25586" xr:uid="{7B696C8F-7461-4DB6-BDBB-C5813DBB76F5}"/>
    <cellStyle name="Note 2 2 3 5 2 2 3" xfId="34032" xr:uid="{B78E3D68-8020-4252-85C0-6AB37EAB7ABB}"/>
    <cellStyle name="Note 2 2 3 5 2 2 4" xfId="17145" xr:uid="{56DCF9E4-8671-44A5-B10B-2BC233F6E67C}"/>
    <cellStyle name="Note 2 2 3 5 2 3" xfId="21368" xr:uid="{AF18E9B3-18D9-4D0A-826C-ED3FC848B9A7}"/>
    <cellStyle name="Note 2 2 3 5 2 4" xfId="29815" xr:uid="{AE80600A-BDF4-4729-A2A5-93FB30B109CB}"/>
    <cellStyle name="Note 2 2 3 5 2 5" xfId="12927" xr:uid="{50748E3E-F443-4B64-8835-D054BE33428C}"/>
    <cellStyle name="Note 2 2 3 5 3" xfId="6558" xr:uid="{00000000-0005-0000-0000-0000D3200000}"/>
    <cellStyle name="Note 2 2 3 5 3 2" xfId="23441" xr:uid="{8681926B-5C5D-4596-B885-04F919B8EFE5}"/>
    <cellStyle name="Note 2 2 3 5 3 3" xfId="31887" xr:uid="{2B5AD109-5654-4ADC-B5F5-519561EE9348}"/>
    <cellStyle name="Note 2 2 3 5 3 4" xfId="15000" xr:uid="{A6804858-B3F5-4393-A363-9B17F3EA909D}"/>
    <cellStyle name="Note 2 2 3 5 4" xfId="19223" xr:uid="{BBAD5BE1-DEE1-4B8B-A490-17D8686DFA4C}"/>
    <cellStyle name="Note 2 2 3 5 5" xfId="27668" xr:uid="{9716DEC1-39D2-47FC-A25F-BF5070DD86DF}"/>
    <cellStyle name="Note 2 2 3 5 6" xfId="10782" xr:uid="{947EBACD-A00B-41D0-8F4C-5E2DD9FDE29C}"/>
    <cellStyle name="Note 2 2 3 6" xfId="2687" xr:uid="{00000000-0005-0000-0000-0000D4200000}"/>
    <cellStyle name="Note 2 2 3 6 2" xfId="6971" xr:uid="{00000000-0005-0000-0000-0000D5200000}"/>
    <cellStyle name="Note 2 2 3 6 2 2" xfId="23854" xr:uid="{6C143279-1DD0-42B1-B57D-E3C11EA93321}"/>
    <cellStyle name="Note 2 2 3 6 2 3" xfId="32300" xr:uid="{4316E0E5-EBA0-4F84-8341-8AD30A1AC887}"/>
    <cellStyle name="Note 2 2 3 6 2 4" xfId="15413" xr:uid="{C57FCA56-438B-410D-9CAD-079FD09B4B63}"/>
    <cellStyle name="Note 2 2 3 6 3" xfId="19636" xr:uid="{F23E0BC5-BBB8-4B12-A178-4CFC1EEDA9C0}"/>
    <cellStyle name="Note 2 2 3 6 4" xfId="28081" xr:uid="{1CBA210B-C261-40A8-9941-0676FBF59389}"/>
    <cellStyle name="Note 2 2 3 6 5" xfId="11195" xr:uid="{2118C502-945A-497A-A52A-1CC0F4B656E2}"/>
    <cellStyle name="Note 2 2 3 7" xfId="2746" xr:uid="{00000000-0005-0000-0000-0000D6200000}"/>
    <cellStyle name="Note 2 2 3 8" xfId="2827" xr:uid="{00000000-0005-0000-0000-0000D7200000}"/>
    <cellStyle name="Note 2 2 3 8 2" xfId="7051" xr:uid="{00000000-0005-0000-0000-0000D8200000}"/>
    <cellStyle name="Note 2 2 3 8 2 2" xfId="23934" xr:uid="{472CE02E-120F-44FF-AE37-74A3B528C387}"/>
    <cellStyle name="Note 2 2 3 8 2 3" xfId="32380" xr:uid="{C2C0539B-2907-445F-9445-6FA86A85BA3B}"/>
    <cellStyle name="Note 2 2 3 8 2 4" xfId="15493" xr:uid="{CDE8FA7B-C054-48DC-A54E-92C4E24FE194}"/>
    <cellStyle name="Note 2 2 3 8 3" xfId="19716" xr:uid="{9AFD63B9-D0F2-42D5-B8BE-EE1B27ECE630}"/>
    <cellStyle name="Note 2 2 3 8 4" xfId="28163" xr:uid="{8C63F7AE-CB10-44B8-8631-A706B2500037}"/>
    <cellStyle name="Note 2 2 3 8 5" xfId="11275" xr:uid="{01505FE1-742A-4965-BCD2-9B8263CABBA3}"/>
    <cellStyle name="Note 2 2 3 9" xfId="4906" xr:uid="{00000000-0005-0000-0000-0000D9200000}"/>
    <cellStyle name="Note 2 2 3 9 2" xfId="21789" xr:uid="{EE8CBD4A-8FF0-401A-B796-86C6C7955F18}"/>
    <cellStyle name="Note 2 2 3 9 3" xfId="30235" xr:uid="{861E97B6-93EE-43E4-BFFF-E096A422A667}"/>
    <cellStyle name="Note 2 2 3 9 4" xfId="13348" xr:uid="{E12DA7B0-E974-4678-886A-BAAC3C975CB0}"/>
    <cellStyle name="Note 2 2 4" xfId="1006" xr:uid="{00000000-0005-0000-0000-0000DA200000}"/>
    <cellStyle name="Note 2 2 4 2" xfId="3238" xr:uid="{00000000-0005-0000-0000-0000DB200000}"/>
    <cellStyle name="Note 2 2 4 2 2" xfId="7461" xr:uid="{00000000-0005-0000-0000-0000DC200000}"/>
    <cellStyle name="Note 2 2 4 2 2 2" xfId="24344" xr:uid="{5BA1B395-4DE1-454F-BB6F-834D32C4FCB0}"/>
    <cellStyle name="Note 2 2 4 2 2 3" xfId="32790" xr:uid="{0A4ABDB6-0D21-424E-8C8F-35359DF02A8E}"/>
    <cellStyle name="Note 2 2 4 2 2 4" xfId="15903" xr:uid="{92388CF7-F8DD-4D33-A574-88E736772E70}"/>
    <cellStyle name="Note 2 2 4 2 3" xfId="20126" xr:uid="{5E18C8BA-684C-46A8-B14E-CA423DD38D1F}"/>
    <cellStyle name="Note 2 2 4 2 4" xfId="28573" xr:uid="{9C4D9056-C88C-42C7-98D8-3819CA83F7A5}"/>
    <cellStyle name="Note 2 2 4 2 5" xfId="11685" xr:uid="{58A73EBA-9F3C-4032-ABF8-8BA2C1AF93C7}"/>
    <cellStyle name="Note 2 2 4 3" xfId="5316" xr:uid="{00000000-0005-0000-0000-0000DD200000}"/>
    <cellStyle name="Note 2 2 4 3 2" xfId="22199" xr:uid="{3F495CE6-4FFF-4C76-8E36-96AE892941E3}"/>
    <cellStyle name="Note 2 2 4 3 3" xfId="30645" xr:uid="{D5C5BD22-C0EB-47DC-BC60-7CC02E46CBD1}"/>
    <cellStyle name="Note 2 2 4 3 4" xfId="13758" xr:uid="{6047F5DC-D3AB-42F9-9AA3-707048E227C7}"/>
    <cellStyle name="Note 2 2 4 4" xfId="17981" xr:uid="{6E434D76-7B2C-4011-980D-428E70FE3E65}"/>
    <cellStyle name="Note 2 2 4 5" xfId="26426" xr:uid="{2E9027CD-E0D4-42A4-871D-C6E0BBBA699E}"/>
    <cellStyle name="Note 2 2 4 6" xfId="9540" xr:uid="{2B440527-3CC1-4107-92FA-5584F958E590}"/>
    <cellStyle name="Note 2 2 5" xfId="1421" xr:uid="{00000000-0005-0000-0000-0000DE200000}"/>
    <cellStyle name="Note 2 2 5 2" xfId="3651" xr:uid="{00000000-0005-0000-0000-0000DF200000}"/>
    <cellStyle name="Note 2 2 5 2 2" xfId="7874" xr:uid="{00000000-0005-0000-0000-0000E0200000}"/>
    <cellStyle name="Note 2 2 5 2 2 2" xfId="24757" xr:uid="{1AC3696F-8D60-4E00-8B5A-70CABF4B1821}"/>
    <cellStyle name="Note 2 2 5 2 2 3" xfId="33203" xr:uid="{57FA5E27-79DB-4DA4-9340-2F7D1403F42A}"/>
    <cellStyle name="Note 2 2 5 2 2 4" xfId="16316" xr:uid="{5C8000D6-4EC6-4CB4-9551-3E93FD21661E}"/>
    <cellStyle name="Note 2 2 5 2 3" xfId="20539" xr:uid="{99882197-2AF2-4601-AFCD-7B5504FDD57F}"/>
    <cellStyle name="Note 2 2 5 2 4" xfId="28986" xr:uid="{0DD1C85B-05C0-412A-AACE-04FFE6975E21}"/>
    <cellStyle name="Note 2 2 5 2 5" xfId="12098" xr:uid="{83CC86E2-CD4F-4BF4-B42D-C09127F822D6}"/>
    <cellStyle name="Note 2 2 5 3" xfId="5729" xr:uid="{00000000-0005-0000-0000-0000E1200000}"/>
    <cellStyle name="Note 2 2 5 3 2" xfId="22612" xr:uid="{898CE245-73F1-4608-B8D6-BADDCCAD4C3D}"/>
    <cellStyle name="Note 2 2 5 3 3" xfId="31058" xr:uid="{CDDCB5CD-51A9-432D-8E09-13E8792D9F87}"/>
    <cellStyle name="Note 2 2 5 3 4" xfId="14171" xr:uid="{C1BE1547-19AB-4D24-AE2A-EF8C72AEFEF7}"/>
    <cellStyle name="Note 2 2 5 4" xfId="18394" xr:uid="{2B5EAF15-BF06-41DC-96E2-EA96F2673035}"/>
    <cellStyle name="Note 2 2 5 5" xfId="26839" xr:uid="{46B76BAC-7AC7-403A-B6CD-063FC07CA0AB}"/>
    <cellStyle name="Note 2 2 5 6" xfId="9953" xr:uid="{9E60F58A-C058-4749-918E-FD60D63827BD}"/>
    <cellStyle name="Note 2 2 6" xfId="1835" xr:uid="{00000000-0005-0000-0000-0000E2200000}"/>
    <cellStyle name="Note 2 2 6 2" xfId="4064" xr:uid="{00000000-0005-0000-0000-0000E3200000}"/>
    <cellStyle name="Note 2 2 6 2 2" xfId="8287" xr:uid="{00000000-0005-0000-0000-0000E4200000}"/>
    <cellStyle name="Note 2 2 6 2 2 2" xfId="25170" xr:uid="{D267F776-C6E2-4809-B45E-A05D479936D2}"/>
    <cellStyle name="Note 2 2 6 2 2 3" xfId="33616" xr:uid="{D894B58C-BBC7-4DC1-B185-F907A7AE53FB}"/>
    <cellStyle name="Note 2 2 6 2 2 4" xfId="16729" xr:uid="{75473862-A3BB-446C-A641-07AAAF235511}"/>
    <cellStyle name="Note 2 2 6 2 3" xfId="20952" xr:uid="{4C7B13EC-0CF8-4067-B700-78405D203240}"/>
    <cellStyle name="Note 2 2 6 2 4" xfId="29399" xr:uid="{C8105A09-98FA-4D67-9502-C566445CE0A2}"/>
    <cellStyle name="Note 2 2 6 2 5" xfId="12511" xr:uid="{8CF503C3-F9E0-4FD3-B204-76D7311E0962}"/>
    <cellStyle name="Note 2 2 6 3" xfId="6142" xr:uid="{00000000-0005-0000-0000-0000E5200000}"/>
    <cellStyle name="Note 2 2 6 3 2" xfId="23025" xr:uid="{419F8833-62DE-49F8-B556-BBE2EF16016A}"/>
    <cellStyle name="Note 2 2 6 3 3" xfId="31471" xr:uid="{2E28F442-D026-49AD-ACB7-D9DC24929A70}"/>
    <cellStyle name="Note 2 2 6 3 4" xfId="14584" xr:uid="{1FBDB9B6-20F2-4FD8-ADA4-E6CEC8BB9F3F}"/>
    <cellStyle name="Note 2 2 6 4" xfId="18807" xr:uid="{C174FC4D-4FFD-4A22-89E9-3780E2A69AF3}"/>
    <cellStyle name="Note 2 2 6 5" xfId="27252" xr:uid="{FA7590EB-9EE4-46CF-8A90-59500F0436BA}"/>
    <cellStyle name="Note 2 2 6 6" xfId="10366" xr:uid="{070191D5-CF72-445A-AB1C-AECA3C50A911}"/>
    <cellStyle name="Note 2 2 7" xfId="2248" xr:uid="{00000000-0005-0000-0000-0000E6200000}"/>
    <cellStyle name="Note 2 2 7 2" xfId="4477" xr:uid="{00000000-0005-0000-0000-0000E7200000}"/>
    <cellStyle name="Note 2 2 7 2 2" xfId="8700" xr:uid="{00000000-0005-0000-0000-0000E8200000}"/>
    <cellStyle name="Note 2 2 7 2 2 2" xfId="25583" xr:uid="{20C46768-45FF-46F8-802D-282E41CC26D1}"/>
    <cellStyle name="Note 2 2 7 2 2 3" xfId="34029" xr:uid="{A62F38DA-8E03-46BF-B09D-524F8731648D}"/>
    <cellStyle name="Note 2 2 7 2 2 4" xfId="17142" xr:uid="{0385E5E8-8F53-4210-9C76-F13414D183AC}"/>
    <cellStyle name="Note 2 2 7 2 3" xfId="21365" xr:uid="{5BC77DD9-E1AC-4CFC-9CDC-2DC38FFD26C8}"/>
    <cellStyle name="Note 2 2 7 2 4" xfId="29812" xr:uid="{124AF6B0-EF0C-46E9-9AE9-E7881FAECCF7}"/>
    <cellStyle name="Note 2 2 7 2 5" xfId="12924" xr:uid="{459DD285-0617-4A0B-8790-16FB64B414C4}"/>
    <cellStyle name="Note 2 2 7 3" xfId="6555" xr:uid="{00000000-0005-0000-0000-0000E9200000}"/>
    <cellStyle name="Note 2 2 7 3 2" xfId="23438" xr:uid="{D2CB7C40-2238-4ABA-B9EC-27A512AF8A52}"/>
    <cellStyle name="Note 2 2 7 3 3" xfId="31884" xr:uid="{EB3F3E09-F689-4794-B880-7F7F13286038}"/>
    <cellStyle name="Note 2 2 7 3 4" xfId="14997" xr:uid="{4A059939-D690-446C-9DFC-29622257D5CC}"/>
    <cellStyle name="Note 2 2 7 4" xfId="19220" xr:uid="{830F6F83-507A-45DA-BEB1-6B074C737DE4}"/>
    <cellStyle name="Note 2 2 7 5" xfId="27665" xr:uid="{14DA4CE0-BD52-466A-9C69-164078EB1B16}"/>
    <cellStyle name="Note 2 2 7 6" xfId="10779" xr:uid="{0F748937-9542-4FE7-8226-C04C610023A2}"/>
    <cellStyle name="Note 2 2 8" xfId="2684" xr:uid="{00000000-0005-0000-0000-0000EA200000}"/>
    <cellStyle name="Note 2 2 8 2" xfId="6968" xr:uid="{00000000-0005-0000-0000-0000EB200000}"/>
    <cellStyle name="Note 2 2 8 2 2" xfId="23851" xr:uid="{7AB39A77-CCF8-4372-B778-284D75C4FBF0}"/>
    <cellStyle name="Note 2 2 8 2 3" xfId="32297" xr:uid="{115FF6FC-8A74-4CF5-A72C-AAD7BF54582D}"/>
    <cellStyle name="Note 2 2 8 2 4" xfId="15410" xr:uid="{330988A3-7851-4C74-9D0D-7A34FFAD3DE6}"/>
    <cellStyle name="Note 2 2 8 3" xfId="19633" xr:uid="{A468D70D-7665-4A71-B2D6-53D4942BF3B3}"/>
    <cellStyle name="Note 2 2 8 4" xfId="28078" xr:uid="{495EDFEA-D038-4B6E-877F-B1A5F8E1C083}"/>
    <cellStyle name="Note 2 2 8 5" xfId="11192" xr:uid="{A9BAA2D4-42F4-489F-97C1-7500DF8A9371}"/>
    <cellStyle name="Note 2 2 9" xfId="2743" xr:uid="{00000000-0005-0000-0000-0000EC200000}"/>
    <cellStyle name="Note 2 3" xfId="549" xr:uid="{00000000-0005-0000-0000-0000ED200000}"/>
    <cellStyle name="Note 2 3 10" xfId="4907" xr:uid="{00000000-0005-0000-0000-0000EE200000}"/>
    <cellStyle name="Note 2 3 10 2" xfId="21790" xr:uid="{07F1302E-23EF-45FA-9558-DBCD6E06D4F9}"/>
    <cellStyle name="Note 2 3 10 3" xfId="30236" xr:uid="{9CC7F834-E4AB-446E-8075-2CB18C1BA40C}"/>
    <cellStyle name="Note 2 3 10 4" xfId="13349" xr:uid="{203B7689-3F80-4197-8B7E-760BB373546E}"/>
    <cellStyle name="Note 2 3 11" xfId="17572" xr:uid="{7209F7BA-F982-471E-B616-88A67EB3C540}"/>
    <cellStyle name="Note 2 3 12" xfId="26017" xr:uid="{7492023B-CDBF-406F-B961-D0921656BC8E}"/>
    <cellStyle name="Note 2 3 13" xfId="9131" xr:uid="{9CE48B23-749D-4689-A229-F1CCAEE2B73C}"/>
    <cellStyle name="Note 2 3 2" xfId="550" xr:uid="{00000000-0005-0000-0000-0000EF200000}"/>
    <cellStyle name="Note 2 3 2 10" xfId="17573" xr:uid="{7AAF019A-6226-4ECA-8821-8356D34F2A75}"/>
    <cellStyle name="Note 2 3 2 11" xfId="26018" xr:uid="{BCB0143D-D3EC-45C9-879B-93B645509543}"/>
    <cellStyle name="Note 2 3 2 12" xfId="9132" xr:uid="{BB44638B-416C-4396-924D-1279561123B1}"/>
    <cellStyle name="Note 2 3 2 2" xfId="1011" xr:uid="{00000000-0005-0000-0000-0000F0200000}"/>
    <cellStyle name="Note 2 3 2 2 2" xfId="3243" xr:uid="{00000000-0005-0000-0000-0000F1200000}"/>
    <cellStyle name="Note 2 3 2 2 2 2" xfId="7466" xr:uid="{00000000-0005-0000-0000-0000F2200000}"/>
    <cellStyle name="Note 2 3 2 2 2 2 2" xfId="24349" xr:uid="{D7DF5493-2FE8-498D-8538-2F886BCAA15B}"/>
    <cellStyle name="Note 2 3 2 2 2 2 3" xfId="32795" xr:uid="{F92B8275-7941-4B84-A964-9F31435A2AA5}"/>
    <cellStyle name="Note 2 3 2 2 2 2 4" xfId="15908" xr:uid="{ABC4796F-F9D8-4A12-9ACC-3C850A2A4280}"/>
    <cellStyle name="Note 2 3 2 2 2 3" xfId="20131" xr:uid="{541F7919-0823-4FE6-AF7C-67DB19EF278A}"/>
    <cellStyle name="Note 2 3 2 2 2 4" xfId="28578" xr:uid="{78EE8C2A-968F-4A6E-BFC7-4073F91E62B6}"/>
    <cellStyle name="Note 2 3 2 2 2 5" xfId="11690" xr:uid="{1560269F-98CC-40BE-8DF2-8D73DF14CCF3}"/>
    <cellStyle name="Note 2 3 2 2 3" xfId="5321" xr:uid="{00000000-0005-0000-0000-0000F3200000}"/>
    <cellStyle name="Note 2 3 2 2 3 2" xfId="22204" xr:uid="{463E7847-8AB0-4A2C-9189-D3AD63055E17}"/>
    <cellStyle name="Note 2 3 2 2 3 3" xfId="30650" xr:uid="{11D8EAA2-F4D2-4779-8A93-CCA9AD2C0B18}"/>
    <cellStyle name="Note 2 3 2 2 3 4" xfId="13763" xr:uid="{CF28646C-4F48-4FA9-A4B2-164996AC9B8A}"/>
    <cellStyle name="Note 2 3 2 2 4" xfId="17986" xr:uid="{75B79568-DA32-4FFA-8EA7-2BE4FB6A750B}"/>
    <cellStyle name="Note 2 3 2 2 5" xfId="26431" xr:uid="{98AC0C68-9AE2-4635-AC36-F2C5069C4323}"/>
    <cellStyle name="Note 2 3 2 2 6" xfId="9545" xr:uid="{E34BFC0C-3105-4DC6-8B46-AEFEA76A8EF3}"/>
    <cellStyle name="Note 2 3 2 3" xfId="1426" xr:uid="{00000000-0005-0000-0000-0000F4200000}"/>
    <cellStyle name="Note 2 3 2 3 2" xfId="3656" xr:uid="{00000000-0005-0000-0000-0000F5200000}"/>
    <cellStyle name="Note 2 3 2 3 2 2" xfId="7879" xr:uid="{00000000-0005-0000-0000-0000F6200000}"/>
    <cellStyle name="Note 2 3 2 3 2 2 2" xfId="24762" xr:uid="{8F049800-860D-4FE5-A254-E6A3B487888B}"/>
    <cellStyle name="Note 2 3 2 3 2 2 3" xfId="33208" xr:uid="{3D8F55D3-EEB1-42B4-9A1A-96C0DF15C4FA}"/>
    <cellStyle name="Note 2 3 2 3 2 2 4" xfId="16321" xr:uid="{ACCB51B9-9FCF-43F9-82C0-884F3BCB0888}"/>
    <cellStyle name="Note 2 3 2 3 2 3" xfId="20544" xr:uid="{CA74C02D-8ACD-49DF-935B-348203B9395D}"/>
    <cellStyle name="Note 2 3 2 3 2 4" xfId="28991" xr:uid="{6216A66F-079D-4772-B437-476D0AE6FD7E}"/>
    <cellStyle name="Note 2 3 2 3 2 5" xfId="12103" xr:uid="{8F46934E-9BE0-4871-9451-3FA8A9BFCE6B}"/>
    <cellStyle name="Note 2 3 2 3 3" xfId="5734" xr:uid="{00000000-0005-0000-0000-0000F7200000}"/>
    <cellStyle name="Note 2 3 2 3 3 2" xfId="22617" xr:uid="{D6E6FC49-EE30-4622-8464-4EA856394B54}"/>
    <cellStyle name="Note 2 3 2 3 3 3" xfId="31063" xr:uid="{CFC56C1E-058E-4F50-8718-A69E6884261C}"/>
    <cellStyle name="Note 2 3 2 3 3 4" xfId="14176" xr:uid="{B7A56E22-3BC2-4BF6-89C5-52A0054F3622}"/>
    <cellStyle name="Note 2 3 2 3 4" xfId="18399" xr:uid="{29DAF9C6-A998-44F4-A9FA-1722C769DB88}"/>
    <cellStyle name="Note 2 3 2 3 5" xfId="26844" xr:uid="{627BAA62-682A-4151-8900-089E5D2E8E18}"/>
    <cellStyle name="Note 2 3 2 3 6" xfId="9958" xr:uid="{B949E3E7-3E92-4C1F-B5D3-117EECCB6E62}"/>
    <cellStyle name="Note 2 3 2 4" xfId="1840" xr:uid="{00000000-0005-0000-0000-0000F8200000}"/>
    <cellStyle name="Note 2 3 2 4 2" xfId="4069" xr:uid="{00000000-0005-0000-0000-0000F9200000}"/>
    <cellStyle name="Note 2 3 2 4 2 2" xfId="8292" xr:uid="{00000000-0005-0000-0000-0000FA200000}"/>
    <cellStyle name="Note 2 3 2 4 2 2 2" xfId="25175" xr:uid="{018C0770-AE53-457E-94E9-005C4F1B8F08}"/>
    <cellStyle name="Note 2 3 2 4 2 2 3" xfId="33621" xr:uid="{A2FF9684-0BB4-4F2E-AE5C-8459BA1FE954}"/>
    <cellStyle name="Note 2 3 2 4 2 2 4" xfId="16734" xr:uid="{ABDBA868-E0DD-4F75-AA4C-4A70B9767051}"/>
    <cellStyle name="Note 2 3 2 4 2 3" xfId="20957" xr:uid="{6867961A-872B-4FBC-BA50-346645E83891}"/>
    <cellStyle name="Note 2 3 2 4 2 4" xfId="29404" xr:uid="{1333A320-2ACA-42C8-896B-B6C6E4BB64E6}"/>
    <cellStyle name="Note 2 3 2 4 2 5" xfId="12516" xr:uid="{589F6D49-FC5E-4F6A-AF61-5C102609EB09}"/>
    <cellStyle name="Note 2 3 2 4 3" xfId="6147" xr:uid="{00000000-0005-0000-0000-0000FB200000}"/>
    <cellStyle name="Note 2 3 2 4 3 2" xfId="23030" xr:uid="{164A8580-87B9-4D8B-A63B-BEA2D9C562F7}"/>
    <cellStyle name="Note 2 3 2 4 3 3" xfId="31476" xr:uid="{E784D496-9E29-488D-B8B1-17D79C8A1B1E}"/>
    <cellStyle name="Note 2 3 2 4 3 4" xfId="14589" xr:uid="{E8CCAED8-9C43-47D6-BA70-D3D499644EEF}"/>
    <cellStyle name="Note 2 3 2 4 4" xfId="18812" xr:uid="{4D5EAF08-D4F1-40C6-815B-2C671D5EBF6D}"/>
    <cellStyle name="Note 2 3 2 4 5" xfId="27257" xr:uid="{CCD6E7FA-C7D1-4A27-B0B1-CFEFE9ED0BF3}"/>
    <cellStyle name="Note 2 3 2 4 6" xfId="10371" xr:uid="{00D0C119-04BD-4B39-9C71-A989D8DCE611}"/>
    <cellStyle name="Note 2 3 2 5" xfId="2253" xr:uid="{00000000-0005-0000-0000-0000FC200000}"/>
    <cellStyle name="Note 2 3 2 5 2" xfId="4482" xr:uid="{00000000-0005-0000-0000-0000FD200000}"/>
    <cellStyle name="Note 2 3 2 5 2 2" xfId="8705" xr:uid="{00000000-0005-0000-0000-0000FE200000}"/>
    <cellStyle name="Note 2 3 2 5 2 2 2" xfId="25588" xr:uid="{B5D80E78-51B1-4222-85A9-7A2D85C000B3}"/>
    <cellStyle name="Note 2 3 2 5 2 2 3" xfId="34034" xr:uid="{D6C3130A-2040-45BF-9EBA-4B9C792337D7}"/>
    <cellStyle name="Note 2 3 2 5 2 2 4" xfId="17147" xr:uid="{D95E9A8B-D867-467A-97B1-DCC566843622}"/>
    <cellStyle name="Note 2 3 2 5 2 3" xfId="21370" xr:uid="{413EB0DB-4A6B-4314-B323-9A432570B076}"/>
    <cellStyle name="Note 2 3 2 5 2 4" xfId="29817" xr:uid="{33AB4020-1E83-4501-AD42-933F16CBDA82}"/>
    <cellStyle name="Note 2 3 2 5 2 5" xfId="12929" xr:uid="{0F0F8FE9-C555-4171-8777-DF9763541A09}"/>
    <cellStyle name="Note 2 3 2 5 3" xfId="6560" xr:uid="{00000000-0005-0000-0000-0000FF200000}"/>
    <cellStyle name="Note 2 3 2 5 3 2" xfId="23443" xr:uid="{6A5FFA51-DB0A-48F5-9ABA-49B8C4ECD2D1}"/>
    <cellStyle name="Note 2 3 2 5 3 3" xfId="31889" xr:uid="{E4B62477-7271-4F65-AC08-E8E2BA92E1B7}"/>
    <cellStyle name="Note 2 3 2 5 3 4" xfId="15002" xr:uid="{1B97C707-3C9E-4AF0-B47F-4C90A517C3DD}"/>
    <cellStyle name="Note 2 3 2 5 4" xfId="19225" xr:uid="{6E778FFD-3AD1-4651-9ACE-CD729834912E}"/>
    <cellStyle name="Note 2 3 2 5 5" xfId="27670" xr:uid="{6162088B-3D1E-4DD7-A04B-2F867FA653A2}"/>
    <cellStyle name="Note 2 3 2 5 6" xfId="10784" xr:uid="{B97B147F-F4DE-4268-AC44-BE093FEB897B}"/>
    <cellStyle name="Note 2 3 2 6" xfId="2689" xr:uid="{00000000-0005-0000-0000-000000210000}"/>
    <cellStyle name="Note 2 3 2 6 2" xfId="6973" xr:uid="{00000000-0005-0000-0000-000001210000}"/>
    <cellStyle name="Note 2 3 2 6 2 2" xfId="23856" xr:uid="{091FB58E-8C6F-4021-A3B4-25301B78B22B}"/>
    <cellStyle name="Note 2 3 2 6 2 3" xfId="32302" xr:uid="{91E75DE6-70CC-43AA-872E-AB4F7D7913D4}"/>
    <cellStyle name="Note 2 3 2 6 2 4" xfId="15415" xr:uid="{CAC39C07-CF4A-4015-8B1A-9C36476D7659}"/>
    <cellStyle name="Note 2 3 2 6 3" xfId="19638" xr:uid="{D789B1B9-190C-4125-8CD2-F1FE00D83770}"/>
    <cellStyle name="Note 2 3 2 6 4" xfId="28083" xr:uid="{310E1483-70AF-4F2A-AFAB-56305A44E61A}"/>
    <cellStyle name="Note 2 3 2 6 5" xfId="11197" xr:uid="{9149C575-8247-4B95-BE3B-2FF9498E00B9}"/>
    <cellStyle name="Note 2 3 2 7" xfId="2748" xr:uid="{00000000-0005-0000-0000-000002210000}"/>
    <cellStyle name="Note 2 3 2 8" xfId="2829" xr:uid="{00000000-0005-0000-0000-000003210000}"/>
    <cellStyle name="Note 2 3 2 8 2" xfId="7053" xr:uid="{00000000-0005-0000-0000-000004210000}"/>
    <cellStyle name="Note 2 3 2 8 2 2" xfId="23936" xr:uid="{3DC88811-00B0-4BD7-A0B6-996A22DEA256}"/>
    <cellStyle name="Note 2 3 2 8 2 3" xfId="32382" xr:uid="{99962FD7-4B61-4055-A885-24392E5BDB10}"/>
    <cellStyle name="Note 2 3 2 8 2 4" xfId="15495" xr:uid="{707023F6-6B1C-46B7-8950-92F82FF935DE}"/>
    <cellStyle name="Note 2 3 2 8 3" xfId="19718" xr:uid="{23E97C06-5339-441A-B953-AE88F1CA28A6}"/>
    <cellStyle name="Note 2 3 2 8 4" xfId="28165" xr:uid="{F3778498-B394-4F07-A021-CA58A56BCE90}"/>
    <cellStyle name="Note 2 3 2 8 5" xfId="11277" xr:uid="{24E963AE-94F8-4B69-973B-8301EB8624C8}"/>
    <cellStyle name="Note 2 3 2 9" xfId="4908" xr:uid="{00000000-0005-0000-0000-000005210000}"/>
    <cellStyle name="Note 2 3 2 9 2" xfId="21791" xr:uid="{4F024320-F753-496B-960C-85AA64E3DCDF}"/>
    <cellStyle name="Note 2 3 2 9 3" xfId="30237" xr:uid="{BA3B2983-DD48-4312-8461-661154F5A039}"/>
    <cellStyle name="Note 2 3 2 9 4" xfId="13350" xr:uid="{476B6011-C29A-4532-A9B6-253845E43279}"/>
    <cellStyle name="Note 2 3 3" xfId="1010" xr:uid="{00000000-0005-0000-0000-000006210000}"/>
    <cellStyle name="Note 2 3 3 2" xfId="3242" xr:uid="{00000000-0005-0000-0000-000007210000}"/>
    <cellStyle name="Note 2 3 3 2 2" xfId="7465" xr:uid="{00000000-0005-0000-0000-000008210000}"/>
    <cellStyle name="Note 2 3 3 2 2 2" xfId="24348" xr:uid="{D3CD49EE-5230-42DD-9A9C-4284B28A2A71}"/>
    <cellStyle name="Note 2 3 3 2 2 3" xfId="32794" xr:uid="{28AB3F58-F694-4B00-9A0B-DFD1C68710B3}"/>
    <cellStyle name="Note 2 3 3 2 2 4" xfId="15907" xr:uid="{1F82AE18-D9CF-45AC-9AF1-0A83596C5A20}"/>
    <cellStyle name="Note 2 3 3 2 3" xfId="20130" xr:uid="{AB38E619-C23A-43C8-A22B-245235562C4F}"/>
    <cellStyle name="Note 2 3 3 2 4" xfId="28577" xr:uid="{162C80F0-477E-4AF1-869A-CD374492814C}"/>
    <cellStyle name="Note 2 3 3 2 5" xfId="11689" xr:uid="{94CE3BF9-B137-4C8A-8072-004B4CF577DC}"/>
    <cellStyle name="Note 2 3 3 3" xfId="5320" xr:uid="{00000000-0005-0000-0000-000009210000}"/>
    <cellStyle name="Note 2 3 3 3 2" xfId="22203" xr:uid="{A2F44D5C-3D45-4F3B-9A0A-0CC80E416AF1}"/>
    <cellStyle name="Note 2 3 3 3 3" xfId="30649" xr:uid="{F225FED5-6525-410A-8CB2-CFFB954B2D7C}"/>
    <cellStyle name="Note 2 3 3 3 4" xfId="13762" xr:uid="{1AFD5898-0E72-4A76-954F-FE0BFC14A3E2}"/>
    <cellStyle name="Note 2 3 3 4" xfId="17985" xr:uid="{56D51A3D-C276-4158-A982-7B3F10F7FD08}"/>
    <cellStyle name="Note 2 3 3 5" xfId="26430" xr:uid="{76A1E452-CFC2-4514-8EE4-1F1FFC5AE90E}"/>
    <cellStyle name="Note 2 3 3 6" xfId="9544" xr:uid="{63E63B74-4A60-4F79-9192-A877DEE9FC7D}"/>
    <cellStyle name="Note 2 3 4" xfId="1425" xr:uid="{00000000-0005-0000-0000-00000A210000}"/>
    <cellStyle name="Note 2 3 4 2" xfId="3655" xr:uid="{00000000-0005-0000-0000-00000B210000}"/>
    <cellStyle name="Note 2 3 4 2 2" xfId="7878" xr:uid="{00000000-0005-0000-0000-00000C210000}"/>
    <cellStyle name="Note 2 3 4 2 2 2" xfId="24761" xr:uid="{29F5631D-530F-4AE9-9F54-74710DFBDA11}"/>
    <cellStyle name="Note 2 3 4 2 2 3" xfId="33207" xr:uid="{7496DE4C-EDBE-4682-B55E-C8E8183E0A4C}"/>
    <cellStyle name="Note 2 3 4 2 2 4" xfId="16320" xr:uid="{01ADF333-A64A-4CD5-80C2-9C9F8D933FAF}"/>
    <cellStyle name="Note 2 3 4 2 3" xfId="20543" xr:uid="{53907C78-6C35-4520-BA08-7389E7ECEACD}"/>
    <cellStyle name="Note 2 3 4 2 4" xfId="28990" xr:uid="{1A92D8CE-3955-45E8-B69C-F3088FA5BF18}"/>
    <cellStyle name="Note 2 3 4 2 5" xfId="12102" xr:uid="{0EB35E4C-8BFD-4C02-A1D6-9EF27B2CEBB2}"/>
    <cellStyle name="Note 2 3 4 3" xfId="5733" xr:uid="{00000000-0005-0000-0000-00000D210000}"/>
    <cellStyle name="Note 2 3 4 3 2" xfId="22616" xr:uid="{D6550E84-D274-4DE6-A629-4BEF7BE1B08B}"/>
    <cellStyle name="Note 2 3 4 3 3" xfId="31062" xr:uid="{8CB5C6EC-9A75-43C6-814B-81CC2CE53BFC}"/>
    <cellStyle name="Note 2 3 4 3 4" xfId="14175" xr:uid="{D1AA85C3-8D2E-4DE5-A81D-2F93A4C8C79D}"/>
    <cellStyle name="Note 2 3 4 4" xfId="18398" xr:uid="{110204A7-E31F-4F9F-B205-12FC541EA859}"/>
    <cellStyle name="Note 2 3 4 5" xfId="26843" xr:uid="{A9BCBCD7-FCC7-4DBD-9F5F-CF3E26CBDFC1}"/>
    <cellStyle name="Note 2 3 4 6" xfId="9957" xr:uid="{D03AEF84-28F8-4F22-A546-7B97F7D72618}"/>
    <cellStyle name="Note 2 3 5" xfId="1839" xr:uid="{00000000-0005-0000-0000-00000E210000}"/>
    <cellStyle name="Note 2 3 5 2" xfId="4068" xr:uid="{00000000-0005-0000-0000-00000F210000}"/>
    <cellStyle name="Note 2 3 5 2 2" xfId="8291" xr:uid="{00000000-0005-0000-0000-000010210000}"/>
    <cellStyle name="Note 2 3 5 2 2 2" xfId="25174" xr:uid="{87FA6A83-1950-41EF-96D7-B11DFD7ADC49}"/>
    <cellStyle name="Note 2 3 5 2 2 3" xfId="33620" xr:uid="{43D090D5-2469-4120-BA8D-95D6EB7E3482}"/>
    <cellStyle name="Note 2 3 5 2 2 4" xfId="16733" xr:uid="{A5005873-6595-4CD2-BDBE-A4FD1B276ECB}"/>
    <cellStyle name="Note 2 3 5 2 3" xfId="20956" xr:uid="{3C23015A-698A-459B-8CDA-90529F2A7689}"/>
    <cellStyle name="Note 2 3 5 2 4" xfId="29403" xr:uid="{216A74ED-FC0E-4953-81D7-CEA473160AE3}"/>
    <cellStyle name="Note 2 3 5 2 5" xfId="12515" xr:uid="{EAC31EC8-4786-4BC9-BA10-01553F54C4B7}"/>
    <cellStyle name="Note 2 3 5 3" xfId="6146" xr:uid="{00000000-0005-0000-0000-000011210000}"/>
    <cellStyle name="Note 2 3 5 3 2" xfId="23029" xr:uid="{7F653D8B-9169-4659-89CB-0A82BD245195}"/>
    <cellStyle name="Note 2 3 5 3 3" xfId="31475" xr:uid="{2364FFFF-3979-4A13-93F3-8FF97D6E3930}"/>
    <cellStyle name="Note 2 3 5 3 4" xfId="14588" xr:uid="{32B55575-0F28-43DC-B8FC-D4AE6C5AF9CF}"/>
    <cellStyle name="Note 2 3 5 4" xfId="18811" xr:uid="{92D53635-79D7-4FE0-8AFF-C3E735DDD35C}"/>
    <cellStyle name="Note 2 3 5 5" xfId="27256" xr:uid="{2CBCDDEC-742D-47F4-82FB-73A8DDC2A3DB}"/>
    <cellStyle name="Note 2 3 5 6" xfId="10370" xr:uid="{2E5CD4F3-3B82-4CBD-996D-C3B6FFC476B4}"/>
    <cellStyle name="Note 2 3 6" xfId="2252" xr:uid="{00000000-0005-0000-0000-000012210000}"/>
    <cellStyle name="Note 2 3 6 2" xfId="4481" xr:uid="{00000000-0005-0000-0000-000013210000}"/>
    <cellStyle name="Note 2 3 6 2 2" xfId="8704" xr:uid="{00000000-0005-0000-0000-000014210000}"/>
    <cellStyle name="Note 2 3 6 2 2 2" xfId="25587" xr:uid="{8F0CE040-A2FC-4B0E-BA73-F2BF8658A99C}"/>
    <cellStyle name="Note 2 3 6 2 2 3" xfId="34033" xr:uid="{E6917382-B2DB-4E2B-9B4C-4C662291530D}"/>
    <cellStyle name="Note 2 3 6 2 2 4" xfId="17146" xr:uid="{30021C52-D29E-4FC5-A324-AA277885D1DF}"/>
    <cellStyle name="Note 2 3 6 2 3" xfId="21369" xr:uid="{84A4510F-91C7-4650-92C4-3702FDF51EC7}"/>
    <cellStyle name="Note 2 3 6 2 4" xfId="29816" xr:uid="{1E882FCE-89B0-41D7-ADAE-D1A42D8A72AE}"/>
    <cellStyle name="Note 2 3 6 2 5" xfId="12928" xr:uid="{F39B85CE-CD97-472C-BA0B-0A229A27AF64}"/>
    <cellStyle name="Note 2 3 6 3" xfId="6559" xr:uid="{00000000-0005-0000-0000-000015210000}"/>
    <cellStyle name="Note 2 3 6 3 2" xfId="23442" xr:uid="{235FCEA6-7800-4DEA-AC11-1979762CE41C}"/>
    <cellStyle name="Note 2 3 6 3 3" xfId="31888" xr:uid="{CE42336E-102D-49DC-A5C0-F6E53157634A}"/>
    <cellStyle name="Note 2 3 6 3 4" xfId="15001" xr:uid="{5DE90249-1942-4065-B53C-F91E82970812}"/>
    <cellStyle name="Note 2 3 6 4" xfId="19224" xr:uid="{0644D917-B6B9-476A-AF7A-CE16291A8470}"/>
    <cellStyle name="Note 2 3 6 5" xfId="27669" xr:uid="{4CB3752D-CB44-4321-8BC7-B5A8F90AC914}"/>
    <cellStyle name="Note 2 3 6 6" xfId="10783" xr:uid="{DC759CB2-ACF2-4FFF-945F-DF849F0DD8B0}"/>
    <cellStyle name="Note 2 3 7" xfId="2688" xr:uid="{00000000-0005-0000-0000-000016210000}"/>
    <cellStyle name="Note 2 3 7 2" xfId="6972" xr:uid="{00000000-0005-0000-0000-000017210000}"/>
    <cellStyle name="Note 2 3 7 2 2" xfId="23855" xr:uid="{D10CED47-6631-44C9-89CD-5DF77E6F011C}"/>
    <cellStyle name="Note 2 3 7 2 3" xfId="32301" xr:uid="{754374C5-21AA-45B3-A641-9FB794EB308C}"/>
    <cellStyle name="Note 2 3 7 2 4" xfId="15414" xr:uid="{14C9BDF1-5FE8-4244-96B4-834DCBFC83D1}"/>
    <cellStyle name="Note 2 3 7 3" xfId="19637" xr:uid="{8D35159B-7995-4796-8283-6711BDC66FB5}"/>
    <cellStyle name="Note 2 3 7 4" xfId="28082" xr:uid="{1E6EE1EE-066A-4638-A444-083C67BEC55B}"/>
    <cellStyle name="Note 2 3 7 5" xfId="11196" xr:uid="{C2E2F5D3-E793-45EC-B9DD-2CB516D0351B}"/>
    <cellStyle name="Note 2 3 8" xfId="2747" xr:uid="{00000000-0005-0000-0000-000018210000}"/>
    <cellStyle name="Note 2 3 9" xfId="2828" xr:uid="{00000000-0005-0000-0000-000019210000}"/>
    <cellStyle name="Note 2 3 9 2" xfId="7052" xr:uid="{00000000-0005-0000-0000-00001A210000}"/>
    <cellStyle name="Note 2 3 9 2 2" xfId="23935" xr:uid="{76CFC5E1-B4A0-450E-99D8-DD6C8EF8CBDD}"/>
    <cellStyle name="Note 2 3 9 2 3" xfId="32381" xr:uid="{4B4A5120-1E30-4A0D-ACC4-5CDDD0E2BE41}"/>
    <cellStyle name="Note 2 3 9 2 4" xfId="15494" xr:uid="{F03E9EAA-2E67-437A-B77F-D1B74A7E507C}"/>
    <cellStyle name="Note 2 3 9 3" xfId="19717" xr:uid="{F1D4521C-AA39-40AF-8DAB-3ADF54400762}"/>
    <cellStyle name="Note 2 3 9 4" xfId="28164" xr:uid="{FED79497-8020-4539-BF35-762DD29A69C5}"/>
    <cellStyle name="Note 2 3 9 5" xfId="11276" xr:uid="{1E3E9103-C946-4CB0-8BC9-BC4864BBB2A4}"/>
    <cellStyle name="Note 2 4" xfId="551" xr:uid="{00000000-0005-0000-0000-00001B210000}"/>
    <cellStyle name="Note 2 4 10" xfId="17574" xr:uid="{098888D5-ED95-4C3D-B5AA-3C36240C3BC1}"/>
    <cellStyle name="Note 2 4 11" xfId="26019" xr:uid="{4F8BCE9D-FF27-491E-BE77-B7ECAB870BFC}"/>
    <cellStyle name="Note 2 4 12" xfId="9133" xr:uid="{5BE8EFA8-0544-4321-ABC9-39991CAA37F0}"/>
    <cellStyle name="Note 2 4 2" xfId="1012" xr:uid="{00000000-0005-0000-0000-00001C210000}"/>
    <cellStyle name="Note 2 4 2 2" xfId="3244" xr:uid="{00000000-0005-0000-0000-00001D210000}"/>
    <cellStyle name="Note 2 4 2 2 2" xfId="7467" xr:uid="{00000000-0005-0000-0000-00001E210000}"/>
    <cellStyle name="Note 2 4 2 2 2 2" xfId="24350" xr:uid="{101B992F-C306-4A92-B3AE-5A8C38052648}"/>
    <cellStyle name="Note 2 4 2 2 2 3" xfId="32796" xr:uid="{19EA04AE-51E1-4301-AC83-F23CF4CFD7BD}"/>
    <cellStyle name="Note 2 4 2 2 2 4" xfId="15909" xr:uid="{3EED838F-E615-40DF-9B35-3DE6C83791C5}"/>
    <cellStyle name="Note 2 4 2 2 3" xfId="20132" xr:uid="{A413C95B-D1B1-4009-833E-5E41186A92B9}"/>
    <cellStyle name="Note 2 4 2 2 4" xfId="28579" xr:uid="{2BCB08BD-6A84-4C44-B9F6-995BE578E870}"/>
    <cellStyle name="Note 2 4 2 2 5" xfId="11691" xr:uid="{EDDF6773-2459-4A26-B06C-C771C24AD510}"/>
    <cellStyle name="Note 2 4 2 3" xfId="5322" xr:uid="{00000000-0005-0000-0000-00001F210000}"/>
    <cellStyle name="Note 2 4 2 3 2" xfId="22205" xr:uid="{1B1B963B-5C81-4C4E-AFD6-D451CD28BB3C}"/>
    <cellStyle name="Note 2 4 2 3 3" xfId="30651" xr:uid="{FD43A9A2-E172-4BFE-BF3C-B9FA39A5E0C4}"/>
    <cellStyle name="Note 2 4 2 3 4" xfId="13764" xr:uid="{3ABF57C9-F55D-433E-B050-CAEAD1E124DA}"/>
    <cellStyle name="Note 2 4 2 4" xfId="17987" xr:uid="{09CFAB07-10FC-4ED7-9909-9CADB8FAB5A5}"/>
    <cellStyle name="Note 2 4 2 5" xfId="26432" xr:uid="{71EE8147-87BE-49F8-A65E-E81BD7BC907D}"/>
    <cellStyle name="Note 2 4 2 6" xfId="9546" xr:uid="{730A4F63-8397-4666-975E-3F38255A018F}"/>
    <cellStyle name="Note 2 4 3" xfId="1427" xr:uid="{00000000-0005-0000-0000-000020210000}"/>
    <cellStyle name="Note 2 4 3 2" xfId="3657" xr:uid="{00000000-0005-0000-0000-000021210000}"/>
    <cellStyle name="Note 2 4 3 2 2" xfId="7880" xr:uid="{00000000-0005-0000-0000-000022210000}"/>
    <cellStyle name="Note 2 4 3 2 2 2" xfId="24763" xr:uid="{983C3BF8-22A0-4CC0-90AE-FE5BD1DB520E}"/>
    <cellStyle name="Note 2 4 3 2 2 3" xfId="33209" xr:uid="{1B75F765-BBDB-4002-A92A-0D793089A245}"/>
    <cellStyle name="Note 2 4 3 2 2 4" xfId="16322" xr:uid="{CED628C0-C02B-4EB2-8591-EAF701B7632D}"/>
    <cellStyle name="Note 2 4 3 2 3" xfId="20545" xr:uid="{71B49521-9E09-47A6-A7EC-FC9E5000F6D8}"/>
    <cellStyle name="Note 2 4 3 2 4" xfId="28992" xr:uid="{F164D159-4A9F-4EF1-ABAF-2AC9F5A2E518}"/>
    <cellStyle name="Note 2 4 3 2 5" xfId="12104" xr:uid="{60F2D063-6061-4710-9185-A1BFDFA3EFC8}"/>
    <cellStyle name="Note 2 4 3 3" xfId="5735" xr:uid="{00000000-0005-0000-0000-000023210000}"/>
    <cellStyle name="Note 2 4 3 3 2" xfId="22618" xr:uid="{F9D27549-15B5-44F9-9602-B77FFBED9B4E}"/>
    <cellStyle name="Note 2 4 3 3 3" xfId="31064" xr:uid="{185CBAA1-375F-40E8-9BE1-10848ED42105}"/>
    <cellStyle name="Note 2 4 3 3 4" xfId="14177" xr:uid="{725F13BE-D6FF-4D6D-83F1-75E933206A41}"/>
    <cellStyle name="Note 2 4 3 4" xfId="18400" xr:uid="{22888A4C-D06D-437D-BD37-C4B4A1BE018E}"/>
    <cellStyle name="Note 2 4 3 5" xfId="26845" xr:uid="{41060258-113E-4096-B89E-D66C12BD7AD2}"/>
    <cellStyle name="Note 2 4 3 6" xfId="9959" xr:uid="{DB2BCBDF-42B7-48D5-AAC4-D6D131FA8F6E}"/>
    <cellStyle name="Note 2 4 4" xfId="1841" xr:uid="{00000000-0005-0000-0000-000024210000}"/>
    <cellStyle name="Note 2 4 4 2" xfId="4070" xr:uid="{00000000-0005-0000-0000-000025210000}"/>
    <cellStyle name="Note 2 4 4 2 2" xfId="8293" xr:uid="{00000000-0005-0000-0000-000026210000}"/>
    <cellStyle name="Note 2 4 4 2 2 2" xfId="25176" xr:uid="{F89230D8-A333-44B4-A783-1028F5C6EB07}"/>
    <cellStyle name="Note 2 4 4 2 2 3" xfId="33622" xr:uid="{F2763DF3-6AF2-4F33-AF54-EF49D91D9CBD}"/>
    <cellStyle name="Note 2 4 4 2 2 4" xfId="16735" xr:uid="{4AF4A560-CFCA-46F5-99A2-12C61DE84BD3}"/>
    <cellStyle name="Note 2 4 4 2 3" xfId="20958" xr:uid="{BAA0F06F-1062-4554-86F4-FFF9F249B844}"/>
    <cellStyle name="Note 2 4 4 2 4" xfId="29405" xr:uid="{A6A568B5-9C6E-4B29-BFA8-7A7765DD3DCC}"/>
    <cellStyle name="Note 2 4 4 2 5" xfId="12517" xr:uid="{6B280ED0-9256-43C0-A6A2-E53E47F702B7}"/>
    <cellStyle name="Note 2 4 4 3" xfId="6148" xr:uid="{00000000-0005-0000-0000-000027210000}"/>
    <cellStyle name="Note 2 4 4 3 2" xfId="23031" xr:uid="{025CBE16-DE1E-4BE6-A9FE-CCBC600D4BEF}"/>
    <cellStyle name="Note 2 4 4 3 3" xfId="31477" xr:uid="{612219AD-B3DB-40EB-B62E-E1875F628683}"/>
    <cellStyle name="Note 2 4 4 3 4" xfId="14590" xr:uid="{6EC63C08-0FFE-4974-946E-BB7DBD03CEE8}"/>
    <cellStyle name="Note 2 4 4 4" xfId="18813" xr:uid="{86073116-C778-4109-9435-B703FDC8EE49}"/>
    <cellStyle name="Note 2 4 4 5" xfId="27258" xr:uid="{CAE4A9AC-A16E-4225-8215-FC3158408117}"/>
    <cellStyle name="Note 2 4 4 6" xfId="10372" xr:uid="{243C1E63-EDD8-46C8-9656-27E09847C3CD}"/>
    <cellStyle name="Note 2 4 5" xfId="2254" xr:uid="{00000000-0005-0000-0000-000028210000}"/>
    <cellStyle name="Note 2 4 5 2" xfId="4483" xr:uid="{00000000-0005-0000-0000-000029210000}"/>
    <cellStyle name="Note 2 4 5 2 2" xfId="8706" xr:uid="{00000000-0005-0000-0000-00002A210000}"/>
    <cellStyle name="Note 2 4 5 2 2 2" xfId="25589" xr:uid="{D2B1912F-5B63-4E96-B719-3F33D5E44562}"/>
    <cellStyle name="Note 2 4 5 2 2 3" xfId="34035" xr:uid="{EAA23707-8E7C-4F4D-B063-738E8138157E}"/>
    <cellStyle name="Note 2 4 5 2 2 4" xfId="17148" xr:uid="{E4BA48B4-FA8F-4958-9D29-1D30550600A1}"/>
    <cellStyle name="Note 2 4 5 2 3" xfId="21371" xr:uid="{C90B89BC-2E01-465B-8F87-EAA0E14E9853}"/>
    <cellStyle name="Note 2 4 5 2 4" xfId="29818" xr:uid="{A7235CEC-A7E9-4E70-A1BA-BEFB13C8EC79}"/>
    <cellStyle name="Note 2 4 5 2 5" xfId="12930" xr:uid="{4BADBEE4-FDDD-4C89-B808-08331C48F619}"/>
    <cellStyle name="Note 2 4 5 3" xfId="6561" xr:uid="{00000000-0005-0000-0000-00002B210000}"/>
    <cellStyle name="Note 2 4 5 3 2" xfId="23444" xr:uid="{E1B000B8-323E-4F90-B422-8F148C5A7CCE}"/>
    <cellStyle name="Note 2 4 5 3 3" xfId="31890" xr:uid="{5FC0C38D-DD30-4CCA-A4C7-EE54459C2782}"/>
    <cellStyle name="Note 2 4 5 3 4" xfId="15003" xr:uid="{3587B77F-EC4F-4BD4-9CD4-0B2E7875AB2F}"/>
    <cellStyle name="Note 2 4 5 4" xfId="19226" xr:uid="{21962272-44FD-4018-BDE7-93E6BF756951}"/>
    <cellStyle name="Note 2 4 5 5" xfId="27671" xr:uid="{AAB03B69-D0E4-4527-98C4-D1DDCC75BE15}"/>
    <cellStyle name="Note 2 4 5 6" xfId="10785" xr:uid="{F0FB746B-9C03-41AD-81C2-A5AB6930D440}"/>
    <cellStyle name="Note 2 4 6" xfId="2690" xr:uid="{00000000-0005-0000-0000-00002C210000}"/>
    <cellStyle name="Note 2 4 6 2" xfId="6974" xr:uid="{00000000-0005-0000-0000-00002D210000}"/>
    <cellStyle name="Note 2 4 6 2 2" xfId="23857" xr:uid="{8AD5FBDD-ACD5-4C44-B1E0-48FA9208EE56}"/>
    <cellStyle name="Note 2 4 6 2 3" xfId="32303" xr:uid="{6655AA8D-07F8-493F-904C-08F4F5E0F23A}"/>
    <cellStyle name="Note 2 4 6 2 4" xfId="15416" xr:uid="{3B5C729A-9EDB-4115-BDB0-F0810552E3B4}"/>
    <cellStyle name="Note 2 4 6 3" xfId="19639" xr:uid="{FB592E5E-F9D3-4E03-8DD8-68DA20AEF417}"/>
    <cellStyle name="Note 2 4 6 4" xfId="28084" xr:uid="{69344343-BE25-4370-8855-F6222B758F69}"/>
    <cellStyle name="Note 2 4 6 5" xfId="11198" xr:uid="{1C02309E-BCD2-43BB-AF17-D99D42F3F32D}"/>
    <cellStyle name="Note 2 4 7" xfId="2749" xr:uid="{00000000-0005-0000-0000-00002E210000}"/>
    <cellStyle name="Note 2 4 8" xfId="2830" xr:uid="{00000000-0005-0000-0000-00002F210000}"/>
    <cellStyle name="Note 2 4 8 2" xfId="7054" xr:uid="{00000000-0005-0000-0000-000030210000}"/>
    <cellStyle name="Note 2 4 8 2 2" xfId="23937" xr:uid="{4C03A21B-B93F-4168-AB91-2C8592BEAF76}"/>
    <cellStyle name="Note 2 4 8 2 3" xfId="32383" xr:uid="{1C6548EB-E0FE-42F0-955D-A351CC70C506}"/>
    <cellStyle name="Note 2 4 8 2 4" xfId="15496" xr:uid="{BDD14E91-0C57-4977-80B0-60F72C9FC4C3}"/>
    <cellStyle name="Note 2 4 8 3" xfId="19719" xr:uid="{5E370FDA-87EC-4CBE-81DC-CABF11A93B48}"/>
    <cellStyle name="Note 2 4 8 4" xfId="28166" xr:uid="{3F039AAB-4F0E-4B3B-9D29-97B9B5ACA138}"/>
    <cellStyle name="Note 2 4 8 5" xfId="11278" xr:uid="{B2AB421F-E50C-4864-907D-A4C94A921C61}"/>
    <cellStyle name="Note 2 4 9" xfId="4909" xr:uid="{00000000-0005-0000-0000-000031210000}"/>
    <cellStyle name="Note 2 4 9 2" xfId="21792" xr:uid="{D89C7074-0ED6-4A00-B142-078F9F4C8361}"/>
    <cellStyle name="Note 2 4 9 3" xfId="30238" xr:uid="{F0E30BED-ED2E-4F19-B778-9A5AE7AE40EE}"/>
    <cellStyle name="Note 2 4 9 4" xfId="13351" xr:uid="{85718A4E-DED4-406C-BEC6-73C9C621C1D3}"/>
    <cellStyle name="Note 2 5" xfId="552" xr:uid="{00000000-0005-0000-0000-000032210000}"/>
    <cellStyle name="Note 2 5 10" xfId="17575" xr:uid="{F3D0918B-9963-4298-88C2-9E3E7C5D1DA9}"/>
    <cellStyle name="Note 2 5 11" xfId="26020" xr:uid="{B5E5135A-55BE-4B93-AEB9-931C11D00195}"/>
    <cellStyle name="Note 2 5 12" xfId="9134" xr:uid="{0C7EA576-6327-48C1-B9B9-039DE515059B}"/>
    <cellStyle name="Note 2 5 2" xfId="1013" xr:uid="{00000000-0005-0000-0000-000033210000}"/>
    <cellStyle name="Note 2 5 2 2" xfId="3245" xr:uid="{00000000-0005-0000-0000-000034210000}"/>
    <cellStyle name="Note 2 5 2 2 2" xfId="7468" xr:uid="{00000000-0005-0000-0000-000035210000}"/>
    <cellStyle name="Note 2 5 2 2 2 2" xfId="24351" xr:uid="{CB1DB236-2B6E-44B5-9022-46A550E89B10}"/>
    <cellStyle name="Note 2 5 2 2 2 3" xfId="32797" xr:uid="{45F22132-462B-4837-835F-86022370F5C0}"/>
    <cellStyle name="Note 2 5 2 2 2 4" xfId="15910" xr:uid="{27592B97-AC06-4591-8919-697E49ACFE52}"/>
    <cellStyle name="Note 2 5 2 2 3" xfId="20133" xr:uid="{BFCC0708-0933-4609-BDF9-4AC2D52CCFE2}"/>
    <cellStyle name="Note 2 5 2 2 4" xfId="28580" xr:uid="{FC1A46B3-F8DF-4983-89CD-93F93838A046}"/>
    <cellStyle name="Note 2 5 2 2 5" xfId="11692" xr:uid="{C787B8A7-64C9-42DF-A904-A4D19D7A690D}"/>
    <cellStyle name="Note 2 5 2 3" xfId="5323" xr:uid="{00000000-0005-0000-0000-000036210000}"/>
    <cellStyle name="Note 2 5 2 3 2" xfId="22206" xr:uid="{159FCF3D-899E-4D10-A164-815B54C5A1BD}"/>
    <cellStyle name="Note 2 5 2 3 3" xfId="30652" xr:uid="{65CD925E-2CA6-41BF-A8A6-C69D4E5ED7E3}"/>
    <cellStyle name="Note 2 5 2 3 4" xfId="13765" xr:uid="{E1EDE53B-E6D7-4038-BC3A-8CEAD5CFFD77}"/>
    <cellStyle name="Note 2 5 2 4" xfId="17988" xr:uid="{E7D4C861-927E-4747-9B0F-5792B6D81256}"/>
    <cellStyle name="Note 2 5 2 5" xfId="26433" xr:uid="{64D0F14C-A4C0-4038-BD89-59694E93DF4E}"/>
    <cellStyle name="Note 2 5 2 6" xfId="9547" xr:uid="{EC1D38D3-6140-487A-9EB3-8365A894EB56}"/>
    <cellStyle name="Note 2 5 3" xfId="1428" xr:uid="{00000000-0005-0000-0000-000037210000}"/>
    <cellStyle name="Note 2 5 3 2" xfId="3658" xr:uid="{00000000-0005-0000-0000-000038210000}"/>
    <cellStyle name="Note 2 5 3 2 2" xfId="7881" xr:uid="{00000000-0005-0000-0000-000039210000}"/>
    <cellStyle name="Note 2 5 3 2 2 2" xfId="24764" xr:uid="{9F8C67C1-753C-403F-BAF5-05FBD73F596F}"/>
    <cellStyle name="Note 2 5 3 2 2 3" xfId="33210" xr:uid="{C6152C35-0D3D-4625-AA2C-0ACC9EBEC5F8}"/>
    <cellStyle name="Note 2 5 3 2 2 4" xfId="16323" xr:uid="{5BE73354-EDF2-4B45-A72A-A5C3A1C1CBDB}"/>
    <cellStyle name="Note 2 5 3 2 3" xfId="20546" xr:uid="{D7E43F68-FFD7-49C2-BF7D-E9F3150B9B38}"/>
    <cellStyle name="Note 2 5 3 2 4" xfId="28993" xr:uid="{969FB0F4-BE47-4ACC-92B4-AE1B292A7A60}"/>
    <cellStyle name="Note 2 5 3 2 5" xfId="12105" xr:uid="{A4CD8C5D-70BB-4A6D-AC48-EA876E11936B}"/>
    <cellStyle name="Note 2 5 3 3" xfId="5736" xr:uid="{00000000-0005-0000-0000-00003A210000}"/>
    <cellStyle name="Note 2 5 3 3 2" xfId="22619" xr:uid="{64BA330D-9A2D-407F-ABA7-181B8E163093}"/>
    <cellStyle name="Note 2 5 3 3 3" xfId="31065" xr:uid="{E06FBF1D-F31C-4CF3-93E7-1FF81D969C89}"/>
    <cellStyle name="Note 2 5 3 3 4" xfId="14178" xr:uid="{173A68D5-1E0E-4A5E-9F4B-2F0DA33B13CE}"/>
    <cellStyle name="Note 2 5 3 4" xfId="18401" xr:uid="{F4A05EA1-7899-4319-940D-CA25A1BE0F65}"/>
    <cellStyle name="Note 2 5 3 5" xfId="26846" xr:uid="{5DBE65FC-81AF-49E9-B019-6F33D97690CE}"/>
    <cellStyle name="Note 2 5 3 6" xfId="9960" xr:uid="{FA8B2DA6-A05C-4E3B-9C99-384236607CFC}"/>
    <cellStyle name="Note 2 5 4" xfId="1842" xr:uid="{00000000-0005-0000-0000-00003B210000}"/>
    <cellStyle name="Note 2 5 4 2" xfId="4071" xr:uid="{00000000-0005-0000-0000-00003C210000}"/>
    <cellStyle name="Note 2 5 4 2 2" xfId="8294" xr:uid="{00000000-0005-0000-0000-00003D210000}"/>
    <cellStyle name="Note 2 5 4 2 2 2" xfId="25177" xr:uid="{F95B0E6A-5178-4975-BDC6-B527FE075BD5}"/>
    <cellStyle name="Note 2 5 4 2 2 3" xfId="33623" xr:uid="{6700F0AF-816A-4BBF-9958-F4CC7A111CEB}"/>
    <cellStyle name="Note 2 5 4 2 2 4" xfId="16736" xr:uid="{49860A60-F5A1-4419-B064-9EBCB6906727}"/>
    <cellStyle name="Note 2 5 4 2 3" xfId="20959" xr:uid="{C32BA6B2-A953-4519-B5D4-2333C6F170AD}"/>
    <cellStyle name="Note 2 5 4 2 4" xfId="29406" xr:uid="{09FFEB4C-C8E3-43D7-8DBA-DC97CDD5EC0D}"/>
    <cellStyle name="Note 2 5 4 2 5" xfId="12518" xr:uid="{2AA8E521-F7F3-424B-A62F-D41545658C00}"/>
    <cellStyle name="Note 2 5 4 3" xfId="6149" xr:uid="{00000000-0005-0000-0000-00003E210000}"/>
    <cellStyle name="Note 2 5 4 3 2" xfId="23032" xr:uid="{2EF1CC25-FD96-4261-8AEB-AB9C7BCEA541}"/>
    <cellStyle name="Note 2 5 4 3 3" xfId="31478" xr:uid="{B1C981FD-3AA0-4CB1-ABC2-2D73D12473B1}"/>
    <cellStyle name="Note 2 5 4 3 4" xfId="14591" xr:uid="{9C7B6890-EE48-41FB-B2C7-1B05D87489A8}"/>
    <cellStyle name="Note 2 5 4 4" xfId="18814" xr:uid="{3B2BCA92-B128-418A-9892-915C3E72C28B}"/>
    <cellStyle name="Note 2 5 4 5" xfId="27259" xr:uid="{00F2CE9D-7330-4376-89FA-379452BBFAF7}"/>
    <cellStyle name="Note 2 5 4 6" xfId="10373" xr:uid="{4E579A31-57F8-49F9-B480-971798BEFB54}"/>
    <cellStyle name="Note 2 5 5" xfId="2255" xr:uid="{00000000-0005-0000-0000-00003F210000}"/>
    <cellStyle name="Note 2 5 5 2" xfId="4484" xr:uid="{00000000-0005-0000-0000-000040210000}"/>
    <cellStyle name="Note 2 5 5 2 2" xfId="8707" xr:uid="{00000000-0005-0000-0000-000041210000}"/>
    <cellStyle name="Note 2 5 5 2 2 2" xfId="25590" xr:uid="{58B90AC9-3EA1-4567-859F-960ADC36D4A0}"/>
    <cellStyle name="Note 2 5 5 2 2 3" xfId="34036" xr:uid="{F235829A-5B02-4E5A-A185-C1780027FE9F}"/>
    <cellStyle name="Note 2 5 5 2 2 4" xfId="17149" xr:uid="{4EB504D9-7A7F-49B2-9790-4B931F38AFC6}"/>
    <cellStyle name="Note 2 5 5 2 3" xfId="21372" xr:uid="{0BDCC349-65EE-449B-B6D6-B43910824B78}"/>
    <cellStyle name="Note 2 5 5 2 4" xfId="29819" xr:uid="{33732D55-14D9-422D-AC50-23DFC898B303}"/>
    <cellStyle name="Note 2 5 5 2 5" xfId="12931" xr:uid="{C7A0FC86-8FEA-4D2B-A3B9-63EC326B821C}"/>
    <cellStyle name="Note 2 5 5 3" xfId="6562" xr:uid="{00000000-0005-0000-0000-000042210000}"/>
    <cellStyle name="Note 2 5 5 3 2" xfId="23445" xr:uid="{E617A5AD-525F-4D10-BAB3-1F31D38E29E8}"/>
    <cellStyle name="Note 2 5 5 3 3" xfId="31891" xr:uid="{A5AC878E-3FB3-4253-823D-945BE2BC563F}"/>
    <cellStyle name="Note 2 5 5 3 4" xfId="15004" xr:uid="{82C65D98-33E1-4129-A1BE-F515A637889D}"/>
    <cellStyle name="Note 2 5 5 4" xfId="19227" xr:uid="{C7A3E107-1C59-4676-A10B-069B96C12AC9}"/>
    <cellStyle name="Note 2 5 5 5" xfId="27672" xr:uid="{0397D378-E7A5-48CB-BC02-BB119A80FF91}"/>
    <cellStyle name="Note 2 5 5 6" xfId="10786" xr:uid="{5C6CA9FF-C24A-4760-AA68-DCAB8D19D1AE}"/>
    <cellStyle name="Note 2 5 6" xfId="2691" xr:uid="{00000000-0005-0000-0000-000043210000}"/>
    <cellStyle name="Note 2 5 6 2" xfId="6975" xr:uid="{00000000-0005-0000-0000-000044210000}"/>
    <cellStyle name="Note 2 5 6 2 2" xfId="23858" xr:uid="{556FED00-60CD-420A-9E38-FA98154414D2}"/>
    <cellStyle name="Note 2 5 6 2 3" xfId="32304" xr:uid="{084B0085-03AF-4B4D-B251-2113FAF32BFE}"/>
    <cellStyle name="Note 2 5 6 2 4" xfId="15417" xr:uid="{09B36B1F-5315-4A72-9878-89E7C5F1F5B0}"/>
    <cellStyle name="Note 2 5 6 3" xfId="19640" xr:uid="{3FEC4E58-6F8D-4B98-9EE3-D21117D1BCAB}"/>
    <cellStyle name="Note 2 5 6 4" xfId="28085" xr:uid="{B7CD939A-E656-405A-AC7C-61E3C8600724}"/>
    <cellStyle name="Note 2 5 6 5" xfId="11199" xr:uid="{52939873-3528-49C8-81C1-713561B38075}"/>
    <cellStyle name="Note 2 5 7" xfId="2750" xr:uid="{00000000-0005-0000-0000-000045210000}"/>
    <cellStyle name="Note 2 5 8" xfId="2831" xr:uid="{00000000-0005-0000-0000-000046210000}"/>
    <cellStyle name="Note 2 5 8 2" xfId="7055" xr:uid="{00000000-0005-0000-0000-000047210000}"/>
    <cellStyle name="Note 2 5 8 2 2" xfId="23938" xr:uid="{F02BA4B0-05EB-4830-9DDF-118FF5A39983}"/>
    <cellStyle name="Note 2 5 8 2 3" xfId="32384" xr:uid="{132A4BB2-5640-4A60-8865-11E5E7B5D26A}"/>
    <cellStyle name="Note 2 5 8 2 4" xfId="15497" xr:uid="{DDBA8438-D814-4A4A-B14C-5C8E35ADF9C8}"/>
    <cellStyle name="Note 2 5 8 3" xfId="19720" xr:uid="{ABF075BD-72C3-4E89-B06B-7C31703FA56A}"/>
    <cellStyle name="Note 2 5 8 4" xfId="28167" xr:uid="{217F0442-4B23-400A-9E99-3CD69EB95132}"/>
    <cellStyle name="Note 2 5 8 5" xfId="11279" xr:uid="{EC0BCF23-9161-43DA-B0DE-09827583525E}"/>
    <cellStyle name="Note 2 5 9" xfId="4910" xr:uid="{00000000-0005-0000-0000-000048210000}"/>
    <cellStyle name="Note 2 5 9 2" xfId="21793" xr:uid="{FD5C4EF5-952E-4F8C-8AC9-5D2D66855100}"/>
    <cellStyle name="Note 2 5 9 3" xfId="30239" xr:uid="{ABF9B446-0C95-418E-A148-CBCC929FBB52}"/>
    <cellStyle name="Note 2 5 9 4" xfId="13352" xr:uid="{6FBD26BB-F1F2-4FCF-964A-38EF3DC79D72}"/>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23939" xr:uid="{CAA47BCC-6E5B-4004-908D-48E16412976D}"/>
    <cellStyle name="Note 3 2 10 2 3" xfId="32385" xr:uid="{426464BC-CF22-4A0A-81C9-11EF28BBB4C9}"/>
    <cellStyle name="Note 3 2 10 2 4" xfId="15498" xr:uid="{663FDBE7-CFEF-4959-A33A-7F65B95C505A}"/>
    <cellStyle name="Note 3 2 10 3" xfId="19721" xr:uid="{4CF75F9D-11F6-48C9-B8ED-6348EE093B05}"/>
    <cellStyle name="Note 3 2 10 4" xfId="28168" xr:uid="{84AE42A2-79EE-4951-ACE8-F8BC12E112A4}"/>
    <cellStyle name="Note 3 2 10 5" xfId="11280" xr:uid="{3EF73FF1-5112-4A81-A897-48CEEF0A0E52}"/>
    <cellStyle name="Note 3 2 11" xfId="4911" xr:uid="{00000000-0005-0000-0000-00004D210000}"/>
    <cellStyle name="Note 3 2 11 2" xfId="21794" xr:uid="{8BE24EBE-6013-4747-9BEA-C39168241E00}"/>
    <cellStyle name="Note 3 2 11 3" xfId="30240" xr:uid="{1743B0ED-E7BE-478A-94AC-CD9519E677BF}"/>
    <cellStyle name="Note 3 2 11 4" xfId="13353" xr:uid="{4806A79D-8757-400D-A089-868A4EE79039}"/>
    <cellStyle name="Note 3 2 12" xfId="17576" xr:uid="{F89DC2F7-D059-414F-9753-E43DB8369CFD}"/>
    <cellStyle name="Note 3 2 13" xfId="26021" xr:uid="{8338EC4B-8FE2-4931-B7B1-812E23C8E052}"/>
    <cellStyle name="Note 3 2 14" xfId="9135" xr:uid="{76D93C04-0F1F-402B-9DF8-7CE2F2551C4E}"/>
    <cellStyle name="Note 3 2 2" xfId="555" xr:uid="{00000000-0005-0000-0000-00004E210000}"/>
    <cellStyle name="Note 3 2 2 10" xfId="4912" xr:uid="{00000000-0005-0000-0000-00004F210000}"/>
    <cellStyle name="Note 3 2 2 10 2" xfId="21795" xr:uid="{5F97A22E-B550-4733-A284-4F968AC2C4E4}"/>
    <cellStyle name="Note 3 2 2 10 3" xfId="30241" xr:uid="{8B0E078E-6074-458A-A42F-60448C7DCE0C}"/>
    <cellStyle name="Note 3 2 2 10 4" xfId="13354" xr:uid="{5905FCF9-2B17-45DC-B66B-53CE12246B24}"/>
    <cellStyle name="Note 3 2 2 11" xfId="17577" xr:uid="{51CBD720-8E33-4745-ABE4-B01C32AF6435}"/>
    <cellStyle name="Note 3 2 2 12" xfId="26022" xr:uid="{7CDC16FB-1D5F-42D6-A763-4E08650A4617}"/>
    <cellStyle name="Note 3 2 2 13" xfId="9136" xr:uid="{B58622C4-5A26-4BC3-9EE2-F6EB35EE59AC}"/>
    <cellStyle name="Note 3 2 2 2" xfId="556" xr:uid="{00000000-0005-0000-0000-000050210000}"/>
    <cellStyle name="Note 3 2 2 2 10" xfId="17578" xr:uid="{5226FEBD-C9D0-4493-858A-C39A40A60B00}"/>
    <cellStyle name="Note 3 2 2 2 11" xfId="26023" xr:uid="{CE737992-2F1D-4BD0-A66E-FAC2D89B7236}"/>
    <cellStyle name="Note 3 2 2 2 12" xfId="9137" xr:uid="{CB18AEEE-93D2-432C-A8DD-27565F38E83F}"/>
    <cellStyle name="Note 3 2 2 2 2" xfId="1016" xr:uid="{00000000-0005-0000-0000-000051210000}"/>
    <cellStyle name="Note 3 2 2 2 2 2" xfId="3248" xr:uid="{00000000-0005-0000-0000-000052210000}"/>
    <cellStyle name="Note 3 2 2 2 2 2 2" xfId="7471" xr:uid="{00000000-0005-0000-0000-000053210000}"/>
    <cellStyle name="Note 3 2 2 2 2 2 2 2" xfId="24354" xr:uid="{EE2277D5-05A4-472C-9ADD-B6BF66DF5FE3}"/>
    <cellStyle name="Note 3 2 2 2 2 2 2 3" xfId="32800" xr:uid="{D04F79C7-46D8-4815-9137-6B6DC4D2B8B5}"/>
    <cellStyle name="Note 3 2 2 2 2 2 2 4" xfId="15913" xr:uid="{94E20D0B-3608-4198-98C4-709B1A9945ED}"/>
    <cellStyle name="Note 3 2 2 2 2 2 3" xfId="20136" xr:uid="{C2A7DACD-8E44-498F-9CC4-7807EAE4EA4A}"/>
    <cellStyle name="Note 3 2 2 2 2 2 4" xfId="28583" xr:uid="{3E33E11C-93C3-4EC2-B0DD-E21975678C22}"/>
    <cellStyle name="Note 3 2 2 2 2 2 5" xfId="11695" xr:uid="{A7E14459-BF20-4C75-8A89-09E363B06B51}"/>
    <cellStyle name="Note 3 2 2 2 2 3" xfId="5326" xr:uid="{00000000-0005-0000-0000-000054210000}"/>
    <cellStyle name="Note 3 2 2 2 2 3 2" xfId="22209" xr:uid="{BD422BC5-2D6A-40E9-BAD4-7495430CE155}"/>
    <cellStyle name="Note 3 2 2 2 2 3 3" xfId="30655" xr:uid="{37076088-5294-41EE-84FE-DED92BD808B4}"/>
    <cellStyle name="Note 3 2 2 2 2 3 4" xfId="13768" xr:uid="{24A36C2F-027D-4E64-AB46-13FED1E3C594}"/>
    <cellStyle name="Note 3 2 2 2 2 4" xfId="17991" xr:uid="{05869D51-6F16-4767-8200-F0C780E5F566}"/>
    <cellStyle name="Note 3 2 2 2 2 5" xfId="26436" xr:uid="{838216CD-74EB-40BA-800B-92CA5382D574}"/>
    <cellStyle name="Note 3 2 2 2 2 6" xfId="9550" xr:uid="{41629222-2F13-4A39-A7ED-3405214A3883}"/>
    <cellStyle name="Note 3 2 2 2 3" xfId="1431" xr:uid="{00000000-0005-0000-0000-000055210000}"/>
    <cellStyle name="Note 3 2 2 2 3 2" xfId="3661" xr:uid="{00000000-0005-0000-0000-000056210000}"/>
    <cellStyle name="Note 3 2 2 2 3 2 2" xfId="7884" xr:uid="{00000000-0005-0000-0000-000057210000}"/>
    <cellStyle name="Note 3 2 2 2 3 2 2 2" xfId="24767" xr:uid="{3D0427E7-8B3C-4A96-85B2-B3ED6EF53F00}"/>
    <cellStyle name="Note 3 2 2 2 3 2 2 3" xfId="33213" xr:uid="{8DA384C2-B64D-4DDF-8DD8-29A1A88AB95B}"/>
    <cellStyle name="Note 3 2 2 2 3 2 2 4" xfId="16326" xr:uid="{A80D3D54-C3B4-45BC-91B3-5FC7A3CD7194}"/>
    <cellStyle name="Note 3 2 2 2 3 2 3" xfId="20549" xr:uid="{534A8815-7EBA-4C8C-ACD6-4EF1EBAEAEBD}"/>
    <cellStyle name="Note 3 2 2 2 3 2 4" xfId="28996" xr:uid="{13D7B0E7-A0EC-473C-85A1-83F90402E7AF}"/>
    <cellStyle name="Note 3 2 2 2 3 2 5" xfId="12108" xr:uid="{99048ECC-C3E5-4B12-B80D-8BD49D12DCAF}"/>
    <cellStyle name="Note 3 2 2 2 3 3" xfId="5739" xr:uid="{00000000-0005-0000-0000-000058210000}"/>
    <cellStyle name="Note 3 2 2 2 3 3 2" xfId="22622" xr:uid="{2D26932D-4948-4A85-900B-40E3E77ACB17}"/>
    <cellStyle name="Note 3 2 2 2 3 3 3" xfId="31068" xr:uid="{BD790A9B-DE69-42F5-8509-FCAAC19E6C89}"/>
    <cellStyle name="Note 3 2 2 2 3 3 4" xfId="14181" xr:uid="{ED234C76-E821-43D8-A697-A71E463BA191}"/>
    <cellStyle name="Note 3 2 2 2 3 4" xfId="18404" xr:uid="{63F3198C-0AE8-4105-B900-C6D932B0FD43}"/>
    <cellStyle name="Note 3 2 2 2 3 5" xfId="26849" xr:uid="{2A96F101-307F-49B2-9546-AB8B99ABCCB9}"/>
    <cellStyle name="Note 3 2 2 2 3 6" xfId="9963" xr:uid="{13057DAD-EFFA-4BF1-8230-4250DE0D8F2D}"/>
    <cellStyle name="Note 3 2 2 2 4" xfId="1845" xr:uid="{00000000-0005-0000-0000-000059210000}"/>
    <cellStyle name="Note 3 2 2 2 4 2" xfId="4074" xr:uid="{00000000-0005-0000-0000-00005A210000}"/>
    <cellStyle name="Note 3 2 2 2 4 2 2" xfId="8297" xr:uid="{00000000-0005-0000-0000-00005B210000}"/>
    <cellStyle name="Note 3 2 2 2 4 2 2 2" xfId="25180" xr:uid="{B9E4C3D3-6626-4288-97EF-ED1301264D21}"/>
    <cellStyle name="Note 3 2 2 2 4 2 2 3" xfId="33626" xr:uid="{C1ABC694-2D13-4E03-A855-92D5C6E403AE}"/>
    <cellStyle name="Note 3 2 2 2 4 2 2 4" xfId="16739" xr:uid="{F6740A76-6C62-48BD-8D28-E91EB7049524}"/>
    <cellStyle name="Note 3 2 2 2 4 2 3" xfId="20962" xr:uid="{782BF18D-2FF9-4545-AF7C-333D1F55788D}"/>
    <cellStyle name="Note 3 2 2 2 4 2 4" xfId="29409" xr:uid="{7A813A2C-1AB4-4DBC-B1CC-86CCC1658581}"/>
    <cellStyle name="Note 3 2 2 2 4 2 5" xfId="12521" xr:uid="{1078D2EB-09FE-42C1-B4DB-27602A87B4E0}"/>
    <cellStyle name="Note 3 2 2 2 4 3" xfId="6152" xr:uid="{00000000-0005-0000-0000-00005C210000}"/>
    <cellStyle name="Note 3 2 2 2 4 3 2" xfId="23035" xr:uid="{74DE91C7-17C2-49D8-B659-6C1B2C02B44D}"/>
    <cellStyle name="Note 3 2 2 2 4 3 3" xfId="31481" xr:uid="{314DFFDE-BD06-4011-8232-787F327E83CF}"/>
    <cellStyle name="Note 3 2 2 2 4 3 4" xfId="14594" xr:uid="{B6BA9F56-6DB3-4573-93DE-B7FC10A6178D}"/>
    <cellStyle name="Note 3 2 2 2 4 4" xfId="18817" xr:uid="{A813351C-DC38-4D4D-9D71-BF1790E8F853}"/>
    <cellStyle name="Note 3 2 2 2 4 5" xfId="27262" xr:uid="{76C859D0-F018-46EE-8438-9B2DA688A4B1}"/>
    <cellStyle name="Note 3 2 2 2 4 6" xfId="10376" xr:uid="{A75CB569-F02D-4266-BD6C-2BC8F8479B5B}"/>
    <cellStyle name="Note 3 2 2 2 5" xfId="2258" xr:uid="{00000000-0005-0000-0000-00005D210000}"/>
    <cellStyle name="Note 3 2 2 2 5 2" xfId="4487" xr:uid="{00000000-0005-0000-0000-00005E210000}"/>
    <cellStyle name="Note 3 2 2 2 5 2 2" xfId="8710" xr:uid="{00000000-0005-0000-0000-00005F210000}"/>
    <cellStyle name="Note 3 2 2 2 5 2 2 2" xfId="25593" xr:uid="{8AAF8893-87D0-4A5C-BFA9-3ACAD9D8ADA8}"/>
    <cellStyle name="Note 3 2 2 2 5 2 2 3" xfId="34039" xr:uid="{D65935FC-232B-48D6-8B38-91B2A57FA580}"/>
    <cellStyle name="Note 3 2 2 2 5 2 2 4" xfId="17152" xr:uid="{F13F80DE-2574-4420-A30E-DF51F983C085}"/>
    <cellStyle name="Note 3 2 2 2 5 2 3" xfId="21375" xr:uid="{2299AAF9-6A94-4CB7-B706-72E145616EE3}"/>
    <cellStyle name="Note 3 2 2 2 5 2 4" xfId="29822" xr:uid="{33DC1284-4A30-4CCA-928C-7FDEED000DBE}"/>
    <cellStyle name="Note 3 2 2 2 5 2 5" xfId="12934" xr:uid="{C1B70ED8-83F1-4A7A-8E6D-EE85CD3B7BA1}"/>
    <cellStyle name="Note 3 2 2 2 5 3" xfId="6565" xr:uid="{00000000-0005-0000-0000-000060210000}"/>
    <cellStyle name="Note 3 2 2 2 5 3 2" xfId="23448" xr:uid="{9CA883A9-A030-4ACF-9F0F-4E853D3B5DD3}"/>
    <cellStyle name="Note 3 2 2 2 5 3 3" xfId="31894" xr:uid="{6D11234F-E06A-45BB-99D2-8A6654A5D71E}"/>
    <cellStyle name="Note 3 2 2 2 5 3 4" xfId="15007" xr:uid="{626B8237-1C72-45CF-88C8-093146B165EB}"/>
    <cellStyle name="Note 3 2 2 2 5 4" xfId="19230" xr:uid="{0AA83F86-E88A-444C-B0CC-DCDF0DFE86AE}"/>
    <cellStyle name="Note 3 2 2 2 5 5" xfId="27675" xr:uid="{7F36FD0A-A793-4F06-871C-F0B187EBCE4E}"/>
    <cellStyle name="Note 3 2 2 2 5 6" xfId="10789" xr:uid="{1FFFFA53-1E33-49EC-A73E-6C6017E1380F}"/>
    <cellStyle name="Note 3 2 2 2 6" xfId="2694" xr:uid="{00000000-0005-0000-0000-000061210000}"/>
    <cellStyle name="Note 3 2 2 2 6 2" xfId="6978" xr:uid="{00000000-0005-0000-0000-000062210000}"/>
    <cellStyle name="Note 3 2 2 2 6 2 2" xfId="23861" xr:uid="{329C59E0-E056-4357-9C7D-86B8AD54D9FA}"/>
    <cellStyle name="Note 3 2 2 2 6 2 3" xfId="32307" xr:uid="{D425590E-DA88-4E74-A239-1CB5F34F6AA6}"/>
    <cellStyle name="Note 3 2 2 2 6 2 4" xfId="15420" xr:uid="{F2F9CDBA-FD40-4378-A9CD-CF604B550366}"/>
    <cellStyle name="Note 3 2 2 2 6 3" xfId="19643" xr:uid="{994B4941-E94B-480B-B5FF-FAD0CE6A4216}"/>
    <cellStyle name="Note 3 2 2 2 6 4" xfId="28088" xr:uid="{AE0A2785-BB90-4814-B67B-DD6BFC662047}"/>
    <cellStyle name="Note 3 2 2 2 6 5" xfId="11202" xr:uid="{0338C23D-AAC3-4C06-90CE-799D3591922B}"/>
    <cellStyle name="Note 3 2 2 2 7" xfId="2753" xr:uid="{00000000-0005-0000-0000-000063210000}"/>
    <cellStyle name="Note 3 2 2 2 8" xfId="2834" xr:uid="{00000000-0005-0000-0000-000064210000}"/>
    <cellStyle name="Note 3 2 2 2 8 2" xfId="7058" xr:uid="{00000000-0005-0000-0000-000065210000}"/>
    <cellStyle name="Note 3 2 2 2 8 2 2" xfId="23941" xr:uid="{D54FD5D3-574D-4F35-AB4E-D2FE24421944}"/>
    <cellStyle name="Note 3 2 2 2 8 2 3" xfId="32387" xr:uid="{01BFB3C9-D3BA-4514-B9A5-7768623F193B}"/>
    <cellStyle name="Note 3 2 2 2 8 2 4" xfId="15500" xr:uid="{77828F45-F06D-4657-B74A-8296ECA35713}"/>
    <cellStyle name="Note 3 2 2 2 8 3" xfId="19723" xr:uid="{D8047F26-9E4D-4965-A989-EBDD0EF3CE3C}"/>
    <cellStyle name="Note 3 2 2 2 8 4" xfId="28170" xr:uid="{B674CEAB-EFB1-4C01-A1A4-381EF001AF65}"/>
    <cellStyle name="Note 3 2 2 2 8 5" xfId="11282" xr:uid="{9C8AAAA9-E480-47E2-8F79-43081AC68C53}"/>
    <cellStyle name="Note 3 2 2 2 9" xfId="4913" xr:uid="{00000000-0005-0000-0000-000066210000}"/>
    <cellStyle name="Note 3 2 2 2 9 2" xfId="21796" xr:uid="{16AAD21D-F2D0-4AE6-AB1A-7992C9B892A8}"/>
    <cellStyle name="Note 3 2 2 2 9 3" xfId="30242" xr:uid="{8FDEF8C4-75D8-49C4-A73E-561212201912}"/>
    <cellStyle name="Note 3 2 2 2 9 4" xfId="13355" xr:uid="{617C2660-BAC3-4894-B844-C72A5B74ECE5}"/>
    <cellStyle name="Note 3 2 2 3" xfId="1015" xr:uid="{00000000-0005-0000-0000-000067210000}"/>
    <cellStyle name="Note 3 2 2 3 2" xfId="3247" xr:uid="{00000000-0005-0000-0000-000068210000}"/>
    <cellStyle name="Note 3 2 2 3 2 2" xfId="7470" xr:uid="{00000000-0005-0000-0000-000069210000}"/>
    <cellStyle name="Note 3 2 2 3 2 2 2" xfId="24353" xr:uid="{1A909BFA-1871-4871-B11E-47C3C8235A8E}"/>
    <cellStyle name="Note 3 2 2 3 2 2 3" xfId="32799" xr:uid="{BEA43983-D535-490E-9C60-A97D783A4D08}"/>
    <cellStyle name="Note 3 2 2 3 2 2 4" xfId="15912" xr:uid="{A3CE73F7-9194-48BC-B6F3-D6249219A8A6}"/>
    <cellStyle name="Note 3 2 2 3 2 3" xfId="20135" xr:uid="{7308C9DD-B7A7-454A-AD9B-6B01A81EF253}"/>
    <cellStyle name="Note 3 2 2 3 2 4" xfId="28582" xr:uid="{6D3D24AD-FFD6-4AE4-A6C5-54334E56F89D}"/>
    <cellStyle name="Note 3 2 2 3 2 5" xfId="11694" xr:uid="{C3051BC7-1ABA-4D4E-9FCB-650662B0CA13}"/>
    <cellStyle name="Note 3 2 2 3 3" xfId="5325" xr:uid="{00000000-0005-0000-0000-00006A210000}"/>
    <cellStyle name="Note 3 2 2 3 3 2" xfId="22208" xr:uid="{4444AAEE-B0C9-419F-9998-40F5B1886A58}"/>
    <cellStyle name="Note 3 2 2 3 3 3" xfId="30654" xr:uid="{AC0945A4-2037-43DC-B893-AE3EB35D5E56}"/>
    <cellStyle name="Note 3 2 2 3 3 4" xfId="13767" xr:uid="{1E48932F-C011-4612-A70D-8D75F1EEDAAB}"/>
    <cellStyle name="Note 3 2 2 3 4" xfId="17990" xr:uid="{A1A0B2CF-FCDD-49B9-AE6E-521B55F98523}"/>
    <cellStyle name="Note 3 2 2 3 5" xfId="26435" xr:uid="{06137C59-C5AA-4C1A-AD92-2EC9384572FA}"/>
    <cellStyle name="Note 3 2 2 3 6" xfId="9549" xr:uid="{39986ED1-CF34-48AC-92AA-BA7FC2AA3891}"/>
    <cellStyle name="Note 3 2 2 4" xfId="1430" xr:uid="{00000000-0005-0000-0000-00006B210000}"/>
    <cellStyle name="Note 3 2 2 4 2" xfId="3660" xr:uid="{00000000-0005-0000-0000-00006C210000}"/>
    <cellStyle name="Note 3 2 2 4 2 2" xfId="7883" xr:uid="{00000000-0005-0000-0000-00006D210000}"/>
    <cellStyle name="Note 3 2 2 4 2 2 2" xfId="24766" xr:uid="{B7E83EAD-1B68-412E-AD37-E589015D5BCE}"/>
    <cellStyle name="Note 3 2 2 4 2 2 3" xfId="33212" xr:uid="{CB2A6A8E-657D-480E-B9C3-A52D49446FAD}"/>
    <cellStyle name="Note 3 2 2 4 2 2 4" xfId="16325" xr:uid="{413E70FA-5BAA-4BD5-AC1C-167F8E66DCC0}"/>
    <cellStyle name="Note 3 2 2 4 2 3" xfId="20548" xr:uid="{97920779-B8CE-40F2-B868-B8345E8B8058}"/>
    <cellStyle name="Note 3 2 2 4 2 4" xfId="28995" xr:uid="{81C52785-B3F4-4FAA-9AC5-105D4F30EEA0}"/>
    <cellStyle name="Note 3 2 2 4 2 5" xfId="12107" xr:uid="{B67CE23B-E97C-494F-B9FB-AD200F8AC9A2}"/>
    <cellStyle name="Note 3 2 2 4 3" xfId="5738" xr:uid="{00000000-0005-0000-0000-00006E210000}"/>
    <cellStyle name="Note 3 2 2 4 3 2" xfId="22621" xr:uid="{357BE002-7E2C-46BB-AA9A-02E52847166A}"/>
    <cellStyle name="Note 3 2 2 4 3 3" xfId="31067" xr:uid="{8B482E34-106D-4069-8753-9B019B46550B}"/>
    <cellStyle name="Note 3 2 2 4 3 4" xfId="14180" xr:uid="{CE58B90E-3F1D-4FB4-8EAE-3C73657B6E25}"/>
    <cellStyle name="Note 3 2 2 4 4" xfId="18403" xr:uid="{D7D2E107-8A70-467F-A33D-849A8687DB80}"/>
    <cellStyle name="Note 3 2 2 4 5" xfId="26848" xr:uid="{6631BC07-1DB5-4D13-8C3E-8630136DD933}"/>
    <cellStyle name="Note 3 2 2 4 6" xfId="9962" xr:uid="{1223819D-3033-432F-A728-6A5B9D4D7CE7}"/>
    <cellStyle name="Note 3 2 2 5" xfId="1844" xr:uid="{00000000-0005-0000-0000-00006F210000}"/>
    <cellStyle name="Note 3 2 2 5 2" xfId="4073" xr:uid="{00000000-0005-0000-0000-000070210000}"/>
    <cellStyle name="Note 3 2 2 5 2 2" xfId="8296" xr:uid="{00000000-0005-0000-0000-000071210000}"/>
    <cellStyle name="Note 3 2 2 5 2 2 2" xfId="25179" xr:uid="{D97DCE6A-FFC0-490B-95B4-ECC99F72854D}"/>
    <cellStyle name="Note 3 2 2 5 2 2 3" xfId="33625" xr:uid="{8651F22B-B4BA-4358-B8BB-6DC476524A54}"/>
    <cellStyle name="Note 3 2 2 5 2 2 4" xfId="16738" xr:uid="{00B654BC-0299-4856-819B-E6E92891056D}"/>
    <cellStyle name="Note 3 2 2 5 2 3" xfId="20961" xr:uid="{7B40906B-84ED-45A9-A424-DA9B0457A9E1}"/>
    <cellStyle name="Note 3 2 2 5 2 4" xfId="29408" xr:uid="{AD9714FA-5328-42D2-B17A-CADCE61152A7}"/>
    <cellStyle name="Note 3 2 2 5 2 5" xfId="12520" xr:uid="{DE614FC7-B51A-4156-A2D9-91C0FE8CBE34}"/>
    <cellStyle name="Note 3 2 2 5 3" xfId="6151" xr:uid="{00000000-0005-0000-0000-000072210000}"/>
    <cellStyle name="Note 3 2 2 5 3 2" xfId="23034" xr:uid="{79B71445-CF90-4BC1-9599-DA3EC22AD778}"/>
    <cellStyle name="Note 3 2 2 5 3 3" xfId="31480" xr:uid="{6BDC2102-9F46-4D85-B45F-EC55BD322D32}"/>
    <cellStyle name="Note 3 2 2 5 3 4" xfId="14593" xr:uid="{57DFDF5D-4F8A-4908-BC9F-8D644D8F4D02}"/>
    <cellStyle name="Note 3 2 2 5 4" xfId="18816" xr:uid="{0490A4AF-63F7-41B8-8120-08324DAFAF7D}"/>
    <cellStyle name="Note 3 2 2 5 5" xfId="27261" xr:uid="{B13E6379-6B0E-4215-BC8E-C53CCF168F9B}"/>
    <cellStyle name="Note 3 2 2 5 6" xfId="10375" xr:uid="{DCEEECE4-39FC-4882-95D8-0DDA3F083A9C}"/>
    <cellStyle name="Note 3 2 2 6" xfId="2257" xr:uid="{00000000-0005-0000-0000-000073210000}"/>
    <cellStyle name="Note 3 2 2 6 2" xfId="4486" xr:uid="{00000000-0005-0000-0000-000074210000}"/>
    <cellStyle name="Note 3 2 2 6 2 2" xfId="8709" xr:uid="{00000000-0005-0000-0000-000075210000}"/>
    <cellStyle name="Note 3 2 2 6 2 2 2" xfId="25592" xr:uid="{69806628-9EF3-49BD-962F-D8962FEC4351}"/>
    <cellStyle name="Note 3 2 2 6 2 2 3" xfId="34038" xr:uid="{4C589453-7379-42F8-AA48-E88FF4C52DAB}"/>
    <cellStyle name="Note 3 2 2 6 2 2 4" xfId="17151" xr:uid="{7CD18E11-B76F-4BC0-90D4-5620483A3DFB}"/>
    <cellStyle name="Note 3 2 2 6 2 3" xfId="21374" xr:uid="{E3A07D30-985A-416D-82D4-E75F781C7111}"/>
    <cellStyle name="Note 3 2 2 6 2 4" xfId="29821" xr:uid="{312832B1-3E24-4726-97CB-4DBD3656E349}"/>
    <cellStyle name="Note 3 2 2 6 2 5" xfId="12933" xr:uid="{323EB5FA-FCD7-4C62-9DB2-0C6E4206C6AA}"/>
    <cellStyle name="Note 3 2 2 6 3" xfId="6564" xr:uid="{00000000-0005-0000-0000-000076210000}"/>
    <cellStyle name="Note 3 2 2 6 3 2" xfId="23447" xr:uid="{A7B34BD9-0D1D-4D73-B9C8-B71706F3489A}"/>
    <cellStyle name="Note 3 2 2 6 3 3" xfId="31893" xr:uid="{FF2B4408-68E9-443F-BC0F-3CA7574A09F4}"/>
    <cellStyle name="Note 3 2 2 6 3 4" xfId="15006" xr:uid="{E48045B0-9BAA-407F-81DA-45FB852DE64C}"/>
    <cellStyle name="Note 3 2 2 6 4" xfId="19229" xr:uid="{F415024B-EF6C-409E-860A-368796756371}"/>
    <cellStyle name="Note 3 2 2 6 5" xfId="27674" xr:uid="{F5B0EC20-25E5-4A70-89A0-60889D4F2968}"/>
    <cellStyle name="Note 3 2 2 6 6" xfId="10788" xr:uid="{9D443BA5-4719-419D-BD1C-308B5D3E272C}"/>
    <cellStyle name="Note 3 2 2 7" xfId="2693" xr:uid="{00000000-0005-0000-0000-000077210000}"/>
    <cellStyle name="Note 3 2 2 7 2" xfId="6977" xr:uid="{00000000-0005-0000-0000-000078210000}"/>
    <cellStyle name="Note 3 2 2 7 2 2" xfId="23860" xr:uid="{D80EEBEC-6925-461F-B512-F906D4B008DE}"/>
    <cellStyle name="Note 3 2 2 7 2 3" xfId="32306" xr:uid="{C4E1A173-D49B-468C-9C5E-5CB1A385CA2C}"/>
    <cellStyle name="Note 3 2 2 7 2 4" xfId="15419" xr:uid="{540A2E87-E44C-4242-9402-D8716AB1C3E2}"/>
    <cellStyle name="Note 3 2 2 7 3" xfId="19642" xr:uid="{07FA6B0F-0357-49B5-BBEA-B475AC591204}"/>
    <cellStyle name="Note 3 2 2 7 4" xfId="28087" xr:uid="{8637CA1F-508E-4F5C-BB68-E0410BA2A7ED}"/>
    <cellStyle name="Note 3 2 2 7 5" xfId="11201" xr:uid="{C2C5B91E-CA83-4D4A-B621-3B2B00536BD9}"/>
    <cellStyle name="Note 3 2 2 8" xfId="2752" xr:uid="{00000000-0005-0000-0000-000079210000}"/>
    <cellStyle name="Note 3 2 2 9" xfId="2833" xr:uid="{00000000-0005-0000-0000-00007A210000}"/>
    <cellStyle name="Note 3 2 2 9 2" xfId="7057" xr:uid="{00000000-0005-0000-0000-00007B210000}"/>
    <cellStyle name="Note 3 2 2 9 2 2" xfId="23940" xr:uid="{E96C4020-E656-4515-95F1-04790CDB1312}"/>
    <cellStyle name="Note 3 2 2 9 2 3" xfId="32386" xr:uid="{07FEC057-F079-470A-93AB-0725B1165B5E}"/>
    <cellStyle name="Note 3 2 2 9 2 4" xfId="15499" xr:uid="{F140E149-C2CB-4692-8952-02B6DB755005}"/>
    <cellStyle name="Note 3 2 2 9 3" xfId="19722" xr:uid="{1647840D-1AE1-4F1A-9A38-DBD60EB60083}"/>
    <cellStyle name="Note 3 2 2 9 4" xfId="28169" xr:uid="{DE11C680-6203-4530-9D23-4FDFD3ADA8D5}"/>
    <cellStyle name="Note 3 2 2 9 5" xfId="11281" xr:uid="{1134935C-E579-4713-9A6B-2653678E6CAC}"/>
    <cellStyle name="Note 3 2 3" xfId="557" xr:uid="{00000000-0005-0000-0000-00007C210000}"/>
    <cellStyle name="Note 3 2 3 10" xfId="17579" xr:uid="{1248F3E5-3440-442D-9EA9-FFF94C00CC83}"/>
    <cellStyle name="Note 3 2 3 11" xfId="26024" xr:uid="{4D299024-D4F0-4BE2-B39F-97E291D2E706}"/>
    <cellStyle name="Note 3 2 3 12" xfId="9138" xr:uid="{B3074F82-70E2-4C0B-B995-EB0C3D128D0B}"/>
    <cellStyle name="Note 3 2 3 2" xfId="1017" xr:uid="{00000000-0005-0000-0000-00007D210000}"/>
    <cellStyle name="Note 3 2 3 2 2" xfId="3249" xr:uid="{00000000-0005-0000-0000-00007E210000}"/>
    <cellStyle name="Note 3 2 3 2 2 2" xfId="7472" xr:uid="{00000000-0005-0000-0000-00007F210000}"/>
    <cellStyle name="Note 3 2 3 2 2 2 2" xfId="24355" xr:uid="{9CBCE81E-6815-48BC-8EAF-8EC92B656BD0}"/>
    <cellStyle name="Note 3 2 3 2 2 2 3" xfId="32801" xr:uid="{7BCAFADA-C13A-410A-8681-AFB81A9A6DB8}"/>
    <cellStyle name="Note 3 2 3 2 2 2 4" xfId="15914" xr:uid="{34175CC1-B4B2-4C8A-B76A-8B62E70C6A38}"/>
    <cellStyle name="Note 3 2 3 2 2 3" xfId="20137" xr:uid="{382EAD35-D146-405B-AD14-CDC73966CFF3}"/>
    <cellStyle name="Note 3 2 3 2 2 4" xfId="28584" xr:uid="{37EBB7BE-28EE-4B37-97C7-6F554268D31F}"/>
    <cellStyle name="Note 3 2 3 2 2 5" xfId="11696" xr:uid="{DAE87D9A-9E0B-43ED-B6EC-9AEA3FC5255B}"/>
    <cellStyle name="Note 3 2 3 2 3" xfId="5327" xr:uid="{00000000-0005-0000-0000-000080210000}"/>
    <cellStyle name="Note 3 2 3 2 3 2" xfId="22210" xr:uid="{459078A4-C6BD-4DCA-8F10-7E95562268D5}"/>
    <cellStyle name="Note 3 2 3 2 3 3" xfId="30656" xr:uid="{8289C56C-6889-4C65-8BA3-DD8E33A93499}"/>
    <cellStyle name="Note 3 2 3 2 3 4" xfId="13769" xr:uid="{9F0C94AB-4A91-4464-B211-09CBF6DC8175}"/>
    <cellStyle name="Note 3 2 3 2 4" xfId="17992" xr:uid="{CEC72CC4-ECF3-4118-8116-B5FB44412BFD}"/>
    <cellStyle name="Note 3 2 3 2 5" xfId="26437" xr:uid="{31B0C5A9-B18C-497B-B107-979A623E2EA2}"/>
    <cellStyle name="Note 3 2 3 2 6" xfId="9551" xr:uid="{45ADA2F8-3DA7-4636-9AAC-4D40D7E2BF55}"/>
    <cellStyle name="Note 3 2 3 3" xfId="1432" xr:uid="{00000000-0005-0000-0000-000081210000}"/>
    <cellStyle name="Note 3 2 3 3 2" xfId="3662" xr:uid="{00000000-0005-0000-0000-000082210000}"/>
    <cellStyle name="Note 3 2 3 3 2 2" xfId="7885" xr:uid="{00000000-0005-0000-0000-000083210000}"/>
    <cellStyle name="Note 3 2 3 3 2 2 2" xfId="24768" xr:uid="{A3D4F356-E0CA-4958-99D3-39F0C00E3139}"/>
    <cellStyle name="Note 3 2 3 3 2 2 3" xfId="33214" xr:uid="{73D759F2-D960-414D-B28C-04A2A208C484}"/>
    <cellStyle name="Note 3 2 3 3 2 2 4" xfId="16327" xr:uid="{C3555219-0DB4-4A50-BE6A-5CB437D04B40}"/>
    <cellStyle name="Note 3 2 3 3 2 3" xfId="20550" xr:uid="{A42AA85B-23B2-4F2E-B9C9-179BC5A3BC7A}"/>
    <cellStyle name="Note 3 2 3 3 2 4" xfId="28997" xr:uid="{EFEBCA10-53BC-4F30-B766-010310F19779}"/>
    <cellStyle name="Note 3 2 3 3 2 5" xfId="12109" xr:uid="{7803495A-FB2B-4A11-8990-1085B8EA10D8}"/>
    <cellStyle name="Note 3 2 3 3 3" xfId="5740" xr:uid="{00000000-0005-0000-0000-000084210000}"/>
    <cellStyle name="Note 3 2 3 3 3 2" xfId="22623" xr:uid="{C5AAAADB-6069-4DE1-AEC7-93320D6B8FE8}"/>
    <cellStyle name="Note 3 2 3 3 3 3" xfId="31069" xr:uid="{373AC3AC-50FD-431B-814B-A0AFDB304820}"/>
    <cellStyle name="Note 3 2 3 3 3 4" xfId="14182" xr:uid="{12430B20-4C69-4055-9FDE-2C1CA59FD9F6}"/>
    <cellStyle name="Note 3 2 3 3 4" xfId="18405" xr:uid="{AF92279D-3D35-4A5B-B81C-14BF4607A1EA}"/>
    <cellStyle name="Note 3 2 3 3 5" xfId="26850" xr:uid="{3731A22F-BC77-40EE-90FB-2EBF9A070A8A}"/>
    <cellStyle name="Note 3 2 3 3 6" xfId="9964" xr:uid="{9CD11646-1240-4BC3-9AF1-C1076523D80A}"/>
    <cellStyle name="Note 3 2 3 4" xfId="1846" xr:uid="{00000000-0005-0000-0000-000085210000}"/>
    <cellStyle name="Note 3 2 3 4 2" xfId="4075" xr:uid="{00000000-0005-0000-0000-000086210000}"/>
    <cellStyle name="Note 3 2 3 4 2 2" xfId="8298" xr:uid="{00000000-0005-0000-0000-000087210000}"/>
    <cellStyle name="Note 3 2 3 4 2 2 2" xfId="25181" xr:uid="{261E60E0-A01C-4F45-A250-7C95DE153E73}"/>
    <cellStyle name="Note 3 2 3 4 2 2 3" xfId="33627" xr:uid="{09BDBB6D-2045-4AEA-A233-75993F967D4D}"/>
    <cellStyle name="Note 3 2 3 4 2 2 4" xfId="16740" xr:uid="{8278C07C-8C00-4965-99A5-5CBBE195EC56}"/>
    <cellStyle name="Note 3 2 3 4 2 3" xfId="20963" xr:uid="{83852FD2-B3A2-46AB-96E3-D374A67C38C1}"/>
    <cellStyle name="Note 3 2 3 4 2 4" xfId="29410" xr:uid="{9828D683-BB96-4B40-A8A6-E492E31DE9A5}"/>
    <cellStyle name="Note 3 2 3 4 2 5" xfId="12522" xr:uid="{D52F2E14-235D-491D-B13E-D525A4635D4E}"/>
    <cellStyle name="Note 3 2 3 4 3" xfId="6153" xr:uid="{00000000-0005-0000-0000-000088210000}"/>
    <cellStyle name="Note 3 2 3 4 3 2" xfId="23036" xr:uid="{C84D3AAF-23A3-40F9-A70B-5EAB75DC08CA}"/>
    <cellStyle name="Note 3 2 3 4 3 3" xfId="31482" xr:uid="{509AEC90-F6B7-4BB7-A0F3-35099F2E4860}"/>
    <cellStyle name="Note 3 2 3 4 3 4" xfId="14595" xr:uid="{C9507F65-F9E1-448C-BA83-6708A636A9B1}"/>
    <cellStyle name="Note 3 2 3 4 4" xfId="18818" xr:uid="{13F6D01C-AAF8-461F-B4FF-F161F232B3D3}"/>
    <cellStyle name="Note 3 2 3 4 5" xfId="27263" xr:uid="{F660C489-CA23-429A-8A53-57A322695256}"/>
    <cellStyle name="Note 3 2 3 4 6" xfId="10377" xr:uid="{E5894AF5-779C-4888-A1C3-D6933AC2ED39}"/>
    <cellStyle name="Note 3 2 3 5" xfId="2259" xr:uid="{00000000-0005-0000-0000-000089210000}"/>
    <cellStyle name="Note 3 2 3 5 2" xfId="4488" xr:uid="{00000000-0005-0000-0000-00008A210000}"/>
    <cellStyle name="Note 3 2 3 5 2 2" xfId="8711" xr:uid="{00000000-0005-0000-0000-00008B210000}"/>
    <cellStyle name="Note 3 2 3 5 2 2 2" xfId="25594" xr:uid="{0E253424-F4BA-40E3-AABD-604E2B871589}"/>
    <cellStyle name="Note 3 2 3 5 2 2 3" xfId="34040" xr:uid="{F93B0E40-342E-4FE7-B9BA-F1DBBDEDC30C}"/>
    <cellStyle name="Note 3 2 3 5 2 2 4" xfId="17153" xr:uid="{EF8AC0DB-72D1-40F8-8AA6-0759B53D4865}"/>
    <cellStyle name="Note 3 2 3 5 2 3" xfId="21376" xr:uid="{3F7FD429-1033-4D8D-AFD5-9DE42865FF9D}"/>
    <cellStyle name="Note 3 2 3 5 2 4" xfId="29823" xr:uid="{5BAD2F33-7B74-4D84-A994-19A323B802A4}"/>
    <cellStyle name="Note 3 2 3 5 2 5" xfId="12935" xr:uid="{FD7FFB5D-DD2D-43AF-9625-3A9E2C7B3C9B}"/>
    <cellStyle name="Note 3 2 3 5 3" xfId="6566" xr:uid="{00000000-0005-0000-0000-00008C210000}"/>
    <cellStyle name="Note 3 2 3 5 3 2" xfId="23449" xr:uid="{748FB2F3-51F3-4C4E-BD9E-D198DD5C6AE5}"/>
    <cellStyle name="Note 3 2 3 5 3 3" xfId="31895" xr:uid="{989DD237-029E-468B-96DD-2CF151A66E61}"/>
    <cellStyle name="Note 3 2 3 5 3 4" xfId="15008" xr:uid="{8BF16884-8F14-427F-9B84-0B29C53B06A7}"/>
    <cellStyle name="Note 3 2 3 5 4" xfId="19231" xr:uid="{ECD2EA91-ED1B-45E7-B381-6A85600D786D}"/>
    <cellStyle name="Note 3 2 3 5 5" xfId="27676" xr:uid="{7228EFC3-809C-401E-8D2C-0FC4A241E67F}"/>
    <cellStyle name="Note 3 2 3 5 6" xfId="10790" xr:uid="{3580BF75-D228-48DE-AF7F-A980D5FFF6F4}"/>
    <cellStyle name="Note 3 2 3 6" xfId="2695" xr:uid="{00000000-0005-0000-0000-00008D210000}"/>
    <cellStyle name="Note 3 2 3 6 2" xfId="6979" xr:uid="{00000000-0005-0000-0000-00008E210000}"/>
    <cellStyle name="Note 3 2 3 6 2 2" xfId="23862" xr:uid="{4BC2171C-E9B9-4F62-86C0-55C76DD11D01}"/>
    <cellStyle name="Note 3 2 3 6 2 3" xfId="32308" xr:uid="{1735E7A6-4C2B-495A-B63B-160CD7059033}"/>
    <cellStyle name="Note 3 2 3 6 2 4" xfId="15421" xr:uid="{2A2B8076-F2B0-4821-9C3E-506C2340A4F8}"/>
    <cellStyle name="Note 3 2 3 6 3" xfId="19644" xr:uid="{B94A1FFA-DBC8-4F9E-AA2E-445442B056C0}"/>
    <cellStyle name="Note 3 2 3 6 4" xfId="28089" xr:uid="{6F052864-88D4-41B2-B90E-C7B26E22ACED}"/>
    <cellStyle name="Note 3 2 3 6 5" xfId="11203" xr:uid="{B2C32A56-B3BF-4D59-92E0-65B37AF1C02E}"/>
    <cellStyle name="Note 3 2 3 7" xfId="2754" xr:uid="{00000000-0005-0000-0000-00008F210000}"/>
    <cellStyle name="Note 3 2 3 8" xfId="2835" xr:uid="{00000000-0005-0000-0000-000090210000}"/>
    <cellStyle name="Note 3 2 3 8 2" xfId="7059" xr:uid="{00000000-0005-0000-0000-000091210000}"/>
    <cellStyle name="Note 3 2 3 8 2 2" xfId="23942" xr:uid="{E1813903-17B3-4436-BA7C-FA8815769828}"/>
    <cellStyle name="Note 3 2 3 8 2 3" xfId="32388" xr:uid="{3B33C11D-D727-4FFA-B1BF-C439F6B32F11}"/>
    <cellStyle name="Note 3 2 3 8 2 4" xfId="15501" xr:uid="{A7D85A54-C3C2-47AD-961E-C90A2357D1FD}"/>
    <cellStyle name="Note 3 2 3 8 3" xfId="19724" xr:uid="{0AEA13BA-A699-4FE8-B699-ECE449479660}"/>
    <cellStyle name="Note 3 2 3 8 4" xfId="28171" xr:uid="{C5E66491-E978-417F-8A9E-4F92D3C217DE}"/>
    <cellStyle name="Note 3 2 3 8 5" xfId="11283" xr:uid="{C598FA6C-E97B-4E5E-A31D-A98155466A11}"/>
    <cellStyle name="Note 3 2 3 9" xfId="4914" xr:uid="{00000000-0005-0000-0000-000092210000}"/>
    <cellStyle name="Note 3 2 3 9 2" xfId="21797" xr:uid="{A49C038A-2EF6-47DB-A34F-0356F3E9098C}"/>
    <cellStyle name="Note 3 2 3 9 3" xfId="30243" xr:uid="{74793766-8C06-45B6-BA46-D3ADDD5D06D3}"/>
    <cellStyle name="Note 3 2 3 9 4" xfId="13356" xr:uid="{BDA20892-7513-4493-97EB-71BB56371EDC}"/>
    <cellStyle name="Note 3 2 4" xfId="1014" xr:uid="{00000000-0005-0000-0000-000093210000}"/>
    <cellStyle name="Note 3 2 4 2" xfId="3246" xr:uid="{00000000-0005-0000-0000-000094210000}"/>
    <cellStyle name="Note 3 2 4 2 2" xfId="7469" xr:uid="{00000000-0005-0000-0000-000095210000}"/>
    <cellStyle name="Note 3 2 4 2 2 2" xfId="24352" xr:uid="{F2CADC4D-B7FF-49DA-9AF8-C739EC039A95}"/>
    <cellStyle name="Note 3 2 4 2 2 3" xfId="32798" xr:uid="{98541590-A8AD-4C15-915F-7A889DC07DF4}"/>
    <cellStyle name="Note 3 2 4 2 2 4" xfId="15911" xr:uid="{9508A716-9C83-47BA-A161-B83C72E96545}"/>
    <cellStyle name="Note 3 2 4 2 3" xfId="20134" xr:uid="{B1846F8D-2DDB-4EF0-A742-AA7387607CBA}"/>
    <cellStyle name="Note 3 2 4 2 4" xfId="28581" xr:uid="{03DE9B32-C582-433E-9B17-BE7CAE0EB74B}"/>
    <cellStyle name="Note 3 2 4 2 5" xfId="11693" xr:uid="{CDC8FEBC-FBDC-4EFA-97AE-57FD37075BD1}"/>
    <cellStyle name="Note 3 2 4 3" xfId="5324" xr:uid="{00000000-0005-0000-0000-000096210000}"/>
    <cellStyle name="Note 3 2 4 3 2" xfId="22207" xr:uid="{EDEA69C5-4F06-4053-9013-F65B5204247F}"/>
    <cellStyle name="Note 3 2 4 3 3" xfId="30653" xr:uid="{95F0FED6-680A-42F0-8C56-BF6F6E3DFD9D}"/>
    <cellStyle name="Note 3 2 4 3 4" xfId="13766" xr:uid="{2F56DB7F-CF74-4209-AED7-949FB996A17D}"/>
    <cellStyle name="Note 3 2 4 4" xfId="17989" xr:uid="{99E9C703-57E9-473F-A45F-3867F31D8A3B}"/>
    <cellStyle name="Note 3 2 4 5" xfId="26434" xr:uid="{E030D917-5CE5-44E4-8DF6-71071ADC7183}"/>
    <cellStyle name="Note 3 2 4 6" xfId="9548" xr:uid="{9DCACB0C-41F8-4EA9-8BC2-9091A5589D01}"/>
    <cellStyle name="Note 3 2 5" xfId="1429" xr:uid="{00000000-0005-0000-0000-000097210000}"/>
    <cellStyle name="Note 3 2 5 2" xfId="3659" xr:uid="{00000000-0005-0000-0000-000098210000}"/>
    <cellStyle name="Note 3 2 5 2 2" xfId="7882" xr:uid="{00000000-0005-0000-0000-000099210000}"/>
    <cellStyle name="Note 3 2 5 2 2 2" xfId="24765" xr:uid="{1147A177-23EA-4D32-8393-62905A4CD3D0}"/>
    <cellStyle name="Note 3 2 5 2 2 3" xfId="33211" xr:uid="{AD2BD01A-8A8B-4C2C-BB34-FBE47001A1B0}"/>
    <cellStyle name="Note 3 2 5 2 2 4" xfId="16324" xr:uid="{AD2DAEDA-8F24-41C2-8BB4-498DCCABE050}"/>
    <cellStyle name="Note 3 2 5 2 3" xfId="20547" xr:uid="{9E4631C6-6B23-466F-963B-C64B2EB150BE}"/>
    <cellStyle name="Note 3 2 5 2 4" xfId="28994" xr:uid="{07373CE5-41E1-41BB-84CB-72E5F400F6AC}"/>
    <cellStyle name="Note 3 2 5 2 5" xfId="12106" xr:uid="{2B52AD3A-FE3F-43BF-BF1E-A03B72F6A518}"/>
    <cellStyle name="Note 3 2 5 3" xfId="5737" xr:uid="{00000000-0005-0000-0000-00009A210000}"/>
    <cellStyle name="Note 3 2 5 3 2" xfId="22620" xr:uid="{682FE39B-C501-4751-892C-E56848DFD112}"/>
    <cellStyle name="Note 3 2 5 3 3" xfId="31066" xr:uid="{BB2253B4-0BBB-4438-81DB-95D7270B6501}"/>
    <cellStyle name="Note 3 2 5 3 4" xfId="14179" xr:uid="{2797E3C1-6BA4-4F02-9149-AC36CDD182E2}"/>
    <cellStyle name="Note 3 2 5 4" xfId="18402" xr:uid="{72BC9289-3348-41BC-88AB-AF5979B62557}"/>
    <cellStyle name="Note 3 2 5 5" xfId="26847" xr:uid="{52C86CC8-FE47-4F5A-B324-C485293242DE}"/>
    <cellStyle name="Note 3 2 5 6" xfId="9961" xr:uid="{4972DF1C-3C4D-4F60-886E-F4EC21A22F19}"/>
    <cellStyle name="Note 3 2 6" xfId="1843" xr:uid="{00000000-0005-0000-0000-00009B210000}"/>
    <cellStyle name="Note 3 2 6 2" xfId="4072" xr:uid="{00000000-0005-0000-0000-00009C210000}"/>
    <cellStyle name="Note 3 2 6 2 2" xfId="8295" xr:uid="{00000000-0005-0000-0000-00009D210000}"/>
    <cellStyle name="Note 3 2 6 2 2 2" xfId="25178" xr:uid="{124BFF73-FCFF-4FDC-91C5-B9126B30C014}"/>
    <cellStyle name="Note 3 2 6 2 2 3" xfId="33624" xr:uid="{33B5FB96-15B7-40CC-AD68-A6FC0636B812}"/>
    <cellStyle name="Note 3 2 6 2 2 4" xfId="16737" xr:uid="{E953D180-ECFC-49FB-B5BD-B449CF81CAFE}"/>
    <cellStyle name="Note 3 2 6 2 3" xfId="20960" xr:uid="{C5AFF3C0-E88E-4E4C-9AB2-5EF69A323058}"/>
    <cellStyle name="Note 3 2 6 2 4" xfId="29407" xr:uid="{1FCD1EF2-BAE7-4043-B511-6702630113C5}"/>
    <cellStyle name="Note 3 2 6 2 5" xfId="12519" xr:uid="{F8098C37-DCA7-4751-9947-9837187A598A}"/>
    <cellStyle name="Note 3 2 6 3" xfId="6150" xr:uid="{00000000-0005-0000-0000-00009E210000}"/>
    <cellStyle name="Note 3 2 6 3 2" xfId="23033" xr:uid="{36C3CD7F-978B-4FDB-80FC-9FF2C721D29C}"/>
    <cellStyle name="Note 3 2 6 3 3" xfId="31479" xr:uid="{2813204F-E7DE-418C-AA1D-59EF30FCA5B0}"/>
    <cellStyle name="Note 3 2 6 3 4" xfId="14592" xr:uid="{7201B0D0-3FA3-4D82-9B52-3F37BB40BB32}"/>
    <cellStyle name="Note 3 2 6 4" xfId="18815" xr:uid="{CD3A5708-0C22-48E8-910D-3F35297784A1}"/>
    <cellStyle name="Note 3 2 6 5" xfId="27260" xr:uid="{65D4BABB-0A1A-401F-BB4E-889E3C66E46F}"/>
    <cellStyle name="Note 3 2 6 6" xfId="10374" xr:uid="{E3D167AB-582D-43CF-A361-0837F9BFDE00}"/>
    <cellStyle name="Note 3 2 7" xfId="2256" xr:uid="{00000000-0005-0000-0000-00009F210000}"/>
    <cellStyle name="Note 3 2 7 2" xfId="4485" xr:uid="{00000000-0005-0000-0000-0000A0210000}"/>
    <cellStyle name="Note 3 2 7 2 2" xfId="8708" xr:uid="{00000000-0005-0000-0000-0000A1210000}"/>
    <cellStyle name="Note 3 2 7 2 2 2" xfId="25591" xr:uid="{023A74C6-B8FC-4274-A6F8-3F5BEA689CCC}"/>
    <cellStyle name="Note 3 2 7 2 2 3" xfId="34037" xr:uid="{7D49150C-9295-48FE-A7C8-7C601155795B}"/>
    <cellStyle name="Note 3 2 7 2 2 4" xfId="17150" xr:uid="{B2E81696-3121-43C9-BD61-7E19D4418A95}"/>
    <cellStyle name="Note 3 2 7 2 3" xfId="21373" xr:uid="{CE961A11-EEB7-4196-9D82-B911BC55987D}"/>
    <cellStyle name="Note 3 2 7 2 4" xfId="29820" xr:uid="{2CAB2C34-F9CC-411F-B91C-5D9F1614AB55}"/>
    <cellStyle name="Note 3 2 7 2 5" xfId="12932" xr:uid="{473A277B-1802-47C1-BBC7-BE98E11AF1C1}"/>
    <cellStyle name="Note 3 2 7 3" xfId="6563" xr:uid="{00000000-0005-0000-0000-0000A2210000}"/>
    <cellStyle name="Note 3 2 7 3 2" xfId="23446" xr:uid="{D86D5C19-021E-4994-BC23-2F987225E27B}"/>
    <cellStyle name="Note 3 2 7 3 3" xfId="31892" xr:uid="{F56C03ED-7922-4A78-AAD3-F190EEE62DC0}"/>
    <cellStyle name="Note 3 2 7 3 4" xfId="15005" xr:uid="{B442F91A-9AF2-4A06-8DCA-F7CF4114317E}"/>
    <cellStyle name="Note 3 2 7 4" xfId="19228" xr:uid="{6B7765BD-D123-4284-B027-816FFD309B93}"/>
    <cellStyle name="Note 3 2 7 5" xfId="27673" xr:uid="{24A06422-8A82-43B0-AB77-B965D1367979}"/>
    <cellStyle name="Note 3 2 7 6" xfId="10787" xr:uid="{36FFB29A-CC07-455B-8218-3A263942417E}"/>
    <cellStyle name="Note 3 2 8" xfId="2692" xr:uid="{00000000-0005-0000-0000-0000A3210000}"/>
    <cellStyle name="Note 3 2 8 2" xfId="6976" xr:uid="{00000000-0005-0000-0000-0000A4210000}"/>
    <cellStyle name="Note 3 2 8 2 2" xfId="23859" xr:uid="{EF39EE2D-8B72-4BE1-A0D3-804878D60C23}"/>
    <cellStyle name="Note 3 2 8 2 3" xfId="32305" xr:uid="{44B8993E-5AF3-498E-8181-9E602D11CF4D}"/>
    <cellStyle name="Note 3 2 8 2 4" xfId="15418" xr:uid="{15637946-FEBD-4EB0-A8E1-8AF9ED3AA04D}"/>
    <cellStyle name="Note 3 2 8 3" xfId="19641" xr:uid="{AEFECF8C-19EA-49DB-89C0-72C0ACD03CB5}"/>
    <cellStyle name="Note 3 2 8 4" xfId="28086" xr:uid="{63500EC4-EB15-4AE2-9DD2-9699D5E02B2E}"/>
    <cellStyle name="Note 3 2 8 5" xfId="11200" xr:uid="{1CF5BCCD-6EA8-4A9C-8644-DE45338C2643}"/>
    <cellStyle name="Note 3 2 9" xfId="2751" xr:uid="{00000000-0005-0000-0000-0000A5210000}"/>
    <cellStyle name="Note 3 3" xfId="558" xr:uid="{00000000-0005-0000-0000-0000A6210000}"/>
    <cellStyle name="Note 3 3 10" xfId="4915" xr:uid="{00000000-0005-0000-0000-0000A7210000}"/>
    <cellStyle name="Note 3 3 10 2" xfId="21798" xr:uid="{2EFC9ABB-4144-4313-A677-92288C0522BC}"/>
    <cellStyle name="Note 3 3 10 3" xfId="30244" xr:uid="{C3B6BAFB-C2B9-441F-B9D1-F702D5B14B26}"/>
    <cellStyle name="Note 3 3 10 4" xfId="13357" xr:uid="{6950097D-559A-4F36-993C-85A63E212B5D}"/>
    <cellStyle name="Note 3 3 11" xfId="17580" xr:uid="{78F72EE8-8256-4005-A767-0F48FBFC5024}"/>
    <cellStyle name="Note 3 3 12" xfId="26025" xr:uid="{28F2B795-5FA3-4296-BF31-71E705B3B7E0}"/>
    <cellStyle name="Note 3 3 13" xfId="9139" xr:uid="{257E2AF4-EDC7-4C3B-A301-ACA4380B0A10}"/>
    <cellStyle name="Note 3 3 2" xfId="559" xr:uid="{00000000-0005-0000-0000-0000A8210000}"/>
    <cellStyle name="Note 3 3 2 10" xfId="17581" xr:uid="{1349CB7F-92E6-4D28-A15C-CFF9D6AA144A}"/>
    <cellStyle name="Note 3 3 2 11" xfId="26026" xr:uid="{A51065E5-3AC5-4D09-AAF1-A4EA6B0083A0}"/>
    <cellStyle name="Note 3 3 2 12" xfId="9140" xr:uid="{E787CF4D-985A-49C8-80AE-063A1F36B8D2}"/>
    <cellStyle name="Note 3 3 2 2" xfId="1019" xr:uid="{00000000-0005-0000-0000-0000A9210000}"/>
    <cellStyle name="Note 3 3 2 2 2" xfId="3251" xr:uid="{00000000-0005-0000-0000-0000AA210000}"/>
    <cellStyle name="Note 3 3 2 2 2 2" xfId="7474" xr:uid="{00000000-0005-0000-0000-0000AB210000}"/>
    <cellStyle name="Note 3 3 2 2 2 2 2" xfId="24357" xr:uid="{DAC3F1E4-26A3-4248-8651-A80AD9C87CD9}"/>
    <cellStyle name="Note 3 3 2 2 2 2 3" xfId="32803" xr:uid="{7D991760-0158-4E16-A3EB-B3144FF8623E}"/>
    <cellStyle name="Note 3 3 2 2 2 2 4" xfId="15916" xr:uid="{6576E4E4-E479-4DFD-962A-1E1AA13B6DE5}"/>
    <cellStyle name="Note 3 3 2 2 2 3" xfId="20139" xr:uid="{35788E6C-91EC-4474-ADFC-731E7E128F67}"/>
    <cellStyle name="Note 3 3 2 2 2 4" xfId="28586" xr:uid="{D5D2D172-035B-4C4B-A95F-BB2C86847376}"/>
    <cellStyle name="Note 3 3 2 2 2 5" xfId="11698" xr:uid="{88CC9B6F-2EFF-4F14-9149-5391E3F4823A}"/>
    <cellStyle name="Note 3 3 2 2 3" xfId="5329" xr:uid="{00000000-0005-0000-0000-0000AC210000}"/>
    <cellStyle name="Note 3 3 2 2 3 2" xfId="22212" xr:uid="{A32BDCDA-811A-4595-BC66-8C99C6645808}"/>
    <cellStyle name="Note 3 3 2 2 3 3" xfId="30658" xr:uid="{B922B195-B2CB-40E5-AB99-EB44C9FF9FD1}"/>
    <cellStyle name="Note 3 3 2 2 3 4" xfId="13771" xr:uid="{0D03BA60-FB14-4559-9705-7762B339A12E}"/>
    <cellStyle name="Note 3 3 2 2 4" xfId="17994" xr:uid="{8C3CCC37-8415-467A-B51E-2549019FCCC3}"/>
    <cellStyle name="Note 3 3 2 2 5" xfId="26439" xr:uid="{4D32FDD0-AEC3-4229-B7D5-69B2BC63E7BD}"/>
    <cellStyle name="Note 3 3 2 2 6" xfId="9553" xr:uid="{A7252428-D477-440D-A3C5-92619B77646F}"/>
    <cellStyle name="Note 3 3 2 3" xfId="1434" xr:uid="{00000000-0005-0000-0000-0000AD210000}"/>
    <cellStyle name="Note 3 3 2 3 2" xfId="3664" xr:uid="{00000000-0005-0000-0000-0000AE210000}"/>
    <cellStyle name="Note 3 3 2 3 2 2" xfId="7887" xr:uid="{00000000-0005-0000-0000-0000AF210000}"/>
    <cellStyle name="Note 3 3 2 3 2 2 2" xfId="24770" xr:uid="{A1F9E908-4B86-460B-8C3D-07040701F550}"/>
    <cellStyle name="Note 3 3 2 3 2 2 3" xfId="33216" xr:uid="{74F9F966-25EC-4E8F-AA39-12E25084DABF}"/>
    <cellStyle name="Note 3 3 2 3 2 2 4" xfId="16329" xr:uid="{14007F78-8543-4030-A23B-913F373E7692}"/>
    <cellStyle name="Note 3 3 2 3 2 3" xfId="20552" xr:uid="{4D300EF7-42AC-4C9A-8660-E32D2026C931}"/>
    <cellStyle name="Note 3 3 2 3 2 4" xfId="28999" xr:uid="{9A01206F-6BBD-41A5-8A93-F78F18ACFDE0}"/>
    <cellStyle name="Note 3 3 2 3 2 5" xfId="12111" xr:uid="{B7963ED1-13F6-47F2-9D2C-E5052B086400}"/>
    <cellStyle name="Note 3 3 2 3 3" xfId="5742" xr:uid="{00000000-0005-0000-0000-0000B0210000}"/>
    <cellStyle name="Note 3 3 2 3 3 2" xfId="22625" xr:uid="{19A7B4AC-EA88-4959-8566-265B855D53F0}"/>
    <cellStyle name="Note 3 3 2 3 3 3" xfId="31071" xr:uid="{59EE6C83-F5D6-4967-AB9A-AD1657621131}"/>
    <cellStyle name="Note 3 3 2 3 3 4" xfId="14184" xr:uid="{720F7565-ADAE-4570-83D2-03EAC4738F3D}"/>
    <cellStyle name="Note 3 3 2 3 4" xfId="18407" xr:uid="{5EA2A05C-AF17-4DED-A624-572417125FF4}"/>
    <cellStyle name="Note 3 3 2 3 5" xfId="26852" xr:uid="{F487874E-52D2-41A5-93BD-FF73C5263D55}"/>
    <cellStyle name="Note 3 3 2 3 6" xfId="9966" xr:uid="{7A6DB6D9-22A5-4107-851C-2B087BEDE0E4}"/>
    <cellStyle name="Note 3 3 2 4" xfId="1848" xr:uid="{00000000-0005-0000-0000-0000B1210000}"/>
    <cellStyle name="Note 3 3 2 4 2" xfId="4077" xr:uid="{00000000-0005-0000-0000-0000B2210000}"/>
    <cellStyle name="Note 3 3 2 4 2 2" xfId="8300" xr:uid="{00000000-0005-0000-0000-0000B3210000}"/>
    <cellStyle name="Note 3 3 2 4 2 2 2" xfId="25183" xr:uid="{7BA88AAB-D897-4A39-BAA1-CBB64476B176}"/>
    <cellStyle name="Note 3 3 2 4 2 2 3" xfId="33629" xr:uid="{C5F49A61-15AA-4A2F-BA7F-CEBAE428E88C}"/>
    <cellStyle name="Note 3 3 2 4 2 2 4" xfId="16742" xr:uid="{E3950BA6-30FC-4496-8AB7-637F1B8D969C}"/>
    <cellStyle name="Note 3 3 2 4 2 3" xfId="20965" xr:uid="{57C5F838-99A5-4FCC-9E40-B98CB657F212}"/>
    <cellStyle name="Note 3 3 2 4 2 4" xfId="29412" xr:uid="{AF0A16FF-3D50-484F-AF9B-D7EDAE0D8EDC}"/>
    <cellStyle name="Note 3 3 2 4 2 5" xfId="12524" xr:uid="{9C8A4807-CE97-4151-983B-137B1EF2180D}"/>
    <cellStyle name="Note 3 3 2 4 3" xfId="6155" xr:uid="{00000000-0005-0000-0000-0000B4210000}"/>
    <cellStyle name="Note 3 3 2 4 3 2" xfId="23038" xr:uid="{7C03BBB2-206B-4593-AACE-940CB905DF30}"/>
    <cellStyle name="Note 3 3 2 4 3 3" xfId="31484" xr:uid="{4FF8DF55-A3B5-4253-99B6-EF82FC39338D}"/>
    <cellStyle name="Note 3 3 2 4 3 4" xfId="14597" xr:uid="{35428929-5E3B-4DEE-946A-7F15D7C7921B}"/>
    <cellStyle name="Note 3 3 2 4 4" xfId="18820" xr:uid="{2C763966-2765-4112-9CDA-FB820CACAAF0}"/>
    <cellStyle name="Note 3 3 2 4 5" xfId="27265" xr:uid="{DD6A3487-8EBD-47EB-8B2D-DC14D368F59A}"/>
    <cellStyle name="Note 3 3 2 4 6" xfId="10379" xr:uid="{FEBC2FB3-3DF6-4411-A033-05503A735BBE}"/>
    <cellStyle name="Note 3 3 2 5" xfId="2261" xr:uid="{00000000-0005-0000-0000-0000B5210000}"/>
    <cellStyle name="Note 3 3 2 5 2" xfId="4490" xr:uid="{00000000-0005-0000-0000-0000B6210000}"/>
    <cellStyle name="Note 3 3 2 5 2 2" xfId="8713" xr:uid="{00000000-0005-0000-0000-0000B7210000}"/>
    <cellStyle name="Note 3 3 2 5 2 2 2" xfId="25596" xr:uid="{502AEA9A-0FA5-4EC7-A47C-6D2770383EA3}"/>
    <cellStyle name="Note 3 3 2 5 2 2 3" xfId="34042" xr:uid="{3648CB1C-2FAC-4E09-8B40-0A559452A1A7}"/>
    <cellStyle name="Note 3 3 2 5 2 2 4" xfId="17155" xr:uid="{709E1626-C6C0-4541-A928-5551AB443BEF}"/>
    <cellStyle name="Note 3 3 2 5 2 3" xfId="21378" xr:uid="{0243FA94-CCC3-4519-B565-01627433F8C1}"/>
    <cellStyle name="Note 3 3 2 5 2 4" xfId="29825" xr:uid="{B05062FB-E34E-469D-952B-A7D768B9DDB3}"/>
    <cellStyle name="Note 3 3 2 5 2 5" xfId="12937" xr:uid="{DD37C619-BE2D-40B4-B2B8-98D5052F93F1}"/>
    <cellStyle name="Note 3 3 2 5 3" xfId="6568" xr:uid="{00000000-0005-0000-0000-0000B8210000}"/>
    <cellStyle name="Note 3 3 2 5 3 2" xfId="23451" xr:uid="{42016A13-E011-4AA7-AB47-84713DE6A1C0}"/>
    <cellStyle name="Note 3 3 2 5 3 3" xfId="31897" xr:uid="{8CF5B69D-2E43-4769-B07E-2AB763AB1D29}"/>
    <cellStyle name="Note 3 3 2 5 3 4" xfId="15010" xr:uid="{293DE347-EDB5-4666-B0C7-858DC898578E}"/>
    <cellStyle name="Note 3 3 2 5 4" xfId="19233" xr:uid="{0DD3C2B9-56DA-408D-A829-B3BAF46061E6}"/>
    <cellStyle name="Note 3 3 2 5 5" xfId="27678" xr:uid="{46A858E9-5F6F-43F2-9BAF-EC2214866CDC}"/>
    <cellStyle name="Note 3 3 2 5 6" xfId="10792" xr:uid="{C4A923A2-84BC-4CB9-BE28-9DCDC7FE3AF3}"/>
    <cellStyle name="Note 3 3 2 6" xfId="2697" xr:uid="{00000000-0005-0000-0000-0000B9210000}"/>
    <cellStyle name="Note 3 3 2 6 2" xfId="6981" xr:uid="{00000000-0005-0000-0000-0000BA210000}"/>
    <cellStyle name="Note 3 3 2 6 2 2" xfId="23864" xr:uid="{31BBEA20-742C-48D6-8F8C-3473BFDE8A94}"/>
    <cellStyle name="Note 3 3 2 6 2 3" xfId="32310" xr:uid="{2E8A3305-E27D-4694-B061-30E0A8A17300}"/>
    <cellStyle name="Note 3 3 2 6 2 4" xfId="15423" xr:uid="{1B4C3E40-8CC9-4B64-85CE-2C85C8F8F0DF}"/>
    <cellStyle name="Note 3 3 2 6 3" xfId="19646" xr:uid="{ACB4DF6D-1CFD-4873-B913-ADC405D7B421}"/>
    <cellStyle name="Note 3 3 2 6 4" xfId="28091" xr:uid="{14A2F747-B2EE-4187-8CDC-2EBDA4E08FDB}"/>
    <cellStyle name="Note 3 3 2 6 5" xfId="11205" xr:uid="{5A26396A-FA48-4F98-A75A-C4D30D9479CA}"/>
    <cellStyle name="Note 3 3 2 7" xfId="2756" xr:uid="{00000000-0005-0000-0000-0000BB210000}"/>
    <cellStyle name="Note 3 3 2 8" xfId="2837" xr:uid="{00000000-0005-0000-0000-0000BC210000}"/>
    <cellStyle name="Note 3 3 2 8 2" xfId="7061" xr:uid="{00000000-0005-0000-0000-0000BD210000}"/>
    <cellStyle name="Note 3 3 2 8 2 2" xfId="23944" xr:uid="{93C6DE71-C377-446C-93B7-B48274A95F18}"/>
    <cellStyle name="Note 3 3 2 8 2 3" xfId="32390" xr:uid="{9A0AD727-3CA1-4DB4-8CD7-36AC3E85AF20}"/>
    <cellStyle name="Note 3 3 2 8 2 4" xfId="15503" xr:uid="{171530DB-B7EB-4A14-B3A7-885884A19B93}"/>
    <cellStyle name="Note 3 3 2 8 3" xfId="19726" xr:uid="{075E5F78-0425-4A85-8362-91D768F6190D}"/>
    <cellStyle name="Note 3 3 2 8 4" xfId="28173" xr:uid="{E3F360D5-63CF-4D19-B2E0-37ED90DC40CD}"/>
    <cellStyle name="Note 3 3 2 8 5" xfId="11285" xr:uid="{BB278D04-4405-4E03-BB79-9DEE35F44F4C}"/>
    <cellStyle name="Note 3 3 2 9" xfId="4916" xr:uid="{00000000-0005-0000-0000-0000BE210000}"/>
    <cellStyle name="Note 3 3 2 9 2" xfId="21799" xr:uid="{3CCD9B5F-4206-41C7-8F32-BEA006583FEA}"/>
    <cellStyle name="Note 3 3 2 9 3" xfId="30245" xr:uid="{2E210F2C-46C9-47DC-99EB-EB05FD956B18}"/>
    <cellStyle name="Note 3 3 2 9 4" xfId="13358" xr:uid="{B4FB6230-8718-4141-8F9A-C07906C5BFFE}"/>
    <cellStyle name="Note 3 3 3" xfId="1018" xr:uid="{00000000-0005-0000-0000-0000BF210000}"/>
    <cellStyle name="Note 3 3 3 2" xfId="3250" xr:uid="{00000000-0005-0000-0000-0000C0210000}"/>
    <cellStyle name="Note 3 3 3 2 2" xfId="7473" xr:uid="{00000000-0005-0000-0000-0000C1210000}"/>
    <cellStyle name="Note 3 3 3 2 2 2" xfId="24356" xr:uid="{275E70BA-B6A8-4E5A-9977-135535DC6978}"/>
    <cellStyle name="Note 3 3 3 2 2 3" xfId="32802" xr:uid="{2F86EA85-9348-472C-96DA-1EB565E55B05}"/>
    <cellStyle name="Note 3 3 3 2 2 4" xfId="15915" xr:uid="{EF7BA197-3D04-4C25-93AF-EBAB79459F0B}"/>
    <cellStyle name="Note 3 3 3 2 3" xfId="20138" xr:uid="{F7337E24-B058-4549-A5E4-5BA8DDF54147}"/>
    <cellStyle name="Note 3 3 3 2 4" xfId="28585" xr:uid="{49986BE0-7BC1-41C7-A7FF-47A17458243C}"/>
    <cellStyle name="Note 3 3 3 2 5" xfId="11697" xr:uid="{DC2EA6CF-7262-4CA0-8173-16D215F7E062}"/>
    <cellStyle name="Note 3 3 3 3" xfId="5328" xr:uid="{00000000-0005-0000-0000-0000C2210000}"/>
    <cellStyle name="Note 3 3 3 3 2" xfId="22211" xr:uid="{7D2B25AC-B2D4-489D-A199-2DC26EB6C551}"/>
    <cellStyle name="Note 3 3 3 3 3" xfId="30657" xr:uid="{C2D0E40F-719A-4404-BDCA-90F9E37FAF89}"/>
    <cellStyle name="Note 3 3 3 3 4" xfId="13770" xr:uid="{39F9B325-12A0-45FF-AFA7-6D114D8B85B0}"/>
    <cellStyle name="Note 3 3 3 4" xfId="17993" xr:uid="{157D630F-B3D2-4FC0-BFAC-67C646861BC9}"/>
    <cellStyle name="Note 3 3 3 5" xfId="26438" xr:uid="{126C2E0E-DA61-4298-AC6B-1CBA4C19ECF4}"/>
    <cellStyle name="Note 3 3 3 6" xfId="9552" xr:uid="{6C252594-338C-49DB-8C19-D62BA2EAC4A9}"/>
    <cellStyle name="Note 3 3 4" xfId="1433" xr:uid="{00000000-0005-0000-0000-0000C3210000}"/>
    <cellStyle name="Note 3 3 4 2" xfId="3663" xr:uid="{00000000-0005-0000-0000-0000C4210000}"/>
    <cellStyle name="Note 3 3 4 2 2" xfId="7886" xr:uid="{00000000-0005-0000-0000-0000C5210000}"/>
    <cellStyle name="Note 3 3 4 2 2 2" xfId="24769" xr:uid="{27BEBD72-F32C-461B-99B1-E3E0120727D2}"/>
    <cellStyle name="Note 3 3 4 2 2 3" xfId="33215" xr:uid="{B3376CA1-95F7-4A87-B22E-976CC2A4DEA6}"/>
    <cellStyle name="Note 3 3 4 2 2 4" xfId="16328" xr:uid="{C20EB76E-F5CE-41D8-B73F-AD17FBF8ABB7}"/>
    <cellStyle name="Note 3 3 4 2 3" xfId="20551" xr:uid="{510EC888-00CA-4155-947D-6BC94E47D9C1}"/>
    <cellStyle name="Note 3 3 4 2 4" xfId="28998" xr:uid="{F5099114-04FC-4D81-AE08-D06A53A895B1}"/>
    <cellStyle name="Note 3 3 4 2 5" xfId="12110" xr:uid="{7494EE63-41A2-4458-9EFC-C098D48EF5DF}"/>
    <cellStyle name="Note 3 3 4 3" xfId="5741" xr:uid="{00000000-0005-0000-0000-0000C6210000}"/>
    <cellStyle name="Note 3 3 4 3 2" xfId="22624" xr:uid="{55A003F4-5519-47BD-8566-8231CADA9089}"/>
    <cellStyle name="Note 3 3 4 3 3" xfId="31070" xr:uid="{AB7DE0C8-91CA-49BE-8F18-09E9DFCD1168}"/>
    <cellStyle name="Note 3 3 4 3 4" xfId="14183" xr:uid="{DF517A90-BC4B-40F9-A9AC-2131B1A6A495}"/>
    <cellStyle name="Note 3 3 4 4" xfId="18406" xr:uid="{3AB173D9-0D8E-4A84-BC1D-663EA6CF335B}"/>
    <cellStyle name="Note 3 3 4 5" xfId="26851" xr:uid="{D1D01D73-CAAD-49B0-B73A-F60B3947023E}"/>
    <cellStyle name="Note 3 3 4 6" xfId="9965" xr:uid="{6E7EBC13-ECE4-451D-A8C3-60FF4D02636A}"/>
    <cellStyle name="Note 3 3 5" xfId="1847" xr:uid="{00000000-0005-0000-0000-0000C7210000}"/>
    <cellStyle name="Note 3 3 5 2" xfId="4076" xr:uid="{00000000-0005-0000-0000-0000C8210000}"/>
    <cellStyle name="Note 3 3 5 2 2" xfId="8299" xr:uid="{00000000-0005-0000-0000-0000C9210000}"/>
    <cellStyle name="Note 3 3 5 2 2 2" xfId="25182" xr:uid="{0D1383AA-8922-41EF-B8CA-A4612EA22506}"/>
    <cellStyle name="Note 3 3 5 2 2 3" xfId="33628" xr:uid="{F0EC036E-33D0-4CF2-9148-18BFAA6BA770}"/>
    <cellStyle name="Note 3 3 5 2 2 4" xfId="16741" xr:uid="{4613967C-B549-4C30-A477-22BAD4A7EF93}"/>
    <cellStyle name="Note 3 3 5 2 3" xfId="20964" xr:uid="{14838FC8-26DD-4678-AA32-9581C8C6FB77}"/>
    <cellStyle name="Note 3 3 5 2 4" xfId="29411" xr:uid="{D35AFC6A-A9E5-4261-A155-7E41E4BDFA0F}"/>
    <cellStyle name="Note 3 3 5 2 5" xfId="12523" xr:uid="{9358A9D2-5480-4734-8593-9535AB1A4541}"/>
    <cellStyle name="Note 3 3 5 3" xfId="6154" xr:uid="{00000000-0005-0000-0000-0000CA210000}"/>
    <cellStyle name="Note 3 3 5 3 2" xfId="23037" xr:uid="{6FFCC69F-E65B-4E91-9C5C-FE9D564D8AD4}"/>
    <cellStyle name="Note 3 3 5 3 3" xfId="31483" xr:uid="{452C67F6-CF25-4AD9-AF63-61F504F22F86}"/>
    <cellStyle name="Note 3 3 5 3 4" xfId="14596" xr:uid="{13522EFC-1FD7-4AF5-86AA-FB1342E6C816}"/>
    <cellStyle name="Note 3 3 5 4" xfId="18819" xr:uid="{83D327D7-A1DB-42D4-A8D4-E1878A13E32C}"/>
    <cellStyle name="Note 3 3 5 5" xfId="27264" xr:uid="{7EC98FA8-2344-47BD-B4E7-22DE05A46220}"/>
    <cellStyle name="Note 3 3 5 6" xfId="10378" xr:uid="{284D5D4B-BA14-4E06-A5C2-3E52AF1DFA19}"/>
    <cellStyle name="Note 3 3 6" xfId="2260" xr:uid="{00000000-0005-0000-0000-0000CB210000}"/>
    <cellStyle name="Note 3 3 6 2" xfId="4489" xr:uid="{00000000-0005-0000-0000-0000CC210000}"/>
    <cellStyle name="Note 3 3 6 2 2" xfId="8712" xr:uid="{00000000-0005-0000-0000-0000CD210000}"/>
    <cellStyle name="Note 3 3 6 2 2 2" xfId="25595" xr:uid="{F80E7DAB-BEAE-4DFF-B945-0963EDB9328E}"/>
    <cellStyle name="Note 3 3 6 2 2 3" xfId="34041" xr:uid="{90712C36-0B3C-4860-BAFE-03CD0E30771F}"/>
    <cellStyle name="Note 3 3 6 2 2 4" xfId="17154" xr:uid="{D8F1DFAC-8720-4B83-B685-D6FFDD9B7FEF}"/>
    <cellStyle name="Note 3 3 6 2 3" xfId="21377" xr:uid="{91A86C1A-A879-4CE5-8355-609F706D9AB0}"/>
    <cellStyle name="Note 3 3 6 2 4" xfId="29824" xr:uid="{AAC92965-18A1-4F12-BDF6-D0EAB90FAF3C}"/>
    <cellStyle name="Note 3 3 6 2 5" xfId="12936" xr:uid="{DAB3AD63-FE51-420E-A430-5E69325E2179}"/>
    <cellStyle name="Note 3 3 6 3" xfId="6567" xr:uid="{00000000-0005-0000-0000-0000CE210000}"/>
    <cellStyle name="Note 3 3 6 3 2" xfId="23450" xr:uid="{D1B96A24-44D6-4804-B0F1-165BF163A296}"/>
    <cellStyle name="Note 3 3 6 3 3" xfId="31896" xr:uid="{FCB0CBD2-3C71-4A60-941D-6256893F77AA}"/>
    <cellStyle name="Note 3 3 6 3 4" xfId="15009" xr:uid="{3B821D36-070B-4A70-A513-115C5ACE33E8}"/>
    <cellStyle name="Note 3 3 6 4" xfId="19232" xr:uid="{79C888E2-1F22-4B2E-A8B0-E8A851EB47AF}"/>
    <cellStyle name="Note 3 3 6 5" xfId="27677" xr:uid="{FF8CBCC0-C078-41B4-AE2C-4F030630DFA7}"/>
    <cellStyle name="Note 3 3 6 6" xfId="10791" xr:uid="{0AD22BF5-0D65-42B2-A113-A918F773F87C}"/>
    <cellStyle name="Note 3 3 7" xfId="2696" xr:uid="{00000000-0005-0000-0000-0000CF210000}"/>
    <cellStyle name="Note 3 3 7 2" xfId="6980" xr:uid="{00000000-0005-0000-0000-0000D0210000}"/>
    <cellStyle name="Note 3 3 7 2 2" xfId="23863" xr:uid="{60393587-823E-4910-9FED-6FDDFBBDDB67}"/>
    <cellStyle name="Note 3 3 7 2 3" xfId="32309" xr:uid="{92405022-F306-4521-98F8-0F1B5DE2CADA}"/>
    <cellStyle name="Note 3 3 7 2 4" xfId="15422" xr:uid="{1D31A4A8-45C8-4E32-BF58-7A238B2E5805}"/>
    <cellStyle name="Note 3 3 7 3" xfId="19645" xr:uid="{6B5A2002-6A33-40A5-8915-88CFCBA73A9C}"/>
    <cellStyle name="Note 3 3 7 4" xfId="28090" xr:uid="{C36CFEA6-0F56-4010-A21C-7C74A495621F}"/>
    <cellStyle name="Note 3 3 7 5" xfId="11204" xr:uid="{49C540E6-D7C4-4498-B300-377A3320FE0B}"/>
    <cellStyle name="Note 3 3 8" xfId="2755" xr:uid="{00000000-0005-0000-0000-0000D1210000}"/>
    <cellStyle name="Note 3 3 9" xfId="2836" xr:uid="{00000000-0005-0000-0000-0000D2210000}"/>
    <cellStyle name="Note 3 3 9 2" xfId="7060" xr:uid="{00000000-0005-0000-0000-0000D3210000}"/>
    <cellStyle name="Note 3 3 9 2 2" xfId="23943" xr:uid="{B6965902-2891-445C-8E15-EDBA05039066}"/>
    <cellStyle name="Note 3 3 9 2 3" xfId="32389" xr:uid="{6520870A-34A4-45F9-B085-EC38DEF624B9}"/>
    <cellStyle name="Note 3 3 9 2 4" xfId="15502" xr:uid="{14BB6651-D50B-4C00-8086-8CE7FD6CABC3}"/>
    <cellStyle name="Note 3 3 9 3" xfId="19725" xr:uid="{01F20E6D-B0D7-47E3-9986-4C9463680746}"/>
    <cellStyle name="Note 3 3 9 4" xfId="28172" xr:uid="{9663DA9F-5ADC-454D-8C02-90B2F3FAA555}"/>
    <cellStyle name="Note 3 3 9 5" xfId="11284" xr:uid="{F102C087-A0DE-401F-851B-03DFD11572F9}"/>
    <cellStyle name="Note 3 4" xfId="560" xr:uid="{00000000-0005-0000-0000-0000D4210000}"/>
    <cellStyle name="Note 3 4 10" xfId="17582" xr:uid="{D6997226-D8A4-47DD-90EC-F43D0DE5D8BB}"/>
    <cellStyle name="Note 3 4 11" xfId="26027" xr:uid="{EE7928DD-1DEF-4DDD-AC62-B64F133191E8}"/>
    <cellStyle name="Note 3 4 12" xfId="9141" xr:uid="{B87CD8BA-ADBF-4661-B841-52ABCB8D424F}"/>
    <cellStyle name="Note 3 4 2" xfId="1020" xr:uid="{00000000-0005-0000-0000-0000D5210000}"/>
    <cellStyle name="Note 3 4 2 2" xfId="3252" xr:uid="{00000000-0005-0000-0000-0000D6210000}"/>
    <cellStyle name="Note 3 4 2 2 2" xfId="7475" xr:uid="{00000000-0005-0000-0000-0000D7210000}"/>
    <cellStyle name="Note 3 4 2 2 2 2" xfId="24358" xr:uid="{3FF83A24-D7ED-4AF1-BEFB-2FF88D032A4F}"/>
    <cellStyle name="Note 3 4 2 2 2 3" xfId="32804" xr:uid="{896B68B0-9861-46A0-ABE6-B7FD57D4ED5B}"/>
    <cellStyle name="Note 3 4 2 2 2 4" xfId="15917" xr:uid="{29675342-7BF9-4637-B92D-B12F58458C71}"/>
    <cellStyle name="Note 3 4 2 2 3" xfId="20140" xr:uid="{B22B474E-CDB4-436B-80C9-30C0CC0BF12D}"/>
    <cellStyle name="Note 3 4 2 2 4" xfId="28587" xr:uid="{F004F643-0BCF-46EA-9B5C-121C6B61BC98}"/>
    <cellStyle name="Note 3 4 2 2 5" xfId="11699" xr:uid="{0967D03C-9769-48AB-92FE-3ACB39097A18}"/>
    <cellStyle name="Note 3 4 2 3" xfId="5330" xr:uid="{00000000-0005-0000-0000-0000D8210000}"/>
    <cellStyle name="Note 3 4 2 3 2" xfId="22213" xr:uid="{156DDE8F-B2BD-436F-9292-29E1DDDB76E4}"/>
    <cellStyle name="Note 3 4 2 3 3" xfId="30659" xr:uid="{F11951A5-805D-4824-9554-0C779E9672CE}"/>
    <cellStyle name="Note 3 4 2 3 4" xfId="13772" xr:uid="{1F146DCF-E88A-4E47-A8CB-943E3CA427AA}"/>
    <cellStyle name="Note 3 4 2 4" xfId="17995" xr:uid="{0B2E7174-425E-4E1B-BFBC-B97AEDF9E287}"/>
    <cellStyle name="Note 3 4 2 5" xfId="26440" xr:uid="{527843E9-389A-4C1E-931C-2FFB8783FB52}"/>
    <cellStyle name="Note 3 4 2 6" xfId="9554" xr:uid="{607EE603-5A9C-4547-BF1C-20D0AEFF84D7}"/>
    <cellStyle name="Note 3 4 3" xfId="1435" xr:uid="{00000000-0005-0000-0000-0000D9210000}"/>
    <cellStyle name="Note 3 4 3 2" xfId="3665" xr:uid="{00000000-0005-0000-0000-0000DA210000}"/>
    <cellStyle name="Note 3 4 3 2 2" xfId="7888" xr:uid="{00000000-0005-0000-0000-0000DB210000}"/>
    <cellStyle name="Note 3 4 3 2 2 2" xfId="24771" xr:uid="{0C26ADA8-8DF3-491B-9238-9C52717CC9FE}"/>
    <cellStyle name="Note 3 4 3 2 2 3" xfId="33217" xr:uid="{12277A58-13F1-43C3-A2A1-A34CD05493C0}"/>
    <cellStyle name="Note 3 4 3 2 2 4" xfId="16330" xr:uid="{6B0A51AA-AF54-4633-8D09-E1277F6AE26E}"/>
    <cellStyle name="Note 3 4 3 2 3" xfId="20553" xr:uid="{EBBD0263-E1FF-4954-A653-3406C1E14997}"/>
    <cellStyle name="Note 3 4 3 2 4" xfId="29000" xr:uid="{D42511D6-1B20-4416-B020-C53D435C3C07}"/>
    <cellStyle name="Note 3 4 3 2 5" xfId="12112" xr:uid="{4D5ED87E-FB25-42AF-A4F1-29E7BD10855E}"/>
    <cellStyle name="Note 3 4 3 3" xfId="5743" xr:uid="{00000000-0005-0000-0000-0000DC210000}"/>
    <cellStyle name="Note 3 4 3 3 2" xfId="22626" xr:uid="{1B1D9303-63FE-454A-B3F2-980F6C9A9D21}"/>
    <cellStyle name="Note 3 4 3 3 3" xfId="31072" xr:uid="{FFB5FC44-2FF5-46A4-BC2B-CA92B7F8170A}"/>
    <cellStyle name="Note 3 4 3 3 4" xfId="14185" xr:uid="{EE8DDA0A-C1BD-413C-9360-2359ED05AF76}"/>
    <cellStyle name="Note 3 4 3 4" xfId="18408" xr:uid="{ECEE359B-5166-4B00-B686-82DB51FE6244}"/>
    <cellStyle name="Note 3 4 3 5" xfId="26853" xr:uid="{B11C9091-DF20-4029-AB07-6DE8DF97F3EA}"/>
    <cellStyle name="Note 3 4 3 6" xfId="9967" xr:uid="{1FB08130-CCDB-47B1-AD6E-A7632C54C296}"/>
    <cellStyle name="Note 3 4 4" xfId="1849" xr:uid="{00000000-0005-0000-0000-0000DD210000}"/>
    <cellStyle name="Note 3 4 4 2" xfId="4078" xr:uid="{00000000-0005-0000-0000-0000DE210000}"/>
    <cellStyle name="Note 3 4 4 2 2" xfId="8301" xr:uid="{00000000-0005-0000-0000-0000DF210000}"/>
    <cellStyle name="Note 3 4 4 2 2 2" xfId="25184" xr:uid="{DDE36698-020B-47F4-985C-B9ADC0369955}"/>
    <cellStyle name="Note 3 4 4 2 2 3" xfId="33630" xr:uid="{13B41EFD-2F14-4AC8-B248-DA0DAC9A5BE3}"/>
    <cellStyle name="Note 3 4 4 2 2 4" xfId="16743" xr:uid="{6BC92693-511D-41E1-BF86-E6768931BC6E}"/>
    <cellStyle name="Note 3 4 4 2 3" xfId="20966" xr:uid="{3EBC9E1C-DE1E-46A2-AB99-7D61368E094C}"/>
    <cellStyle name="Note 3 4 4 2 4" xfId="29413" xr:uid="{BEC883A4-A24A-4F08-BF23-7B8F57B4F702}"/>
    <cellStyle name="Note 3 4 4 2 5" xfId="12525" xr:uid="{C906C916-69C2-44F0-80D2-781F9B453A4A}"/>
    <cellStyle name="Note 3 4 4 3" xfId="6156" xr:uid="{00000000-0005-0000-0000-0000E0210000}"/>
    <cellStyle name="Note 3 4 4 3 2" xfId="23039" xr:uid="{4F7ADCC6-DDC9-40DD-B59C-A1B93CC0DF86}"/>
    <cellStyle name="Note 3 4 4 3 3" xfId="31485" xr:uid="{45BFFDE6-9217-4E83-B893-3B31ECCF7ACA}"/>
    <cellStyle name="Note 3 4 4 3 4" xfId="14598" xr:uid="{5AD70097-F618-4CEF-9DE0-AC489B4E962C}"/>
    <cellStyle name="Note 3 4 4 4" xfId="18821" xr:uid="{631E51C1-2343-4DCB-B14F-B8768813B9EF}"/>
    <cellStyle name="Note 3 4 4 5" xfId="27266" xr:uid="{F3613B4E-5332-4A4B-B8BC-E8644AF294B9}"/>
    <cellStyle name="Note 3 4 4 6" xfId="10380" xr:uid="{35CA58BC-8FEC-4F0A-AEEE-9AE8B93B28EC}"/>
    <cellStyle name="Note 3 4 5" xfId="2262" xr:uid="{00000000-0005-0000-0000-0000E1210000}"/>
    <cellStyle name="Note 3 4 5 2" xfId="4491" xr:uid="{00000000-0005-0000-0000-0000E2210000}"/>
    <cellStyle name="Note 3 4 5 2 2" xfId="8714" xr:uid="{00000000-0005-0000-0000-0000E3210000}"/>
    <cellStyle name="Note 3 4 5 2 2 2" xfId="25597" xr:uid="{200FCFDF-A892-484E-8D46-D2C533EC4C0D}"/>
    <cellStyle name="Note 3 4 5 2 2 3" xfId="34043" xr:uid="{CC134A2A-20DE-4085-8834-E8F9174CB47B}"/>
    <cellStyle name="Note 3 4 5 2 2 4" xfId="17156" xr:uid="{B16DBCBA-53F8-423E-A269-F82075DC9747}"/>
    <cellStyle name="Note 3 4 5 2 3" xfId="21379" xr:uid="{6BA968B2-F89D-4621-9BDB-343C0D985113}"/>
    <cellStyle name="Note 3 4 5 2 4" xfId="29826" xr:uid="{05FE0BB5-A41D-461A-A237-284BAFCB27A5}"/>
    <cellStyle name="Note 3 4 5 2 5" xfId="12938" xr:uid="{A733F2E0-5CBE-4D47-8552-F7212F3417F2}"/>
    <cellStyle name="Note 3 4 5 3" xfId="6569" xr:uid="{00000000-0005-0000-0000-0000E4210000}"/>
    <cellStyle name="Note 3 4 5 3 2" xfId="23452" xr:uid="{77BBD616-49B4-45D3-8EFA-230872542C9D}"/>
    <cellStyle name="Note 3 4 5 3 3" xfId="31898" xr:uid="{C2095524-36D9-4B01-9B3E-EF5A01665F6E}"/>
    <cellStyle name="Note 3 4 5 3 4" xfId="15011" xr:uid="{BAA21AE6-6BA4-40A0-B192-E31452342DD4}"/>
    <cellStyle name="Note 3 4 5 4" xfId="19234" xr:uid="{F95056A6-F04E-45F2-84C4-60B87DE3D8E5}"/>
    <cellStyle name="Note 3 4 5 5" xfId="27679" xr:uid="{A09CF40D-8A5F-4B4D-80ED-CE48DCBC3989}"/>
    <cellStyle name="Note 3 4 5 6" xfId="10793" xr:uid="{6942ECE5-6D9D-4A2C-BBEE-F63547287D69}"/>
    <cellStyle name="Note 3 4 6" xfId="2698" xr:uid="{00000000-0005-0000-0000-0000E5210000}"/>
    <cellStyle name="Note 3 4 6 2" xfId="6982" xr:uid="{00000000-0005-0000-0000-0000E6210000}"/>
    <cellStyle name="Note 3 4 6 2 2" xfId="23865" xr:uid="{86A75B6F-CA39-4CAD-8E91-B529B3CEBA61}"/>
    <cellStyle name="Note 3 4 6 2 3" xfId="32311" xr:uid="{83E3DAB4-7687-4C6D-A1DB-4A49E01FE94B}"/>
    <cellStyle name="Note 3 4 6 2 4" xfId="15424" xr:uid="{01458C4F-00B4-473A-9201-8C55825FB2DD}"/>
    <cellStyle name="Note 3 4 6 3" xfId="19647" xr:uid="{064C3807-1FF9-4791-886F-0202590D6681}"/>
    <cellStyle name="Note 3 4 6 4" xfId="28092" xr:uid="{96C38378-F945-43B5-B15A-93B617DAFC57}"/>
    <cellStyle name="Note 3 4 6 5" xfId="11206" xr:uid="{9CB7A364-AC2A-4C5B-8C4F-57938B19FBD9}"/>
    <cellStyle name="Note 3 4 7" xfId="2757" xr:uid="{00000000-0005-0000-0000-0000E7210000}"/>
    <cellStyle name="Note 3 4 8" xfId="2838" xr:uid="{00000000-0005-0000-0000-0000E8210000}"/>
    <cellStyle name="Note 3 4 8 2" xfId="7062" xr:uid="{00000000-0005-0000-0000-0000E9210000}"/>
    <cellStyle name="Note 3 4 8 2 2" xfId="23945" xr:uid="{038766B9-C371-40DF-8C41-2DF65A5CB206}"/>
    <cellStyle name="Note 3 4 8 2 3" xfId="32391" xr:uid="{43E4BCC3-2340-4903-B61E-8587F2D73017}"/>
    <cellStyle name="Note 3 4 8 2 4" xfId="15504" xr:uid="{3C556A9E-BA43-4D55-9922-2E1D99569614}"/>
    <cellStyle name="Note 3 4 8 3" xfId="19727" xr:uid="{637F25EA-F2DC-421D-849C-B16D3FDB9548}"/>
    <cellStyle name="Note 3 4 8 4" xfId="28174" xr:uid="{2AADD61B-B48B-4ADE-B185-CC90A1914C72}"/>
    <cellStyle name="Note 3 4 8 5" xfId="11286" xr:uid="{F7739639-857C-48D1-A500-015D5F382A4C}"/>
    <cellStyle name="Note 3 4 9" xfId="4917" xr:uid="{00000000-0005-0000-0000-0000EA210000}"/>
    <cellStyle name="Note 3 4 9 2" xfId="21800" xr:uid="{97F0797B-F769-437B-AE6A-7163352EED92}"/>
    <cellStyle name="Note 3 4 9 3" xfId="30246" xr:uid="{8EF119D9-DE5D-41DB-8E1D-54597D181A2E}"/>
    <cellStyle name="Note 3 4 9 4" xfId="13359" xr:uid="{43D58777-A68F-459C-A61B-327CA0EEFBC6}"/>
    <cellStyle name="Note 3 5" xfId="561" xr:uid="{00000000-0005-0000-0000-0000EB210000}"/>
    <cellStyle name="Note 3 5 10" xfId="17583" xr:uid="{42FC967E-6D69-454B-BCA1-C04E66FDC4AD}"/>
    <cellStyle name="Note 3 5 11" xfId="26028" xr:uid="{E1204266-73BE-4BE9-B4BB-CEC2114E364B}"/>
    <cellStyle name="Note 3 5 12" xfId="9142" xr:uid="{7D0BCEE8-064A-4D7F-88CF-FD1A95137B89}"/>
    <cellStyle name="Note 3 5 2" xfId="1021" xr:uid="{00000000-0005-0000-0000-0000EC210000}"/>
    <cellStyle name="Note 3 5 2 2" xfId="3253" xr:uid="{00000000-0005-0000-0000-0000ED210000}"/>
    <cellStyle name="Note 3 5 2 2 2" xfId="7476" xr:uid="{00000000-0005-0000-0000-0000EE210000}"/>
    <cellStyle name="Note 3 5 2 2 2 2" xfId="24359" xr:uid="{2DE8D1BA-05B3-4F4A-825F-8F2B7315EFF0}"/>
    <cellStyle name="Note 3 5 2 2 2 3" xfId="32805" xr:uid="{557CA524-E297-4F68-BAC2-618F9F26A454}"/>
    <cellStyle name="Note 3 5 2 2 2 4" xfId="15918" xr:uid="{E0FE3317-274D-4C06-82F6-B119022AF6BD}"/>
    <cellStyle name="Note 3 5 2 2 3" xfId="20141" xr:uid="{F3324F6A-0C2B-48B0-B051-6BD7F5FB02AC}"/>
    <cellStyle name="Note 3 5 2 2 4" xfId="28588" xr:uid="{C98B75A4-9E7A-4BA8-848D-383EB68797BF}"/>
    <cellStyle name="Note 3 5 2 2 5" xfId="11700" xr:uid="{0BD5D01D-867C-49AA-80B7-E7FDE56B6D7F}"/>
    <cellStyle name="Note 3 5 2 3" xfId="5331" xr:uid="{00000000-0005-0000-0000-0000EF210000}"/>
    <cellStyle name="Note 3 5 2 3 2" xfId="22214" xr:uid="{F143D4B4-A8FF-46BE-8720-189A4148F15C}"/>
    <cellStyle name="Note 3 5 2 3 3" xfId="30660" xr:uid="{4A2457BF-63E6-4F68-A52D-465BF8A0C284}"/>
    <cellStyle name="Note 3 5 2 3 4" xfId="13773" xr:uid="{BD2160F5-741C-4187-9AE8-1C13393E154D}"/>
    <cellStyle name="Note 3 5 2 4" xfId="17996" xr:uid="{14E94932-5B5F-436F-B409-8BB8E262163B}"/>
    <cellStyle name="Note 3 5 2 5" xfId="26441" xr:uid="{FB24594C-EB88-40B9-9D3C-6002EA61B3C4}"/>
    <cellStyle name="Note 3 5 2 6" xfId="9555" xr:uid="{F3B0FAE6-70EF-4CB8-BC2F-9DEBE77982B0}"/>
    <cellStyle name="Note 3 5 3" xfId="1436" xr:uid="{00000000-0005-0000-0000-0000F0210000}"/>
    <cellStyle name="Note 3 5 3 2" xfId="3666" xr:uid="{00000000-0005-0000-0000-0000F1210000}"/>
    <cellStyle name="Note 3 5 3 2 2" xfId="7889" xr:uid="{00000000-0005-0000-0000-0000F2210000}"/>
    <cellStyle name="Note 3 5 3 2 2 2" xfId="24772" xr:uid="{97C5DDAB-29FE-4E4C-AC50-27EAB2178B23}"/>
    <cellStyle name="Note 3 5 3 2 2 3" xfId="33218" xr:uid="{F920998D-AC52-4979-99F6-37F1D4E34BE6}"/>
    <cellStyle name="Note 3 5 3 2 2 4" xfId="16331" xr:uid="{B1F07394-09AD-43D9-8946-265A1E32D4FF}"/>
    <cellStyle name="Note 3 5 3 2 3" xfId="20554" xr:uid="{1F333EC7-1437-4443-A0D3-2F9A6CF7E81C}"/>
    <cellStyle name="Note 3 5 3 2 4" xfId="29001" xr:uid="{B8D3D457-60D1-40C6-A897-64A72B6E1AD6}"/>
    <cellStyle name="Note 3 5 3 2 5" xfId="12113" xr:uid="{369E274F-C6E3-4304-97DA-665406BF554A}"/>
    <cellStyle name="Note 3 5 3 3" xfId="5744" xr:uid="{00000000-0005-0000-0000-0000F3210000}"/>
    <cellStyle name="Note 3 5 3 3 2" xfId="22627" xr:uid="{8896A465-D99A-4845-A731-C3774358D15C}"/>
    <cellStyle name="Note 3 5 3 3 3" xfId="31073" xr:uid="{E92C56CE-6905-405E-A84E-C92DC962E5B0}"/>
    <cellStyle name="Note 3 5 3 3 4" xfId="14186" xr:uid="{9DEFC198-D840-4221-BAE4-7AB7E900F073}"/>
    <cellStyle name="Note 3 5 3 4" xfId="18409" xr:uid="{B8D1EA1D-F5B3-4BE1-8313-49E66DD3B2E7}"/>
    <cellStyle name="Note 3 5 3 5" xfId="26854" xr:uid="{8A41A738-717E-4986-A895-5BDCC259ED55}"/>
    <cellStyle name="Note 3 5 3 6" xfId="9968" xr:uid="{5DE702C4-B201-482F-961D-4BE54E828ED7}"/>
    <cellStyle name="Note 3 5 4" xfId="1850" xr:uid="{00000000-0005-0000-0000-0000F4210000}"/>
    <cellStyle name="Note 3 5 4 2" xfId="4079" xr:uid="{00000000-0005-0000-0000-0000F5210000}"/>
    <cellStyle name="Note 3 5 4 2 2" xfId="8302" xr:uid="{00000000-0005-0000-0000-0000F6210000}"/>
    <cellStyle name="Note 3 5 4 2 2 2" xfId="25185" xr:uid="{91455F1A-BB9E-414F-B93C-68C57379F521}"/>
    <cellStyle name="Note 3 5 4 2 2 3" xfId="33631" xr:uid="{633E2D64-FC18-4C6B-B9DF-7971F8FFA5EF}"/>
    <cellStyle name="Note 3 5 4 2 2 4" xfId="16744" xr:uid="{3C538C5D-FC72-4615-A1DF-787436A5C974}"/>
    <cellStyle name="Note 3 5 4 2 3" xfId="20967" xr:uid="{25B08947-4E4C-4453-9774-7BDF7BFF57DA}"/>
    <cellStyle name="Note 3 5 4 2 4" xfId="29414" xr:uid="{4B63FF6A-4DAD-48FF-9D88-A8F09B7C8017}"/>
    <cellStyle name="Note 3 5 4 2 5" xfId="12526" xr:uid="{7E934A1B-419F-4CE3-AD26-DDBE0C74AFB7}"/>
    <cellStyle name="Note 3 5 4 3" xfId="6157" xr:uid="{00000000-0005-0000-0000-0000F7210000}"/>
    <cellStyle name="Note 3 5 4 3 2" xfId="23040" xr:uid="{FD95BD22-C7CB-4114-9377-9B4143C50A88}"/>
    <cellStyle name="Note 3 5 4 3 3" xfId="31486" xr:uid="{38C2F7E1-2BE5-4F82-A87C-69398776839A}"/>
    <cellStyle name="Note 3 5 4 3 4" xfId="14599" xr:uid="{740ECEA7-5E46-4EB6-B056-B0B8B3088713}"/>
    <cellStyle name="Note 3 5 4 4" xfId="18822" xr:uid="{52D66368-C12B-46DA-967A-35CE4010AA7C}"/>
    <cellStyle name="Note 3 5 4 5" xfId="27267" xr:uid="{113E75AC-095B-4BDA-BAE4-51CE7DBB3E15}"/>
    <cellStyle name="Note 3 5 4 6" xfId="10381" xr:uid="{2C43ED7A-0206-44B0-8A9C-3BCA597C6F74}"/>
    <cellStyle name="Note 3 5 5" xfId="2263" xr:uid="{00000000-0005-0000-0000-0000F8210000}"/>
    <cellStyle name="Note 3 5 5 2" xfId="4492" xr:uid="{00000000-0005-0000-0000-0000F9210000}"/>
    <cellStyle name="Note 3 5 5 2 2" xfId="8715" xr:uid="{00000000-0005-0000-0000-0000FA210000}"/>
    <cellStyle name="Note 3 5 5 2 2 2" xfId="25598" xr:uid="{F18716C2-5CE4-4C54-B69E-995590A24303}"/>
    <cellStyle name="Note 3 5 5 2 2 3" xfId="34044" xr:uid="{F42BEEF2-F075-429D-A628-A38A8417620C}"/>
    <cellStyle name="Note 3 5 5 2 2 4" xfId="17157" xr:uid="{53734D96-4411-4232-8E12-3F36524D7C19}"/>
    <cellStyle name="Note 3 5 5 2 3" xfId="21380" xr:uid="{C0C69F5E-E123-47AC-8B91-71CF5AB6D76F}"/>
    <cellStyle name="Note 3 5 5 2 4" xfId="29827" xr:uid="{33EED6D7-AAED-4E4D-83AA-36726E26A837}"/>
    <cellStyle name="Note 3 5 5 2 5" xfId="12939" xr:uid="{050DB9F8-0339-4DE5-933E-F5866365CB76}"/>
    <cellStyle name="Note 3 5 5 3" xfId="6570" xr:uid="{00000000-0005-0000-0000-0000FB210000}"/>
    <cellStyle name="Note 3 5 5 3 2" xfId="23453" xr:uid="{42A7A709-A9EA-471D-A09F-FED069D4C0A1}"/>
    <cellStyle name="Note 3 5 5 3 3" xfId="31899" xr:uid="{67323F22-ABA9-4821-BE25-81F8A57F1D7C}"/>
    <cellStyle name="Note 3 5 5 3 4" xfId="15012" xr:uid="{42D6571D-A86B-4A99-913F-9D5F7F74D777}"/>
    <cellStyle name="Note 3 5 5 4" xfId="19235" xr:uid="{F253F4CC-ED10-41FA-9536-491643F481BD}"/>
    <cellStyle name="Note 3 5 5 5" xfId="27680" xr:uid="{C3FAA409-EEA4-40D9-9AC7-3B352CD6D2FE}"/>
    <cellStyle name="Note 3 5 5 6" xfId="10794" xr:uid="{36294251-EEB9-4934-A804-815F39CC428E}"/>
    <cellStyle name="Note 3 5 6" xfId="2699" xr:uid="{00000000-0005-0000-0000-0000FC210000}"/>
    <cellStyle name="Note 3 5 6 2" xfId="6983" xr:uid="{00000000-0005-0000-0000-0000FD210000}"/>
    <cellStyle name="Note 3 5 6 2 2" xfId="23866" xr:uid="{5B255156-6178-46B4-8E64-AF5DB118D164}"/>
    <cellStyle name="Note 3 5 6 2 3" xfId="32312" xr:uid="{0932742D-1C10-4983-B36F-8161F2EDA14A}"/>
    <cellStyle name="Note 3 5 6 2 4" xfId="15425" xr:uid="{5CFF520D-8BB0-4C82-8F4F-DACEC50B3861}"/>
    <cellStyle name="Note 3 5 6 3" xfId="19648" xr:uid="{F549616C-81BA-44FE-A3A6-B3855DCAB4B6}"/>
    <cellStyle name="Note 3 5 6 4" xfId="28093" xr:uid="{E5CF9A0E-94D6-4C32-AE39-5578BD93E222}"/>
    <cellStyle name="Note 3 5 6 5" xfId="11207" xr:uid="{2852E731-949A-4627-A165-5300F7719C80}"/>
    <cellStyle name="Note 3 5 7" xfId="2758" xr:uid="{00000000-0005-0000-0000-0000FE210000}"/>
    <cellStyle name="Note 3 5 8" xfId="2839" xr:uid="{00000000-0005-0000-0000-0000FF210000}"/>
    <cellStyle name="Note 3 5 8 2" xfId="7063" xr:uid="{00000000-0005-0000-0000-000000220000}"/>
    <cellStyle name="Note 3 5 8 2 2" xfId="23946" xr:uid="{EA7A9E4E-26C7-47F1-B81D-3901A8280D18}"/>
    <cellStyle name="Note 3 5 8 2 3" xfId="32392" xr:uid="{43A3E7D5-BD86-4C3A-B766-703F77F10C25}"/>
    <cellStyle name="Note 3 5 8 2 4" xfId="15505" xr:uid="{87230B8D-DD74-4012-925D-EC3268BD5C57}"/>
    <cellStyle name="Note 3 5 8 3" xfId="19728" xr:uid="{52DAA698-6BDF-4C29-92B5-57B0792A5A72}"/>
    <cellStyle name="Note 3 5 8 4" xfId="28175" xr:uid="{27FDDE31-785B-4C3C-98B4-8068C29E6139}"/>
    <cellStyle name="Note 3 5 8 5" xfId="11287" xr:uid="{BE6E9D3D-DDE2-4205-8621-36B146CD31A0}"/>
    <cellStyle name="Note 3 5 9" xfId="4918" xr:uid="{00000000-0005-0000-0000-000001220000}"/>
    <cellStyle name="Note 3 5 9 2" xfId="21801" xr:uid="{91D09DC6-3B8C-4F3A-AAED-1630E0944CBE}"/>
    <cellStyle name="Note 3 5 9 3" xfId="30247" xr:uid="{61C9B99B-A26B-4EC1-B8BE-77DA82CF919B}"/>
    <cellStyle name="Note 3 5 9 4" xfId="13360" xr:uid="{733E5C6B-A8F9-4E81-9A76-AD15B3308BA1}"/>
    <cellStyle name="Output" xfId="562" builtinId="21" customBuiltin="1"/>
    <cellStyle name="Output 2" xfId="563" xr:uid="{00000000-0005-0000-0000-000003220000}"/>
    <cellStyle name="Percent" xfId="4494" builtinId="5"/>
    <cellStyle name="Percent 2" xfId="1022" xr:uid="{00000000-0005-0000-0000-000005220000}"/>
    <cellStyle name="Percent 2 2" xfId="34173" xr:uid="{A7960A58-C39F-4998-A0CA-9B7033E07BB9}"/>
    <cellStyle name="Percent 2 3" xfId="34127" xr:uid="{FD279620-F870-412A-96A5-032AEED67D37}"/>
    <cellStyle name="Percent 3" xfId="4499" xr:uid="{00000000-0005-0000-0000-000006220000}"/>
    <cellStyle name="Percent 3 2" xfId="21384" xr:uid="{A7A40CEE-B6FE-4705-BF32-9E6C04808493}"/>
    <cellStyle name="Percent 3 2 2" xfId="34078" xr:uid="{D49A810E-672C-43D0-8D8A-309C6BBBF2B8}"/>
    <cellStyle name="Percent 3 3" xfId="29830" xr:uid="{0FC242DD-2471-428C-B051-E02912E53624}"/>
    <cellStyle name="Percent 3 4" xfId="34158" xr:uid="{7D061565-9DF8-4778-8F54-CC2DFD3112A9}"/>
    <cellStyle name="Percent 3 5" xfId="12943" xr:uid="{93AAC4D7-B9FA-4310-9DDC-99A9CD59F5A4}"/>
    <cellStyle name="Percent 4" xfId="4502" xr:uid="{00000000-0005-0000-0000-000007220000}"/>
    <cellStyle name="Percent 4 2" xfId="8718" xr:uid="{00000000-0005-0000-0000-000008220000}"/>
    <cellStyle name="Percent 4 2 2" xfId="25601" xr:uid="{7695E59F-BD53-49EF-99A8-11E29218A678}"/>
    <cellStyle name="Percent 4 2 3" xfId="34047" xr:uid="{0AF861E8-7F56-4A8B-85EC-FC372CE14452}"/>
    <cellStyle name="Percent 4 2 4" xfId="17160" xr:uid="{8547261C-3CA9-4342-8EEC-4BAE8F8AF8AC}"/>
    <cellStyle name="Percent 4 3" xfId="8721" xr:uid="{D09CD3FC-D632-4B66-A68A-5CC92F993799}"/>
    <cellStyle name="Percent 4 3 2" xfId="8725" xr:uid="{D57AE941-8E59-43F0-AB73-09B3BCCFA234}"/>
    <cellStyle name="Percent 4 3 2 2" xfId="8728" xr:uid="{D24D76A7-D076-4554-9944-551B122393DE}"/>
    <cellStyle name="Percent 4 3 2 2 2" xfId="25610" xr:uid="{6E58A490-988A-4A46-9152-44F0F7DB53EB}"/>
    <cellStyle name="Percent 4 3 2 2 3" xfId="34056" xr:uid="{78284949-4010-45FE-91EB-DE068B51A15D}"/>
    <cellStyle name="Percent 4 3 2 2 4" xfId="17169" xr:uid="{F3D165B9-3635-42BF-8563-93A8E0B3850D}"/>
    <cellStyle name="Percent 4 3 2 3" xfId="25607" xr:uid="{975CCC37-524F-473B-A36D-753A6906845E}"/>
    <cellStyle name="Percent 4 3 2 4" xfId="34053" xr:uid="{737C4AA2-67E3-4644-BA38-8FE562EFB8CB}"/>
    <cellStyle name="Percent 4 3 2 5" xfId="17166" xr:uid="{C9848F59-8137-4C65-8AF6-C947AC80F2BB}"/>
    <cellStyle name="Percent 4 3 3" xfId="25604" xr:uid="{024571B5-7676-4369-B6FC-B5E1A2F196D3}"/>
    <cellStyle name="Percent 4 3 4" xfId="34050" xr:uid="{9E9DE951-A046-403F-AD92-760DB5CAD567}"/>
    <cellStyle name="Percent 4 3 5" xfId="17163" xr:uid="{00388E31-1631-4432-8064-9FAB5B344603}"/>
    <cellStyle name="Percent 4 4" xfId="21387" xr:uid="{919FE5B3-0409-49FD-AED0-E34EAA784FAD}"/>
    <cellStyle name="Percent 4 5" xfId="29833" xr:uid="{E13B3827-7453-402A-9555-9865557A25DB}"/>
    <cellStyle name="Percent 4 6" xfId="12946" xr:uid="{92C72FBF-FED8-4728-BC64-24919F9446F4}"/>
    <cellStyle name="Percent 5" xfId="34137" xr:uid="{2977422E-E52E-4563-B6A3-FC01C8F02BB1}"/>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8" width="2.5" customWidth="1"/>
    <col min="39" max="16384" width="2.5" hidden="1"/>
  </cols>
  <sheetData>
    <row r="1" spans="1:38">
      <c r="A1" s="1231" t="s">
        <v>0</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row>
    <row r="2" spans="1:38" ht="14" thickBot="1">
      <c r="A2" s="1232"/>
      <c r="B2" s="1232"/>
      <c r="C2" s="1232"/>
      <c r="D2" s="1232"/>
      <c r="E2" s="1232"/>
      <c r="F2" s="1232"/>
      <c r="G2" s="1232"/>
      <c r="H2" s="1232"/>
      <c r="I2" s="1232"/>
      <c r="J2" s="1232"/>
      <c r="K2" s="1232"/>
      <c r="L2" s="1232"/>
      <c r="M2" s="1232"/>
      <c r="N2" s="1232"/>
      <c r="O2" s="1232"/>
      <c r="P2" s="1232"/>
      <c r="Q2" s="1232"/>
      <c r="R2" s="1232"/>
      <c r="S2" s="1232"/>
      <c r="T2" s="1232"/>
      <c r="U2" s="1232"/>
      <c r="V2" s="1232"/>
      <c r="W2" s="1232"/>
      <c r="X2" s="1232"/>
      <c r="Y2" s="1232"/>
      <c r="Z2" s="1232"/>
      <c r="AA2" s="1232"/>
      <c r="AB2" s="1232"/>
      <c r="AC2" s="1232"/>
      <c r="AD2" s="1232"/>
      <c r="AE2" s="1232"/>
      <c r="AF2" s="1232"/>
      <c r="AG2" s="1232"/>
      <c r="AH2" s="1232"/>
      <c r="AI2" s="1232"/>
      <c r="AJ2" s="1232"/>
      <c r="AK2" s="1232"/>
      <c r="AL2" s="1232"/>
    </row>
    <row r="3" spans="1:38" ht="14" thickTop="1"/>
    <row r="4" spans="1:38" s="4" customFormat="1">
      <c r="B4" s="10" t="s">
        <v>1</v>
      </c>
      <c r="C4" s="10" t="s">
        <v>2</v>
      </c>
      <c r="D4" s="1168"/>
      <c r="E4" s="1168"/>
      <c r="F4" s="1168"/>
      <c r="G4" s="1168"/>
      <c r="H4" s="1168"/>
      <c r="I4" s="1168"/>
      <c r="J4" s="1168"/>
      <c r="K4" s="1168"/>
      <c r="L4" s="1168"/>
      <c r="M4" s="1168"/>
      <c r="N4" s="1168"/>
      <c r="O4" s="1168"/>
      <c r="P4" s="1168"/>
      <c r="Q4" s="1168"/>
      <c r="R4" s="1168"/>
      <c r="S4" s="1168"/>
      <c r="T4" s="1168"/>
      <c r="U4" s="1168"/>
      <c r="V4" s="1168"/>
      <c r="W4" s="1168"/>
      <c r="X4" s="1168"/>
      <c r="Y4" s="1168"/>
      <c r="Z4" s="1168"/>
      <c r="AA4" s="1168"/>
      <c r="AB4" s="116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25" customHeight="1">
      <c r="A7" s="118"/>
      <c r="B7" s="118"/>
      <c r="C7" s="119"/>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128"/>
    </row>
    <row r="8" spans="1:38">
      <c r="A8" s="118"/>
      <c r="B8" s="118"/>
      <c r="C8" s="119"/>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128"/>
    </row>
    <row r="9" spans="1:38">
      <c r="A9" s="118"/>
      <c r="B9" s="118"/>
      <c r="C9" s="119"/>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128"/>
    </row>
    <row r="10" spans="1:38">
      <c r="A10" s="118"/>
      <c r="B10" s="118"/>
      <c r="C10" s="119"/>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1128"/>
      <c r="AJ10" s="1128"/>
      <c r="AK10" s="1128"/>
      <c r="AL10" s="1128"/>
    </row>
    <row r="11" spans="1:38" ht="13" customHeight="1">
      <c r="A11" s="118"/>
      <c r="B11" s="118"/>
      <c r="C11" s="119"/>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128"/>
    </row>
    <row r="12" spans="1:38">
      <c r="A12" s="118"/>
      <c r="B12" s="118"/>
      <c r="C12" s="119"/>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128"/>
    </row>
    <row r="13" spans="1:38">
      <c r="A13" s="118"/>
      <c r="B13" s="118"/>
      <c r="C13" s="119"/>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128"/>
    </row>
    <row r="14" spans="1:38" ht="13.25" customHeight="1">
      <c r="A14" s="118"/>
      <c r="B14" s="118"/>
      <c r="C14" s="119"/>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128"/>
    </row>
    <row r="15" spans="1:38" ht="13.25" customHeight="1">
      <c r="A15" s="118"/>
      <c r="B15" s="118"/>
      <c r="C15" s="119"/>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128"/>
    </row>
    <row r="16" spans="1:38">
      <c r="A16" s="118"/>
      <c r="B16" s="118"/>
      <c r="C16" s="119"/>
      <c r="D16" s="1128"/>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128"/>
    </row>
    <row r="17" spans="1:38">
      <c r="A17" s="118"/>
      <c r="B17" s="118"/>
      <c r="C17" s="119"/>
      <c r="D17" s="1100"/>
      <c r="E17" s="1100"/>
      <c r="F17" s="1100"/>
      <c r="G17" s="1100"/>
      <c r="H17" s="1100"/>
      <c r="I17" s="1100"/>
      <c r="J17" s="1100"/>
      <c r="K17" s="1100"/>
      <c r="L17" s="1100"/>
      <c r="M17" s="1100"/>
      <c r="N17" s="1100"/>
      <c r="O17" s="1100"/>
      <c r="P17" s="1100"/>
      <c r="Q17" s="1100"/>
      <c r="R17" s="1100"/>
      <c r="S17" s="1100"/>
      <c r="T17" s="1100"/>
      <c r="U17" s="1100"/>
      <c r="V17" s="1100"/>
      <c r="W17" s="1100"/>
      <c r="X17" s="1100"/>
      <c r="Y17" s="1100"/>
      <c r="Z17" s="1100"/>
      <c r="AA17" s="1100"/>
      <c r="AB17" s="1100"/>
      <c r="AC17" s="1100"/>
      <c r="AD17" s="1100"/>
      <c r="AE17" s="1100"/>
      <c r="AF17" s="1100"/>
      <c r="AG17" s="1100"/>
      <c r="AH17" s="1100"/>
      <c r="AI17" s="1100"/>
      <c r="AJ17" s="1100"/>
      <c r="AK17" s="1100"/>
      <c r="AL17" s="1128"/>
    </row>
    <row r="18" spans="1:38" ht="13.25" customHeight="1">
      <c r="A18" s="118"/>
      <c r="B18" s="118"/>
      <c r="C18" s="119"/>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18"/>
    </row>
    <row r="19" spans="1:38">
      <c r="A19" s="118"/>
      <c r="B19" s="118"/>
      <c r="C19" s="119"/>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18"/>
    </row>
    <row r="20" spans="1:38">
      <c r="A20" s="118"/>
      <c r="B20" s="118"/>
      <c r="C20" s="119"/>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18"/>
    </row>
    <row r="21" spans="1:38" ht="13.25" customHeight="1">
      <c r="A21" s="118"/>
      <c r="B21" s="118"/>
      <c r="C21" s="119"/>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18"/>
    </row>
    <row r="22" spans="1:38">
      <c r="A22" s="118"/>
      <c r="B22" s="118"/>
      <c r="C22" s="119"/>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18"/>
    </row>
    <row r="23" spans="1:38">
      <c r="A23" s="118"/>
      <c r="B23" s="118"/>
      <c r="C23" s="119"/>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18"/>
    </row>
    <row r="24" spans="1:38">
      <c r="A24" s="118"/>
      <c r="B24" s="118"/>
      <c r="C24" s="119"/>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18"/>
    </row>
    <row r="25" spans="1:38">
      <c r="A25" s="118"/>
      <c r="B25" s="118"/>
      <c r="C25" s="119"/>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18"/>
    </row>
    <row r="26" spans="1:38">
      <c r="A26" s="118"/>
      <c r="B26" s="118"/>
      <c r="C26" s="119"/>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18"/>
    </row>
    <row r="27" spans="1:38" ht="11.75" customHeight="1">
      <c r="A27" s="118"/>
      <c r="B27" s="118"/>
      <c r="C27" s="119"/>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18"/>
    </row>
    <row r="28" spans="1:38" ht="13.25" hidden="1" customHeight="1">
      <c r="A28" s="118"/>
      <c r="B28" s="118"/>
      <c r="C28" s="119"/>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18"/>
    </row>
    <row r="29" spans="1:38" ht="13.25" hidden="1" customHeight="1">
      <c r="A29" s="118"/>
      <c r="B29" s="118"/>
      <c r="C29" s="119"/>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18"/>
    </row>
    <row r="30" spans="1:38" hidden="1">
      <c r="A30" s="118"/>
      <c r="B30" s="118"/>
      <c r="C30" s="119"/>
      <c r="D30" s="1128"/>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18"/>
    </row>
    <row r="31" spans="1:38">
      <c r="A31" s="118"/>
      <c r="B31" s="118"/>
      <c r="C31" s="119"/>
      <c r="D31" s="1128"/>
      <c r="E31" s="1128"/>
      <c r="F31" s="1128"/>
      <c r="G31" s="1128"/>
      <c r="H31" s="1128"/>
      <c r="I31" s="1128"/>
      <c r="J31" s="1128"/>
      <c r="K31" s="1128"/>
      <c r="L31" s="1128"/>
      <c r="M31" s="1128"/>
      <c r="N31" s="1128"/>
      <c r="O31" s="1128"/>
      <c r="P31" s="1128"/>
      <c r="Q31" s="1128"/>
      <c r="R31" s="1128"/>
      <c r="S31" s="1128"/>
      <c r="T31" s="1128"/>
      <c r="U31" s="1128"/>
      <c r="V31" s="1128"/>
      <c r="W31" s="1128"/>
      <c r="X31" s="1128"/>
      <c r="Y31" s="1128"/>
      <c r="Z31" s="1128"/>
      <c r="AA31" s="1128"/>
      <c r="AB31" s="1128"/>
      <c r="AC31" s="1128"/>
      <c r="AD31" s="1128"/>
      <c r="AE31" s="1128"/>
      <c r="AF31" s="1128"/>
      <c r="AG31" s="1128"/>
      <c r="AH31" s="1128"/>
      <c r="AI31" s="1128"/>
      <c r="AJ31" s="1128"/>
      <c r="AK31" s="1128"/>
      <c r="AL31" s="118"/>
    </row>
    <row r="32" spans="1:38" ht="13.25" customHeight="1">
      <c r="A32" s="118"/>
      <c r="B32" s="118"/>
      <c r="C32" s="119"/>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18"/>
    </row>
    <row r="33" spans="1:38">
      <c r="A33" s="118"/>
      <c r="B33" s="118"/>
      <c r="C33" s="119"/>
      <c r="D33" s="1128"/>
      <c r="E33" s="1222" t="s">
        <v>11</v>
      </c>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18"/>
    </row>
    <row r="34" spans="1:38">
      <c r="A34" s="2"/>
      <c r="C34" s="1"/>
    </row>
    <row r="35" spans="1:38">
      <c r="A35" s="2"/>
      <c r="D35" s="1233" t="s">
        <v>12</v>
      </c>
      <c r="E35" s="1233"/>
      <c r="F35" s="1233"/>
      <c r="G35" s="1233"/>
      <c r="H35" s="1233"/>
      <c r="I35" s="1233"/>
      <c r="J35" s="1233"/>
      <c r="K35" s="1233"/>
      <c r="L35" s="1233"/>
      <c r="M35" s="1233"/>
      <c r="N35" s="1233"/>
      <c r="O35" s="1233"/>
      <c r="P35" s="1233"/>
      <c r="Q35" s="1233"/>
      <c r="R35" s="1233"/>
      <c r="S35" s="1233"/>
      <c r="T35" s="1233"/>
      <c r="U35" s="1233"/>
      <c r="V35" s="1233"/>
      <c r="W35" s="1233"/>
      <c r="X35" s="1233"/>
      <c r="Y35" s="1233"/>
      <c r="Z35" s="1233"/>
      <c r="AA35" s="1233"/>
      <c r="AB35" s="1233"/>
      <c r="AC35" s="1233"/>
      <c r="AD35" s="1233"/>
      <c r="AE35" s="1233"/>
      <c r="AF35" s="1233"/>
      <c r="AG35" s="1233"/>
      <c r="AH35" s="1233"/>
      <c r="AI35" s="1233"/>
      <c r="AJ35" s="1233"/>
      <c r="AK35" s="1233"/>
    </row>
    <row r="36" spans="1:38">
      <c r="A36" s="2"/>
      <c r="D36" s="1233"/>
      <c r="E36" s="1233"/>
      <c r="F36" s="1233"/>
      <c r="G36" s="1233"/>
      <c r="H36" s="1233"/>
      <c r="I36" s="1233"/>
      <c r="J36" s="1233"/>
      <c r="K36" s="1233"/>
      <c r="L36" s="1233"/>
      <c r="M36" s="1233"/>
      <c r="N36" s="1233"/>
      <c r="O36" s="1233"/>
      <c r="P36" s="1233"/>
      <c r="Q36" s="1233"/>
      <c r="R36" s="1233"/>
      <c r="S36" s="1233"/>
      <c r="T36" s="1233"/>
      <c r="U36" s="1233"/>
      <c r="V36" s="1233"/>
      <c r="W36" s="1233"/>
      <c r="X36" s="1233"/>
      <c r="Y36" s="1233"/>
      <c r="Z36" s="1233"/>
      <c r="AA36" s="1233"/>
      <c r="AB36" s="1233"/>
      <c r="AC36" s="1233"/>
      <c r="AD36" s="1233"/>
      <c r="AE36" s="1233"/>
      <c r="AF36" s="1233"/>
      <c r="AG36" s="1233"/>
      <c r="AH36" s="1233"/>
      <c r="AI36" s="1233"/>
      <c r="AJ36" s="1233"/>
      <c r="AK36" s="123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41"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1" customFormat="1" ht="13.25" customHeight="1">
      <c r="A42" s="2"/>
      <c r="B42"/>
      <c r="C42" s="1"/>
      <c r="D42" s="2"/>
      <c r="E42" s="2" t="s">
        <v>19</v>
      </c>
      <c r="F42" s="1221" t="s">
        <v>20</v>
      </c>
    </row>
    <row r="43" spans="1:38" s="1221" customFormat="1" ht="13.25" customHeight="1">
      <c r="A43" s="2"/>
      <c r="B43"/>
      <c r="C43" s="1"/>
      <c r="D43" s="2"/>
      <c r="E43" s="2"/>
    </row>
    <row r="44" spans="1:38">
      <c r="A44" s="2"/>
      <c r="C44" s="1"/>
      <c r="D44" s="2"/>
      <c r="E44" s="2"/>
      <c r="F44" s="68" t="s">
        <v>21</v>
      </c>
      <c r="G44" s="2" t="s">
        <v>22</v>
      </c>
      <c r="H44" s="1128"/>
      <c r="I44" s="1128"/>
      <c r="J44" s="1128"/>
      <c r="K44" s="1128"/>
      <c r="L44" s="1128"/>
      <c r="M44" s="1128"/>
      <c r="N44" s="1128"/>
      <c r="O44" s="1128"/>
      <c r="P44" s="1128"/>
      <c r="Q44" s="1128"/>
      <c r="R44" s="1128"/>
      <c r="S44" s="1128"/>
      <c r="T44" s="1128"/>
      <c r="U44" s="1128"/>
      <c r="V44" s="1128"/>
      <c r="W44" s="1128"/>
      <c r="X44" s="1128"/>
      <c r="Y44" s="1128"/>
      <c r="Z44" s="1128"/>
      <c r="AA44" s="1128"/>
      <c r="AB44" s="1128"/>
      <c r="AC44" s="1128"/>
      <c r="AD44" s="1128"/>
      <c r="AE44" s="1128"/>
      <c r="AF44" s="1128"/>
      <c r="AG44" s="1128"/>
      <c r="AH44" s="1128"/>
      <c r="AI44" s="1128"/>
      <c r="AJ44" s="1128"/>
      <c r="AK44" s="1128"/>
    </row>
    <row r="45" spans="1:38" s="68" customFormat="1" ht="13.25" customHeight="1">
      <c r="A45" s="2"/>
      <c r="B45"/>
      <c r="C45" s="1"/>
      <c r="D45" s="2"/>
      <c r="E45" s="2" t="s">
        <v>23</v>
      </c>
      <c r="F45" s="1227" t="s">
        <v>24</v>
      </c>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s="68" customFormat="1">
      <c r="A46" s="2"/>
      <c r="B46"/>
      <c r="C46" s="1"/>
      <c r="D46" s="2"/>
      <c r="E46" s="2"/>
      <c r="F46" s="1227"/>
      <c r="G46" s="1227"/>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row>
    <row r="47" spans="1:38" s="68" customFormat="1" ht="13.25" customHeight="1">
      <c r="A47" s="2"/>
      <c r="B47"/>
      <c r="C47" s="1"/>
      <c r="D47" s="2"/>
      <c r="E47" s="2"/>
      <c r="F47" s="1227"/>
      <c r="G47" s="1227"/>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7"/>
      <c r="AK47" s="1227"/>
      <c r="AL47" s="1227"/>
    </row>
    <row r="48" spans="1:38">
      <c r="A48" s="2"/>
      <c r="C48" s="1"/>
      <c r="D48" s="2"/>
      <c r="E48" s="2"/>
      <c r="F48" s="68" t="s">
        <v>21</v>
      </c>
      <c r="G48" s="2" t="s">
        <v>25</v>
      </c>
      <c r="H48" s="1139"/>
      <c r="I48" s="1139"/>
      <c r="J48" s="1139"/>
      <c r="K48" s="1139"/>
      <c r="L48" s="1139"/>
      <c r="M48" s="1139"/>
      <c r="N48" s="1139"/>
      <c r="O48" s="1139"/>
      <c r="P48" s="1139"/>
      <c r="Q48" s="1139"/>
      <c r="R48" s="1139"/>
      <c r="S48" s="1139"/>
      <c r="T48" s="1139"/>
      <c r="U48" s="1139"/>
      <c r="V48" s="1139"/>
      <c r="W48" s="1139"/>
      <c r="X48" s="1139"/>
      <c r="Y48" s="1139"/>
      <c r="Z48" s="1139"/>
      <c r="AA48" s="1139"/>
      <c r="AB48" s="1139"/>
      <c r="AC48" s="1139"/>
      <c r="AD48" s="1139"/>
      <c r="AE48" s="1139"/>
      <c r="AF48" s="1139"/>
      <c r="AG48" s="1139"/>
      <c r="AH48" s="1139"/>
      <c r="AI48" s="1139"/>
      <c r="AJ48" s="1139"/>
      <c r="AK48" s="1139"/>
      <c r="AL48" s="1139"/>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c r="A51" s="2"/>
      <c r="C51" s="1"/>
      <c r="D51" s="2"/>
      <c r="E51" s="2"/>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c r="A52" s="2"/>
      <c r="C52" s="1"/>
      <c r="D52" s="2"/>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029"/>
      <c r="K54" s="1029"/>
      <c r="L54" s="1029"/>
      <c r="M54" s="1029"/>
      <c r="N54" s="102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25" customHeight="1">
      <c r="A56" s="118"/>
      <c r="B56" s="118"/>
      <c r="C56" s="119"/>
      <c r="D56" s="119"/>
      <c r="E56" s="118"/>
      <c r="F56" s="120" t="s">
        <v>21</v>
      </c>
      <c r="G56" s="1226" t="s">
        <v>33</v>
      </c>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6"/>
      <c r="AI56" s="1226"/>
      <c r="AJ56" s="1226"/>
      <c r="AK56" s="1226"/>
      <c r="AL56" s="118"/>
    </row>
    <row r="57" spans="1:38" ht="13.25" customHeight="1">
      <c r="A57" s="118"/>
      <c r="B57" s="118"/>
      <c r="C57" s="119"/>
      <c r="D57" s="119"/>
      <c r="E57" s="118"/>
      <c r="F57" s="120"/>
      <c r="G57" s="353" t="s">
        <v>34</v>
      </c>
      <c r="H57" s="1101"/>
      <c r="I57" s="1101"/>
      <c r="J57" s="1101"/>
      <c r="K57" s="1101"/>
      <c r="L57" s="1101"/>
      <c r="M57" s="1101"/>
      <c r="N57" s="1101"/>
      <c r="O57" s="1101"/>
      <c r="P57" s="1101"/>
      <c r="Q57" s="1101"/>
      <c r="R57" s="1101"/>
      <c r="S57" s="1101"/>
      <c r="T57" s="1101"/>
      <c r="U57" s="1101"/>
      <c r="V57" s="1101"/>
      <c r="W57" s="1101"/>
      <c r="X57" s="1101"/>
      <c r="Y57" s="1101"/>
      <c r="Z57" s="1101"/>
      <c r="AA57" s="1101"/>
      <c r="AB57" s="1101"/>
      <c r="AC57" s="1101"/>
      <c r="AD57" s="1101"/>
      <c r="AE57" s="1101"/>
      <c r="AF57" s="1101"/>
      <c r="AG57" s="1101"/>
      <c r="AH57" s="1101"/>
      <c r="AI57" s="1101"/>
      <c r="AJ57" s="1101"/>
      <c r="AK57" s="1101"/>
      <c r="AL57" s="118"/>
    </row>
    <row r="58" spans="1:38">
      <c r="A58" s="118"/>
      <c r="B58" s="118"/>
      <c r="C58" s="119"/>
      <c r="D58" s="119"/>
      <c r="E58" s="118"/>
      <c r="F58" s="120"/>
      <c r="G58" s="1226" t="s">
        <v>35</v>
      </c>
      <c r="H58" s="1226"/>
      <c r="I58" s="1226"/>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25" customHeight="1">
      <c r="A59" s="118"/>
      <c r="B59" s="119"/>
      <c r="C59" s="119"/>
      <c r="D59" s="119"/>
      <c r="E59" s="118"/>
      <c r="F59" s="120" t="s">
        <v>26</v>
      </c>
      <c r="G59" s="1226" t="s">
        <v>36</v>
      </c>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226"/>
      <c r="AE59" s="1226"/>
      <c r="AF59" s="1226"/>
      <c r="AG59" s="1226"/>
      <c r="AH59" s="1226"/>
      <c r="AI59" s="1226"/>
      <c r="AJ59" s="1226"/>
      <c r="AK59" s="1226"/>
      <c r="AL59" s="1226"/>
    </row>
    <row r="60" spans="1:38">
      <c r="A60" s="118"/>
      <c r="B60" s="118"/>
      <c r="C60" s="119"/>
      <c r="D60" s="119"/>
      <c r="E60" s="118"/>
      <c r="F60" s="120"/>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226"/>
      <c r="AE60" s="1226"/>
      <c r="AF60" s="1226"/>
      <c r="AG60" s="1226"/>
      <c r="AH60" s="1226"/>
      <c r="AI60" s="1226"/>
      <c r="AJ60" s="1226"/>
      <c r="AK60" s="1226"/>
      <c r="AL60" s="1226"/>
    </row>
    <row r="61" spans="1:38">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c r="A67" s="2"/>
      <c r="C67" s="1"/>
      <c r="D67" s="2"/>
      <c r="E67" s="2"/>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c r="A68" s="2"/>
      <c r="C68" s="1"/>
      <c r="D68" s="2"/>
      <c r="E68" s="2"/>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25" customHeight="1">
      <c r="A69" s="2"/>
      <c r="C69" s="1"/>
      <c r="D69" s="2"/>
      <c r="E69" s="2"/>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c r="A70" s="2"/>
      <c r="C70" s="1"/>
      <c r="D70" s="2"/>
      <c r="E70" s="2"/>
      <c r="F70" s="22"/>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c r="A71" s="2"/>
      <c r="C71" s="1"/>
      <c r="D71" s="2"/>
      <c r="E71" s="2" t="s">
        <v>23</v>
      </c>
      <c r="F71" s="2" t="s">
        <v>43</v>
      </c>
      <c r="G71" s="1128"/>
      <c r="H71" s="1128"/>
      <c r="I71" s="1128"/>
      <c r="J71" s="1128"/>
      <c r="K71" s="1128"/>
      <c r="L71" s="1128"/>
      <c r="M71" s="1128"/>
      <c r="N71" s="1128"/>
      <c r="O71" s="1128"/>
      <c r="P71" s="1128"/>
      <c r="Q71" s="1128"/>
      <c r="R71" s="1128"/>
      <c r="S71" s="1128"/>
      <c r="T71" s="1128"/>
      <c r="U71" s="1128"/>
      <c r="V71" s="1128"/>
      <c r="W71" s="1128"/>
      <c r="X71" s="1128"/>
      <c r="Y71" s="1128"/>
      <c r="Z71" s="1128"/>
      <c r="AA71" s="1128"/>
      <c r="AB71" s="1128"/>
      <c r="AC71" s="1128"/>
      <c r="AD71" s="1128"/>
      <c r="AE71" s="1128"/>
      <c r="AF71" s="1128"/>
      <c r="AG71" s="1128"/>
      <c r="AH71" s="1128"/>
      <c r="AI71" s="1128"/>
      <c r="AJ71" s="1128"/>
      <c r="AK71" s="1128"/>
    </row>
    <row r="72" spans="1:37">
      <c r="A72" s="2"/>
      <c r="C72" s="1"/>
      <c r="D72" s="2"/>
      <c r="E72" s="2"/>
      <c r="F72" s="7"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c r="A73" s="2"/>
      <c r="C73" s="1"/>
      <c r="D73" s="2"/>
      <c r="E73" s="2"/>
      <c r="F73" s="7"/>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c r="A74" s="2"/>
      <c r="C74" s="1"/>
      <c r="D74" s="2"/>
      <c r="E74" s="2"/>
      <c r="F74" s="7"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c r="A75" s="2"/>
      <c r="C75" s="1"/>
      <c r="D75" s="2"/>
      <c r="E75" s="2"/>
      <c r="F75" s="7"/>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c r="A83" s="2"/>
      <c r="C83" s="1"/>
      <c r="D83" s="2"/>
      <c r="E83" s="2"/>
      <c r="F83" s="2"/>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c r="A84" s="2"/>
      <c r="C84" s="1"/>
      <c r="D84" s="2"/>
      <c r="E84" s="2"/>
      <c r="F84" s="2"/>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c r="A87" s="2"/>
      <c r="C87" s="1"/>
      <c r="D87" s="2"/>
      <c r="E87" s="2"/>
      <c r="F87" s="2"/>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c r="A88" s="2"/>
      <c r="C88" s="1"/>
      <c r="D88" s="2"/>
      <c r="E88" s="2"/>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24" t="s">
        <v>61</v>
      </c>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row>
    <row r="91" spans="1:37">
      <c r="A91" s="2"/>
      <c r="C91" s="1"/>
      <c r="D91" s="2"/>
      <c r="E91" s="2"/>
      <c r="G91" s="1224"/>
      <c r="H91" s="1224"/>
      <c r="I91" s="1224"/>
      <c r="J91" s="1224"/>
      <c r="K91" s="1224"/>
      <c r="L91" s="1224"/>
      <c r="M91" s="1224"/>
      <c r="N91" s="1224"/>
      <c r="O91" s="1224"/>
      <c r="P91" s="1224"/>
      <c r="Q91" s="1224"/>
      <c r="R91" s="1224"/>
      <c r="S91" s="1224"/>
      <c r="T91" s="1224"/>
      <c r="U91" s="1224"/>
      <c r="V91" s="1224"/>
      <c r="W91" s="1224"/>
      <c r="X91" s="1224"/>
      <c r="Y91" s="1224"/>
      <c r="Z91" s="1224"/>
      <c r="AA91" s="1224"/>
      <c r="AB91" s="1224"/>
      <c r="AC91" s="1224"/>
      <c r="AD91" s="1224"/>
      <c r="AE91" s="1224"/>
      <c r="AF91" s="1224"/>
      <c r="AG91" s="1224"/>
      <c r="AH91" s="1224"/>
      <c r="AI91" s="1224"/>
      <c r="AJ91" s="1224"/>
      <c r="AK91" s="1224"/>
    </row>
    <row r="92" spans="1:37">
      <c r="A92" s="2"/>
      <c r="C92" s="1"/>
      <c r="D92" s="2"/>
      <c r="E92" s="2"/>
      <c r="G92" s="1224"/>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c r="A95" s="2"/>
      <c r="C95" s="1"/>
      <c r="D95" s="2"/>
      <c r="E95" s="2"/>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c r="A96" s="2"/>
      <c r="C96" s="1"/>
      <c r="D96" s="2"/>
      <c r="E96" s="2" t="s">
        <v>65</v>
      </c>
      <c r="F96" s="118" t="s">
        <v>66</v>
      </c>
      <c r="G96" s="118"/>
      <c r="L96" s="2"/>
      <c r="M96" s="2"/>
      <c r="P96" s="2"/>
      <c r="Q96" s="2"/>
      <c r="R96" s="2"/>
      <c r="S96" s="2"/>
      <c r="T96" s="2"/>
      <c r="U96" s="2"/>
      <c r="V96" s="2"/>
      <c r="W96" s="2"/>
      <c r="X96" s="2"/>
      <c r="Y96" s="2"/>
      <c r="Z96" s="2"/>
      <c r="AA96" s="2"/>
      <c r="AB96" s="2"/>
    </row>
    <row r="97" spans="1:38">
      <c r="A97" s="2"/>
      <c r="C97" s="1"/>
      <c r="D97" s="2"/>
      <c r="E97" s="2"/>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c r="A98" s="2"/>
      <c r="C98" s="1"/>
      <c r="D98" s="2"/>
      <c r="E98" s="2"/>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c r="A99" s="2"/>
      <c r="C99" s="1"/>
      <c r="D99" s="2"/>
      <c r="E99" s="2"/>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c r="A100" s="2"/>
      <c r="D100" s="58"/>
      <c r="E100" s="1225" t="s">
        <v>68</v>
      </c>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c r="AI100" s="1225"/>
      <c r="AJ100" s="1225"/>
      <c r="AK100" s="1225"/>
    </row>
    <row r="101" spans="1:38">
      <c r="A101" s="2"/>
      <c r="D101" s="58"/>
      <c r="E101" s="1225"/>
      <c r="F101" s="1225"/>
      <c r="G101" s="1225"/>
      <c r="H101" s="1225"/>
      <c r="I101" s="1225"/>
      <c r="J101" s="1225"/>
      <c r="K101" s="1225"/>
      <c r="L101" s="1225"/>
      <c r="M101" s="1225"/>
      <c r="N101" s="1225"/>
      <c r="O101" s="1225"/>
      <c r="P101" s="1225"/>
      <c r="Q101" s="1225"/>
      <c r="R101" s="1225"/>
      <c r="S101" s="1225"/>
      <c r="T101" s="1225"/>
      <c r="U101" s="1225"/>
      <c r="V101" s="1225"/>
      <c r="W101" s="1225"/>
      <c r="X101" s="1225"/>
      <c r="Y101" s="1225"/>
      <c r="Z101" s="1225"/>
      <c r="AA101" s="1225"/>
      <c r="AB101" s="1225"/>
      <c r="AC101" s="1225"/>
      <c r="AD101" s="1225"/>
      <c r="AE101" s="1225"/>
      <c r="AF101" s="1225"/>
      <c r="AG101" s="1225"/>
      <c r="AH101" s="1225"/>
      <c r="AI101" s="1225"/>
      <c r="AJ101" s="1225"/>
      <c r="AK101" s="1225"/>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128"/>
      <c r="G134" s="1128"/>
      <c r="H134" s="1128"/>
      <c r="I134" s="1128"/>
      <c r="J134" s="1128"/>
      <c r="K134" s="1128"/>
      <c r="L134" s="1128"/>
      <c r="M134" s="1128"/>
      <c r="N134" s="1128"/>
      <c r="O134" s="1128"/>
      <c r="P134" s="1128"/>
      <c r="Q134" s="1128"/>
      <c r="R134" s="1128"/>
      <c r="S134" s="1128"/>
      <c r="T134" s="1128"/>
      <c r="U134" s="1128"/>
      <c r="V134" s="1128"/>
      <c r="W134" s="1128"/>
      <c r="X134" s="1128"/>
      <c r="Y134" s="1128"/>
      <c r="Z134" s="1128"/>
      <c r="AA134" s="1128"/>
      <c r="AB134" s="1128"/>
      <c r="AC134" s="1128"/>
      <c r="AD134" s="1128"/>
      <c r="AE134" s="1128"/>
      <c r="AF134" s="1128"/>
      <c r="AG134" s="1128"/>
      <c r="AH134" s="1128"/>
      <c r="AI134" s="1128"/>
      <c r="AJ134" s="1128"/>
      <c r="AK134" s="1128"/>
    </row>
    <row r="135" spans="4:37">
      <c r="E135" s="69" t="s">
        <v>97</v>
      </c>
      <c r="F135" s="1128"/>
      <c r="G135" s="1128"/>
      <c r="H135" s="1128"/>
      <c r="I135" s="1128"/>
      <c r="J135" s="1128"/>
      <c r="K135" s="1128"/>
      <c r="L135" s="1128"/>
      <c r="M135" s="1128"/>
      <c r="N135" s="1128"/>
      <c r="O135" s="1128"/>
      <c r="P135" s="1128"/>
      <c r="Q135" s="1128"/>
      <c r="R135" s="1128"/>
      <c r="S135" s="1128"/>
      <c r="T135" s="1128"/>
      <c r="U135" s="1128"/>
      <c r="V135" s="1128"/>
      <c r="W135" s="1128"/>
      <c r="X135" s="1128"/>
      <c r="Y135" s="1128"/>
      <c r="Z135" s="1128"/>
      <c r="AA135" s="1128"/>
      <c r="AB135" s="1128"/>
      <c r="AC135" s="1128"/>
      <c r="AD135" s="1128"/>
      <c r="AE135" s="1128"/>
      <c r="AF135" s="1128"/>
      <c r="AG135" s="1128"/>
      <c r="AH135" s="1128"/>
      <c r="AI135" s="1128"/>
      <c r="AJ135" s="1128"/>
      <c r="AK135" s="1128"/>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8" t="s">
        <v>107</v>
      </c>
      <c r="F145" s="118"/>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c r="B208" s="2"/>
      <c r="C208" s="2"/>
      <c r="D208" s="1"/>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168"/>
      <c r="F223" s="1168"/>
      <c r="G223" s="1168"/>
      <c r="H223" s="1168"/>
      <c r="I223" s="1168"/>
      <c r="J223" s="1168"/>
      <c r="K223" s="4"/>
      <c r="L223" s="1168"/>
      <c r="M223" s="1168"/>
      <c r="N223" s="1168"/>
      <c r="O223" s="1168"/>
      <c r="P223" s="1168"/>
      <c r="Q223" s="1168"/>
      <c r="R223" s="1168"/>
      <c r="S223" s="116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3"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3" t="s">
        <v>184</v>
      </c>
      <c r="I242" s="2"/>
      <c r="M242" s="2"/>
      <c r="N242" s="2"/>
      <c r="O242" s="2"/>
      <c r="P242" s="2"/>
      <c r="Q242" s="2"/>
      <c r="R242" s="2"/>
      <c r="S242" s="2"/>
    </row>
    <row r="243" spans="2:21">
      <c r="B243" s="2"/>
      <c r="C243" s="2"/>
      <c r="E243" t="s">
        <v>38</v>
      </c>
      <c r="F243" s="2" t="s">
        <v>19</v>
      </c>
      <c r="G243" s="843" t="s">
        <v>185</v>
      </c>
      <c r="I243" s="2"/>
      <c r="M243" s="2"/>
      <c r="N243" s="2"/>
      <c r="O243" s="2"/>
      <c r="P243" s="2"/>
      <c r="Q243" s="2"/>
      <c r="R243" s="2"/>
      <c r="S243" s="2"/>
    </row>
    <row r="244" spans="2:21">
      <c r="B244" s="2"/>
      <c r="C244" s="2"/>
      <c r="F244" s="2" t="s">
        <v>23</v>
      </c>
      <c r="G244" s="843" t="s">
        <v>186</v>
      </c>
      <c r="I244" s="2"/>
      <c r="M244" s="2"/>
      <c r="N244" s="2"/>
      <c r="O244" s="2"/>
      <c r="P244" s="2"/>
      <c r="Q244" s="2"/>
      <c r="R244" s="2"/>
      <c r="S244" s="2"/>
    </row>
    <row r="245" spans="2:21">
      <c r="B245" s="2"/>
      <c r="C245" s="2"/>
      <c r="F245" s="2" t="s">
        <v>28</v>
      </c>
      <c r="G245" s="843" t="s">
        <v>187</v>
      </c>
      <c r="I245" s="2"/>
      <c r="M245" s="2"/>
      <c r="N245" s="2"/>
      <c r="O245" s="2"/>
      <c r="P245" s="2"/>
      <c r="Q245" s="2"/>
      <c r="R245" s="2"/>
      <c r="S245" s="2"/>
    </row>
    <row r="246" spans="2:21">
      <c r="B246" s="2"/>
      <c r="C246" s="2"/>
      <c r="F246" s="2"/>
      <c r="G246" s="843"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8" t="s">
        <v>19</v>
      </c>
      <c r="G255" s="118" t="s">
        <v>196</v>
      </c>
      <c r="I255" s="2"/>
      <c r="K255" s="2"/>
      <c r="L255" s="2"/>
      <c r="M255" s="2"/>
      <c r="N255" s="2"/>
      <c r="O255" s="2"/>
      <c r="Q255" s="2"/>
      <c r="R255" s="2"/>
      <c r="S255" s="2"/>
      <c r="T255" s="2"/>
      <c r="U255" s="2"/>
    </row>
    <row r="256" spans="2:21">
      <c r="B256" s="1"/>
      <c r="C256" s="1"/>
      <c r="E256" s="2"/>
      <c r="F256" s="118"/>
      <c r="G256" s="118" t="s">
        <v>197</v>
      </c>
      <c r="I256" s="2"/>
      <c r="K256" s="2"/>
      <c r="L256" s="2"/>
      <c r="M256" s="2"/>
      <c r="N256" s="2"/>
      <c r="O256" s="2"/>
      <c r="P256" s="2"/>
    </row>
    <row r="257" spans="2:21">
      <c r="B257" s="1"/>
      <c r="C257" s="1"/>
      <c r="E257" s="2"/>
      <c r="F257" s="118" t="s">
        <v>23</v>
      </c>
      <c r="G257" s="118" t="s">
        <v>198</v>
      </c>
      <c r="I257" s="2"/>
      <c r="K257" s="2"/>
      <c r="L257" s="2"/>
      <c r="M257" s="2"/>
      <c r="N257" s="2"/>
      <c r="O257" s="2"/>
      <c r="P257" s="2"/>
    </row>
    <row r="258" spans="2:21">
      <c r="B258" s="1"/>
      <c r="C258" s="1"/>
      <c r="E258" s="2"/>
      <c r="F258" s="118"/>
      <c r="G258" s="118"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8"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29"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168"/>
      <c r="K331" s="1168"/>
      <c r="L331" s="1168"/>
      <c r="M331" s="1168"/>
      <c r="N331" s="1168"/>
      <c r="O331" s="1168"/>
      <c r="P331" s="1168"/>
      <c r="Q331" s="1168"/>
      <c r="R331" s="1168"/>
      <c r="S331" s="116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c r="B339" s="1"/>
      <c r="E339" s="2"/>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c r="B340" s="1"/>
      <c r="E340" s="2"/>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25" customHeight="1">
      <c r="B343" s="1"/>
      <c r="E343" s="1226" t="s">
        <v>264</v>
      </c>
      <c r="F343" s="1226"/>
      <c r="G343" s="1226"/>
      <c r="H343" s="1226"/>
      <c r="I343" s="1226"/>
      <c r="J343" s="1226"/>
      <c r="K343" s="1226"/>
      <c r="L343" s="1226"/>
      <c r="M343" s="1226"/>
      <c r="N343" s="1226"/>
      <c r="O343" s="1226"/>
      <c r="P343" s="1226"/>
      <c r="Q343" s="1226"/>
      <c r="R343" s="1226"/>
      <c r="S343" s="1226"/>
      <c r="T343" s="1226"/>
      <c r="U343" s="1226"/>
      <c r="V343" s="1226"/>
      <c r="W343" s="1226"/>
      <c r="X343" s="1226"/>
      <c r="Y343" s="1226"/>
      <c r="Z343" s="1226"/>
      <c r="AA343" s="1226"/>
      <c r="AB343" s="1226"/>
      <c r="AC343" s="1226"/>
      <c r="AD343" s="1226"/>
      <c r="AE343" s="1226"/>
      <c r="AF343" s="1226"/>
      <c r="AG343" s="1226"/>
      <c r="AH343" s="1226"/>
      <c r="AI343" s="1226"/>
      <c r="AJ343" s="1226"/>
      <c r="AK343" s="1226"/>
    </row>
    <row r="344" spans="2:37">
      <c r="B344" s="1"/>
      <c r="E344" s="1226"/>
      <c r="F344" s="1226"/>
      <c r="G344" s="1226"/>
      <c r="H344" s="1226"/>
      <c r="I344" s="1226"/>
      <c r="J344" s="1226"/>
      <c r="K344" s="1226"/>
      <c r="L344" s="1226"/>
      <c r="M344" s="1226"/>
      <c r="N344" s="1226"/>
      <c r="O344" s="1226"/>
      <c r="P344" s="1226"/>
      <c r="Q344" s="1226"/>
      <c r="R344" s="1226"/>
      <c r="S344" s="1226"/>
      <c r="T344" s="1226"/>
      <c r="U344" s="1226"/>
      <c r="V344" s="1226"/>
      <c r="W344" s="1226"/>
      <c r="X344" s="1226"/>
      <c r="Y344" s="1226"/>
      <c r="Z344" s="1226"/>
      <c r="AA344" s="1226"/>
      <c r="AB344" s="1226"/>
      <c r="AC344" s="1226"/>
      <c r="AD344" s="1226"/>
      <c r="AE344" s="1226"/>
      <c r="AF344" s="1226"/>
      <c r="AG344" s="1226"/>
      <c r="AH344" s="1226"/>
      <c r="AI344" s="1226"/>
      <c r="AJ344" s="1226"/>
      <c r="AK344" s="1226"/>
    </row>
    <row r="345" spans="2:37">
      <c r="B345" s="1"/>
      <c r="E345" s="1226"/>
      <c r="F345" s="1226"/>
      <c r="G345" s="1226"/>
      <c r="H345" s="1226"/>
      <c r="I345" s="1226"/>
      <c r="J345" s="1226"/>
      <c r="K345" s="1226"/>
      <c r="L345" s="1226"/>
      <c r="M345" s="1226"/>
      <c r="N345" s="1226"/>
      <c r="O345" s="1226"/>
      <c r="P345" s="1226"/>
      <c r="Q345" s="1226"/>
      <c r="R345" s="1226"/>
      <c r="S345" s="1226"/>
      <c r="T345" s="1226"/>
      <c r="U345" s="1226"/>
      <c r="V345" s="1226"/>
      <c r="W345" s="1226"/>
      <c r="X345" s="1226"/>
      <c r="Y345" s="1226"/>
      <c r="Z345" s="1226"/>
      <c r="AA345" s="1226"/>
      <c r="AB345" s="1226"/>
      <c r="AC345" s="1226"/>
      <c r="AD345" s="1226"/>
      <c r="AE345" s="1226"/>
      <c r="AF345" s="1226"/>
      <c r="AG345" s="1226"/>
      <c r="AH345" s="1226"/>
      <c r="AI345" s="1226"/>
      <c r="AJ345" s="1226"/>
      <c r="AK345" s="1226"/>
    </row>
    <row r="346" spans="2:37">
      <c r="B346" s="1"/>
      <c r="E346" s="1226"/>
      <c r="F346" s="1226"/>
      <c r="G346" s="1226"/>
      <c r="H346" s="1226"/>
      <c r="I346" s="1226"/>
      <c r="J346" s="1226"/>
      <c r="K346" s="1226"/>
      <c r="L346" s="1226"/>
      <c r="M346" s="1226"/>
      <c r="N346" s="1226"/>
      <c r="O346" s="1226"/>
      <c r="P346" s="1226"/>
      <c r="Q346" s="1226"/>
      <c r="R346" s="1226"/>
      <c r="S346" s="1226"/>
      <c r="T346" s="1226"/>
      <c r="U346" s="1226"/>
      <c r="V346" s="1226"/>
      <c r="W346" s="1226"/>
      <c r="X346" s="1226"/>
      <c r="Y346" s="1226"/>
      <c r="Z346" s="1226"/>
      <c r="AA346" s="1226"/>
      <c r="AB346" s="1226"/>
      <c r="AC346" s="1226"/>
      <c r="AD346" s="1226"/>
      <c r="AE346" s="1226"/>
      <c r="AF346" s="1226"/>
      <c r="AG346" s="1226"/>
      <c r="AH346" s="1226"/>
      <c r="AI346" s="1226"/>
      <c r="AJ346" s="1226"/>
      <c r="AK346" s="1226"/>
    </row>
    <row r="347" spans="2:37">
      <c r="B347" s="1"/>
      <c r="E347" s="1226"/>
      <c r="F347" s="1226"/>
      <c r="G347" s="1226"/>
      <c r="H347" s="1226"/>
      <c r="I347" s="1226"/>
      <c r="J347" s="1226"/>
      <c r="K347" s="1226"/>
      <c r="L347" s="1226"/>
      <c r="M347" s="1226"/>
      <c r="N347" s="1226"/>
      <c r="O347" s="1226"/>
      <c r="P347" s="1226"/>
      <c r="Q347" s="1226"/>
      <c r="R347" s="1226"/>
      <c r="S347" s="1226"/>
      <c r="T347" s="1226"/>
      <c r="U347" s="1226"/>
      <c r="V347" s="1226"/>
      <c r="W347" s="1226"/>
      <c r="X347" s="1226"/>
      <c r="Y347" s="1226"/>
      <c r="Z347" s="1226"/>
      <c r="AA347" s="1226"/>
      <c r="AB347" s="1226"/>
      <c r="AC347" s="1226"/>
      <c r="AD347" s="1226"/>
      <c r="AE347" s="1226"/>
      <c r="AF347" s="1226"/>
      <c r="AG347" s="1226"/>
      <c r="AH347" s="1226"/>
      <c r="AI347" s="1226"/>
      <c r="AJ347" s="1226"/>
      <c r="AK347" s="1226"/>
    </row>
    <row r="348" spans="2:37">
      <c r="B348" s="1"/>
      <c r="E348" s="2"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c r="B349" s="1"/>
      <c r="E349" s="2"/>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c r="B350" s="1"/>
      <c r="E350" s="2"/>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c r="B351" s="1"/>
      <c r="E351" s="2"/>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c r="B352" s="1"/>
      <c r="E352" s="2"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c r="B353" s="1"/>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c r="B354" s="1"/>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168"/>
      <c r="N356" s="1168"/>
      <c r="O356" s="1168"/>
      <c r="P356" s="1168"/>
      <c r="Q356" s="1168"/>
      <c r="R356" s="1168"/>
      <c r="S356" s="1168"/>
      <c r="T356" s="1168"/>
      <c r="U356" s="4"/>
      <c r="V356" s="4"/>
      <c r="W356" s="4"/>
      <c r="X356" s="4"/>
      <c r="Y356" s="4"/>
      <c r="Z356" s="4"/>
      <c r="AA356" s="4"/>
      <c r="AB356" s="4"/>
      <c r="AC356" s="4"/>
      <c r="AD356" s="4"/>
      <c r="AE356" s="4"/>
      <c r="AF356" s="4"/>
      <c r="AG356" s="4"/>
      <c r="AH356" s="4"/>
      <c r="AI356" s="4"/>
      <c r="AJ356" s="4"/>
      <c r="AK356" s="4"/>
      <c r="AL356" s="4"/>
    </row>
    <row r="357" spans="1:38">
      <c r="B357" s="1"/>
      <c r="D357" s="383"/>
      <c r="E357" s="1"/>
      <c r="M357" s="2"/>
      <c r="N357" s="2"/>
      <c r="O357" s="2"/>
      <c r="P357" s="2"/>
      <c r="Q357" s="2"/>
      <c r="R357" s="2"/>
      <c r="S357" s="2"/>
      <c r="T357" s="2"/>
    </row>
    <row r="358" spans="1:38" ht="13.25" customHeight="1">
      <c r="B358" s="1"/>
      <c r="C358" s="10" t="s">
        <v>268</v>
      </c>
      <c r="D358" s="4"/>
      <c r="E358" s="4"/>
      <c r="F358" s="4"/>
      <c r="G358" s="4"/>
      <c r="H358" s="4"/>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row>
    <row r="359" spans="1:38" ht="13.25" customHeight="1">
      <c r="B359" s="1"/>
      <c r="C359" s="1"/>
      <c r="E359" s="1101"/>
      <c r="F359" s="1101"/>
      <c r="G359" s="1101"/>
      <c r="H359" s="1101"/>
      <c r="I359" s="1101"/>
      <c r="J359" s="1101"/>
      <c r="K359" s="1101"/>
      <c r="L359" s="1101"/>
      <c r="M359" s="1101"/>
      <c r="N359" s="1101"/>
      <c r="O359" s="1101"/>
      <c r="P359" s="1101"/>
      <c r="Q359" s="1101"/>
      <c r="R359" s="1101"/>
      <c r="S359" s="1101"/>
      <c r="T359" s="1101"/>
      <c r="U359" s="1101"/>
      <c r="V359" s="1101"/>
      <c r="W359" s="1101"/>
      <c r="X359" s="1101"/>
      <c r="Y359" s="1101"/>
      <c r="Z359" s="1101"/>
      <c r="AA359" s="1101"/>
      <c r="AB359" s="1101"/>
      <c r="AC359" s="1101"/>
      <c r="AD359" s="1101"/>
      <c r="AE359" s="1101"/>
      <c r="AF359" s="1101"/>
      <c r="AG359" s="1101"/>
      <c r="AH359" s="1101"/>
      <c r="AI359" s="1101"/>
      <c r="AJ359" s="1101"/>
      <c r="AK359" s="1101"/>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9" t="s">
        <v>276</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c r="B368" s="1"/>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7" s="1230" customFormat="1">
      <c r="A369"/>
      <c r="B369" s="1"/>
      <c r="C369"/>
      <c r="D369"/>
      <c r="E369" s="1227" t="s">
        <v>277</v>
      </c>
      <c r="F369" s="1227"/>
      <c r="G369" s="1227"/>
      <c r="H369" s="1227"/>
      <c r="I369" s="1227"/>
      <c r="J369" s="1227"/>
      <c r="K369" s="1227"/>
      <c r="L369" s="1227"/>
      <c r="M369" s="1227"/>
      <c r="N369" s="1227"/>
      <c r="O369" s="1227"/>
      <c r="P369" s="1227"/>
      <c r="Q369" s="1227"/>
      <c r="R369" s="1227"/>
      <c r="S369" s="1227"/>
      <c r="T369" s="1227"/>
      <c r="U369" s="1227"/>
      <c r="V369" s="1227"/>
      <c r="W369" s="1227"/>
      <c r="X369" s="1227"/>
      <c r="Y369" s="1227"/>
      <c r="Z369" s="1227"/>
      <c r="AA369" s="1227"/>
      <c r="AB369" s="1227"/>
      <c r="AC369" s="1227"/>
      <c r="AD369" s="1227"/>
      <c r="AE369" s="1227"/>
      <c r="AF369" s="1227"/>
      <c r="AG369" s="1227"/>
      <c r="AH369" s="1227"/>
      <c r="AI369" s="1227"/>
      <c r="AJ369" s="1227"/>
      <c r="AK369" s="1227"/>
    </row>
    <row r="370" spans="1:37" s="1230" customFormat="1">
      <c r="A370"/>
      <c r="B370" s="1"/>
      <c r="C370" s="1"/>
      <c r="D370"/>
      <c r="E370" s="1227"/>
      <c r="F370" s="1227"/>
      <c r="G370" s="1227"/>
      <c r="H370" s="1227"/>
      <c r="I370" s="1227"/>
      <c r="J370" s="1227"/>
      <c r="K370" s="1227"/>
      <c r="L370" s="1227"/>
      <c r="M370" s="1227"/>
      <c r="N370" s="1227"/>
      <c r="O370" s="1227"/>
      <c r="P370" s="1227"/>
      <c r="Q370" s="1227"/>
      <c r="R370" s="1227"/>
      <c r="S370" s="1227"/>
      <c r="T370" s="1227"/>
      <c r="U370" s="1227"/>
      <c r="V370" s="1227"/>
      <c r="W370" s="1227"/>
      <c r="X370" s="1227"/>
      <c r="Y370" s="1227"/>
      <c r="Z370" s="1227"/>
      <c r="AA370" s="1227"/>
      <c r="AB370" s="1227"/>
      <c r="AC370" s="1227"/>
      <c r="AD370" s="1227"/>
      <c r="AE370" s="1227"/>
      <c r="AF370" s="1227"/>
      <c r="AG370" s="1227"/>
      <c r="AH370" s="1227"/>
      <c r="AI370" s="1227"/>
      <c r="AJ370" s="1227"/>
      <c r="AK370" s="1227"/>
    </row>
    <row r="371" spans="1:37">
      <c r="B371" s="1"/>
      <c r="E371" s="2"/>
      <c r="F371" s="1128"/>
      <c r="G371" s="1128"/>
      <c r="H371" s="1128"/>
      <c r="I371" s="1128"/>
      <c r="J371" s="1128"/>
      <c r="K371" s="1128"/>
      <c r="L371" s="1128"/>
      <c r="M371" s="1128"/>
      <c r="N371" s="1128"/>
      <c r="O371" s="1128"/>
      <c r="P371" s="1128"/>
      <c r="Q371" s="1128"/>
      <c r="R371" s="1128"/>
      <c r="S371" s="1128"/>
      <c r="T371" s="1128"/>
      <c r="U371" s="1128"/>
      <c r="V371" s="1128"/>
      <c r="W371" s="1128"/>
      <c r="X371" s="1128"/>
      <c r="Y371" s="1128"/>
      <c r="Z371" s="1128"/>
      <c r="AA371" s="1128"/>
      <c r="AB371" s="1128"/>
      <c r="AC371" s="1128"/>
      <c r="AD371" s="1128"/>
      <c r="AE371" s="1128"/>
      <c r="AF371" s="1128"/>
      <c r="AG371" s="1128"/>
      <c r="AH371" s="1128"/>
      <c r="AI371" s="1128"/>
      <c r="AJ371" s="1128"/>
      <c r="AK371" s="1128"/>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6"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6"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6"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c r="B389" s="1"/>
      <c r="E389" s="2"/>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c r="B390" s="1"/>
      <c r="E390" s="2"/>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c r="B391" s="1"/>
      <c r="E391" s="2"/>
      <c r="F391" s="1100"/>
      <c r="G391" s="1100"/>
      <c r="H391" s="1100"/>
      <c r="I391" s="1100"/>
      <c r="J391" s="1100"/>
      <c r="K391" s="1100"/>
      <c r="L391" s="1100"/>
      <c r="M391" s="1100"/>
      <c r="N391" s="1100"/>
      <c r="O391" s="1100"/>
      <c r="P391" s="1100"/>
      <c r="Q391" s="1100"/>
      <c r="R391" s="1100"/>
      <c r="S391" s="1100"/>
      <c r="T391" s="1100"/>
      <c r="U391" s="1100"/>
      <c r="V391" s="1100"/>
      <c r="W391" s="1100"/>
      <c r="X391" s="1100"/>
      <c r="Y391" s="1100"/>
      <c r="Z391" s="1100"/>
      <c r="AA391" s="1100"/>
      <c r="AB391" s="1100"/>
      <c r="AC391" s="1100"/>
      <c r="AD391" s="1100"/>
      <c r="AE391" s="1100"/>
      <c r="AF391" s="1100"/>
      <c r="AG391" s="1100"/>
      <c r="AH391" s="1100"/>
      <c r="AI391" s="1100"/>
      <c r="AJ391" s="1100"/>
      <c r="AK391" s="1100"/>
      <c r="AL391" s="1101"/>
    </row>
    <row r="392" spans="1:38">
      <c r="B392" s="1"/>
      <c r="C392" s="1"/>
      <c r="D392" s="1" t="s">
        <v>105</v>
      </c>
      <c r="E392" s="1" t="s">
        <v>290</v>
      </c>
      <c r="F392" s="2"/>
      <c r="G392" s="1"/>
      <c r="I392" s="70"/>
      <c r="J392" s="2"/>
      <c r="K392" s="2"/>
      <c r="L392" s="2"/>
      <c r="M392" s="2"/>
      <c r="N392" s="2"/>
      <c r="O392" s="2"/>
      <c r="P392" s="2"/>
      <c r="Q392" s="2"/>
      <c r="R392" s="2"/>
      <c r="S392" s="2"/>
    </row>
    <row r="393" spans="1:38" ht="13.25" customHeight="1">
      <c r="B393" s="1"/>
      <c r="D393" s="1"/>
      <c r="E393" s="2" t="s">
        <v>291</v>
      </c>
      <c r="F393" s="1128"/>
      <c r="G393" s="1128"/>
      <c r="H393" s="1128"/>
      <c r="I393" s="1128"/>
      <c r="J393" s="1128"/>
      <c r="K393" s="1128"/>
      <c r="L393" s="1128"/>
      <c r="M393" s="1128"/>
      <c r="N393" s="1128"/>
      <c r="O393" s="1128"/>
      <c r="P393" s="1128"/>
      <c r="Q393" s="1128"/>
      <c r="R393" s="1128"/>
      <c r="S393" s="1128"/>
      <c r="T393" s="1128"/>
      <c r="U393" s="1128"/>
      <c r="V393" s="1128"/>
      <c r="W393" s="1128"/>
      <c r="X393" s="1128"/>
      <c r="Y393" s="1128"/>
      <c r="Z393" s="1128"/>
      <c r="AA393" s="1128"/>
      <c r="AB393" s="1128"/>
      <c r="AC393" s="1128"/>
      <c r="AD393" s="1128"/>
      <c r="AE393" s="1128"/>
      <c r="AF393" s="1128"/>
      <c r="AG393" s="1128"/>
      <c r="AH393" s="1128"/>
      <c r="AI393" s="1128"/>
      <c r="AJ393" s="1128"/>
      <c r="AK393" s="1128"/>
    </row>
    <row r="394" spans="1:38">
      <c r="B394" s="1"/>
      <c r="E394"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6"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6"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9" zoomScaleNormal="100" workbookViewId="0">
      <selection activeCell="AP4" sqref="AP4:AU4"/>
    </sheetView>
  </sheetViews>
  <sheetFormatPr baseColWidth="10" defaultColWidth="2.5" defaultRowHeight="15.75" customHeight="1"/>
  <cols>
    <col min="1" max="13" width="2.5" style="965"/>
    <col min="14" max="14" width="4.5" style="965" customWidth="1"/>
    <col min="15" max="37" width="2.5" style="965"/>
    <col min="38" max="38" width="3" style="965" customWidth="1"/>
    <col min="39" max="45" width="2.5" style="965"/>
    <col min="46" max="46" width="4.5" style="965" customWidth="1"/>
    <col min="47" max="64" width="2.5" style="965"/>
    <col min="65" max="65" width="10.5" style="965" hidden="1" customWidth="1"/>
    <col min="66" max="70" width="5.5" style="965" bestFit="1" customWidth="1"/>
    <col min="71" max="71" width="6.1640625" style="965" bestFit="1" customWidth="1"/>
    <col min="72" max="76" width="5.5" style="965" bestFit="1" customWidth="1"/>
    <col min="77" max="77" width="6.1640625" style="965" bestFit="1" customWidth="1"/>
    <col min="78" max="78" width="5.5" style="965" bestFit="1" customWidth="1"/>
    <col min="79" max="16384" width="2.5" style="965"/>
  </cols>
  <sheetData>
    <row r="1" spans="1:65" ht="15.75" customHeight="1">
      <c r="A1" s="2489" t="s">
        <v>2480</v>
      </c>
      <c r="B1" s="2490"/>
      <c r="C1" s="2490"/>
      <c r="D1" s="2490"/>
      <c r="E1" s="2490"/>
      <c r="F1" s="2490"/>
      <c r="G1" s="2490"/>
      <c r="H1" s="2490"/>
      <c r="I1" s="2490"/>
      <c r="J1" s="2490"/>
      <c r="K1" s="2490"/>
      <c r="L1" s="2490"/>
      <c r="M1" s="2490"/>
      <c r="N1" s="2490"/>
      <c r="O1" s="2490"/>
      <c r="P1" s="2490"/>
      <c r="Q1" s="2490"/>
      <c r="R1" s="2490"/>
      <c r="S1" s="2490"/>
      <c r="T1" s="2490"/>
      <c r="U1" s="2490"/>
      <c r="V1" s="2490"/>
      <c r="W1" s="2490"/>
      <c r="X1" s="2490"/>
      <c r="Y1" s="2490"/>
      <c r="Z1" s="2490"/>
      <c r="AA1" s="2490"/>
      <c r="AB1" s="2490"/>
      <c r="AC1" s="2490"/>
      <c r="AD1" s="2490"/>
      <c r="AE1" s="2490"/>
      <c r="AF1" s="2490"/>
      <c r="AG1" s="2490"/>
      <c r="AH1" s="2490"/>
      <c r="AI1" s="2490"/>
      <c r="AJ1" s="2490"/>
      <c r="AK1" s="2490"/>
      <c r="AL1" s="2490"/>
      <c r="AM1" s="2490"/>
      <c r="AN1" s="2490"/>
      <c r="AO1" s="2490"/>
      <c r="AP1" s="2490"/>
      <c r="AQ1" s="2490"/>
      <c r="AR1" s="2490"/>
      <c r="AS1" s="2490"/>
      <c r="AT1" s="2490"/>
      <c r="AU1" s="2490"/>
      <c r="AV1" s="2490"/>
      <c r="AW1" s="2490"/>
      <c r="AX1" s="2490"/>
      <c r="AY1" s="2490"/>
      <c r="AZ1" s="2490"/>
      <c r="BA1" s="2490"/>
      <c r="BB1" s="2490"/>
      <c r="BC1" s="2490"/>
      <c r="BD1" s="2490"/>
      <c r="BE1" s="2491"/>
    </row>
    <row r="2" spans="1:65" ht="15.75" customHeight="1">
      <c r="A2" s="2492" t="s">
        <v>2481</v>
      </c>
      <c r="B2" s="2493"/>
      <c r="C2" s="2493"/>
      <c r="D2" s="2493"/>
      <c r="E2" s="2493"/>
      <c r="F2" s="2493"/>
      <c r="G2" s="2493"/>
      <c r="H2" s="2493"/>
      <c r="I2" s="2493"/>
      <c r="J2" s="2493"/>
      <c r="K2" s="2493"/>
      <c r="L2" s="2493"/>
      <c r="M2" s="2493"/>
      <c r="N2" s="2493"/>
      <c r="O2" s="2493"/>
      <c r="P2" s="2493"/>
      <c r="Q2" s="2493"/>
      <c r="R2" s="2493"/>
      <c r="S2" s="2493"/>
      <c r="T2" s="2493"/>
      <c r="U2" s="2493"/>
      <c r="V2" s="2493"/>
      <c r="W2" s="2493"/>
      <c r="X2" s="2493"/>
      <c r="Y2" s="2493"/>
      <c r="Z2" s="2493"/>
      <c r="AA2" s="2493"/>
      <c r="AB2" s="2493"/>
      <c r="AC2" s="2493"/>
      <c r="AD2" s="2493"/>
      <c r="AE2" s="2493"/>
      <c r="AF2" s="2493"/>
      <c r="AG2" s="2493"/>
      <c r="AH2" s="2493"/>
      <c r="AI2" s="2493"/>
      <c r="AJ2" s="2493"/>
      <c r="AK2" s="2493"/>
      <c r="AL2" s="2493"/>
      <c r="AM2" s="2493"/>
      <c r="AN2" s="2493"/>
      <c r="AO2" s="2493"/>
      <c r="AP2" s="2493"/>
      <c r="AQ2" s="2493"/>
      <c r="AR2" s="2493"/>
      <c r="AS2" s="2493"/>
      <c r="AT2" s="2493"/>
      <c r="AU2" s="2493"/>
      <c r="AV2" s="2493"/>
      <c r="AW2" s="2493"/>
      <c r="AX2" s="2493"/>
      <c r="AY2" s="2493"/>
      <c r="AZ2" s="2493"/>
      <c r="BA2" s="2493"/>
      <c r="BB2" s="2493"/>
      <c r="BC2" s="2493"/>
      <c r="BD2" s="2493"/>
      <c r="BE2" s="2494"/>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219"/>
    </row>
    <row r="4" spans="1:65" ht="15.75" customHeight="1" thickBot="1">
      <c r="A4" s="980"/>
      <c r="B4" s="982" t="s">
        <v>76</v>
      </c>
      <c r="C4" s="982"/>
      <c r="D4" s="982"/>
      <c r="E4" s="982"/>
      <c r="F4" s="982"/>
      <c r="G4" s="974"/>
      <c r="H4" s="974"/>
      <c r="I4" s="974"/>
      <c r="J4" s="974"/>
      <c r="K4" s="974"/>
      <c r="L4" s="2495" t="str">
        <f>IF(Application!H18="","",Application!H18)</f>
        <v>The Ridge at Ralston</v>
      </c>
      <c r="M4" s="2496"/>
      <c r="N4" s="2496"/>
      <c r="O4" s="2496"/>
      <c r="P4" s="2496"/>
      <c r="Q4" s="2496"/>
      <c r="R4" s="2496"/>
      <c r="S4" s="2496"/>
      <c r="T4" s="2496"/>
      <c r="U4" s="2496"/>
      <c r="V4" s="2496"/>
      <c r="W4" s="2496"/>
      <c r="X4" s="2496"/>
      <c r="Y4" s="2496"/>
      <c r="Z4" s="2496"/>
      <c r="AA4" s="2496"/>
      <c r="AB4" s="2496"/>
      <c r="AC4" s="2497"/>
      <c r="AD4" s="974"/>
      <c r="AE4" s="974"/>
      <c r="AF4" s="2142" t="s">
        <v>2482</v>
      </c>
      <c r="AG4" s="2142"/>
      <c r="AH4" s="2142"/>
      <c r="AI4" s="2142"/>
      <c r="AJ4" s="2142"/>
      <c r="AK4" s="2142"/>
      <c r="AL4" s="2142"/>
      <c r="AM4" s="2142"/>
      <c r="AN4" s="2142"/>
      <c r="AO4" s="2142"/>
      <c r="AP4" s="2143"/>
      <c r="AQ4" s="2144"/>
      <c r="AR4" s="2144"/>
      <c r="AS4" s="2144"/>
      <c r="AT4" s="2144"/>
      <c r="AU4" s="2144"/>
      <c r="AV4" s="974"/>
      <c r="AW4" s="974"/>
      <c r="AX4" s="974"/>
      <c r="AY4" s="974"/>
      <c r="AZ4" s="974"/>
      <c r="BA4" s="974"/>
      <c r="BB4" s="974"/>
      <c r="BC4" s="974"/>
      <c r="BD4" s="974"/>
      <c r="BE4" s="1219"/>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42" t="s">
        <v>2483</v>
      </c>
      <c r="AG5" s="2142"/>
      <c r="AH5" s="2142"/>
      <c r="AI5" s="2142"/>
      <c r="AJ5" s="2142"/>
      <c r="AK5" s="2142"/>
      <c r="AL5" s="2142"/>
      <c r="AM5" s="2142"/>
      <c r="AN5" s="2142"/>
      <c r="AO5" s="2142"/>
      <c r="AP5" s="2143"/>
      <c r="AQ5" s="2144"/>
      <c r="AR5" s="2144"/>
      <c r="AS5" s="2144"/>
      <c r="AT5" s="2144"/>
      <c r="AU5" s="2144"/>
      <c r="AV5" s="974"/>
      <c r="AW5" s="974"/>
      <c r="AX5" s="974"/>
      <c r="AY5" s="974"/>
      <c r="AZ5" s="974"/>
      <c r="BA5" s="974"/>
      <c r="BB5" s="974"/>
      <c r="BC5" s="974"/>
      <c r="BD5" s="974"/>
      <c r="BE5" s="1219"/>
    </row>
    <row r="6" spans="1:65" ht="15.75" customHeight="1" thickBot="1">
      <c r="A6" s="980"/>
      <c r="B6" s="982" t="s">
        <v>2484</v>
      </c>
      <c r="C6" s="974"/>
      <c r="D6" s="974"/>
      <c r="E6" s="974"/>
      <c r="F6" s="974"/>
      <c r="G6" s="974"/>
      <c r="H6" s="974"/>
      <c r="I6" s="974"/>
      <c r="J6" s="974"/>
      <c r="K6" s="974"/>
      <c r="L6" s="2495" t="str">
        <f>IF(Application!H16="","",Application!H16)</f>
        <v>The Ridge at Ralston LP</v>
      </c>
      <c r="M6" s="2496"/>
      <c r="N6" s="2496"/>
      <c r="O6" s="2496"/>
      <c r="P6" s="2496"/>
      <c r="Q6" s="2496"/>
      <c r="R6" s="2496"/>
      <c r="S6" s="2496"/>
      <c r="T6" s="2496"/>
      <c r="U6" s="2496"/>
      <c r="V6" s="2496"/>
      <c r="W6" s="2496"/>
      <c r="X6" s="2496"/>
      <c r="Y6" s="2496"/>
      <c r="Z6" s="2496"/>
      <c r="AA6" s="2496"/>
      <c r="AB6" s="2496"/>
      <c r="AC6" s="2497"/>
      <c r="AD6" s="974"/>
      <c r="AE6" s="974"/>
      <c r="AF6" s="2498" t="s">
        <v>2485</v>
      </c>
      <c r="AG6" s="2498"/>
      <c r="AH6" s="2498"/>
      <c r="AI6" s="2498"/>
      <c r="AJ6" s="2498"/>
      <c r="AK6" s="2498"/>
      <c r="AL6" s="2498"/>
      <c r="AM6" s="2498"/>
      <c r="AN6" s="2498"/>
      <c r="AO6" s="2498"/>
      <c r="AP6" s="2488">
        <v>0</v>
      </c>
      <c r="AQ6" s="2488"/>
      <c r="AR6" s="2488"/>
      <c r="AS6" s="2488"/>
      <c r="AT6" s="2488"/>
      <c r="AU6" s="2488"/>
      <c r="AV6" s="974"/>
      <c r="AW6" s="974"/>
      <c r="AX6" s="974"/>
      <c r="AY6" s="974"/>
      <c r="AZ6" s="974"/>
      <c r="BA6" s="974"/>
      <c r="BB6" s="974"/>
      <c r="BC6" s="974"/>
      <c r="BD6" s="974"/>
      <c r="BE6" s="1219"/>
    </row>
    <row r="7" spans="1:65" ht="16"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498" t="s">
        <v>2486</v>
      </c>
      <c r="AG7" s="2498"/>
      <c r="AH7" s="2498"/>
      <c r="AI7" s="2498"/>
      <c r="AJ7" s="2498"/>
      <c r="AK7" s="2498"/>
      <c r="AL7" s="2498"/>
      <c r="AM7" s="2498"/>
      <c r="AN7" s="2498"/>
      <c r="AO7" s="2498"/>
      <c r="AP7" s="2488">
        <v>0</v>
      </c>
      <c r="AQ7" s="2488"/>
      <c r="AR7" s="2488"/>
      <c r="AS7" s="2488"/>
      <c r="AT7" s="2488"/>
      <c r="AU7" s="2488"/>
      <c r="AV7" s="974"/>
      <c r="AW7" s="974"/>
      <c r="AX7" s="974"/>
      <c r="AY7" s="974"/>
      <c r="AZ7" s="974"/>
      <c r="BA7" s="974"/>
      <c r="BB7" s="974"/>
      <c r="BC7" s="974"/>
      <c r="BD7" s="974"/>
      <c r="BE7" s="1219"/>
    </row>
    <row r="8" spans="1:65" ht="16" thickBot="1">
      <c r="A8" s="980"/>
      <c r="B8" s="982" t="s">
        <v>2487</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499" t="str">
        <f>Application!T197</f>
        <v>No</v>
      </c>
      <c r="AC8" s="2500"/>
      <c r="AD8" s="2501"/>
      <c r="AE8" s="974"/>
      <c r="AF8" s="2498" t="s">
        <v>2488</v>
      </c>
      <c r="AG8" s="2498"/>
      <c r="AH8" s="2498"/>
      <c r="AI8" s="2498"/>
      <c r="AJ8" s="2498"/>
      <c r="AK8" s="2498"/>
      <c r="AL8" s="2498"/>
      <c r="AM8" s="2498"/>
      <c r="AN8" s="2498"/>
      <c r="AO8" s="2498"/>
      <c r="AP8" s="2488" t="s">
        <v>1241</v>
      </c>
      <c r="AQ8" s="2488"/>
      <c r="AR8" s="2488"/>
      <c r="AS8" s="2488"/>
      <c r="AT8" s="2488"/>
      <c r="AU8" s="2488"/>
      <c r="AV8" s="974"/>
      <c r="AW8" s="974"/>
      <c r="AX8" s="974"/>
      <c r="AY8" s="974"/>
      <c r="AZ8" s="974"/>
      <c r="BA8" s="974"/>
      <c r="BB8" s="974"/>
      <c r="BC8" s="974"/>
      <c r="BD8" s="974"/>
      <c r="BE8" s="1219"/>
      <c r="BM8" s="965" t="s">
        <v>2415</v>
      </c>
    </row>
    <row r="9" spans="1:65" ht="15">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42" t="s">
        <v>2489</v>
      </c>
      <c r="AG9" s="2142"/>
      <c r="AH9" s="2142"/>
      <c r="AI9" s="2142"/>
      <c r="AJ9" s="2142"/>
      <c r="AK9" s="2142"/>
      <c r="AL9" s="2142"/>
      <c r="AM9" s="2142"/>
      <c r="AN9" s="2142"/>
      <c r="AO9" s="2142"/>
      <c r="AP9" s="2143"/>
      <c r="AQ9" s="2144"/>
      <c r="AR9" s="2144"/>
      <c r="AS9" s="2144"/>
      <c r="AT9" s="2144"/>
      <c r="AU9" s="2144"/>
      <c r="AV9" s="974"/>
      <c r="AW9" s="974"/>
      <c r="AX9" s="974"/>
      <c r="AY9" s="974"/>
      <c r="AZ9" s="974"/>
      <c r="BA9" s="974"/>
      <c r="BB9" s="974"/>
      <c r="BC9" s="974"/>
      <c r="BD9" s="974"/>
      <c r="BE9" s="1219"/>
      <c r="BM9" s="965" t="s">
        <v>2490</v>
      </c>
    </row>
    <row r="10" spans="1:65" ht="15">
      <c r="A10" s="980"/>
      <c r="B10" s="982" t="s">
        <v>2491</v>
      </c>
      <c r="C10" s="982"/>
      <c r="D10" s="982"/>
      <c r="E10" s="982"/>
      <c r="F10" s="982"/>
      <c r="G10" s="982"/>
      <c r="H10" s="982"/>
      <c r="I10" s="982"/>
      <c r="J10" s="982"/>
      <c r="K10" s="982"/>
      <c r="L10" s="982"/>
      <c r="M10" s="974"/>
      <c r="N10" s="2470">
        <f>Application!AO627</f>
        <v>7197514</v>
      </c>
      <c r="O10" s="2470"/>
      <c r="P10" s="2470"/>
      <c r="Q10" s="2470"/>
      <c r="R10" s="2470"/>
      <c r="S10" s="2470"/>
      <c r="T10" s="2470"/>
      <c r="U10" s="974"/>
      <c r="V10" s="974"/>
      <c r="W10" s="974"/>
      <c r="X10" s="1020"/>
      <c r="Y10" s="1020"/>
      <c r="Z10" s="1020"/>
      <c r="AA10" s="1020"/>
      <c r="AB10" s="1020"/>
      <c r="AC10" s="1020"/>
      <c r="AD10" s="1020"/>
      <c r="AE10" s="1020"/>
      <c r="AF10" s="2142" t="s">
        <v>2492</v>
      </c>
      <c r="AG10" s="2142"/>
      <c r="AH10" s="2142"/>
      <c r="AI10" s="2142"/>
      <c r="AJ10" s="2142"/>
      <c r="AK10" s="2142"/>
      <c r="AL10" s="2142"/>
      <c r="AM10" s="2142"/>
      <c r="AN10" s="2142"/>
      <c r="AO10" s="2142"/>
      <c r="AP10" s="2143"/>
      <c r="AQ10" s="2144"/>
      <c r="AR10" s="2144"/>
      <c r="AS10" s="2144"/>
      <c r="AT10" s="2144"/>
      <c r="AU10" s="2144"/>
      <c r="AV10" s="1020"/>
      <c r="AW10" s="1020"/>
      <c r="AX10" s="974"/>
      <c r="AY10" s="974"/>
      <c r="AZ10" s="974"/>
      <c r="BA10" s="974"/>
      <c r="BB10" s="974"/>
      <c r="BC10" s="974"/>
      <c r="BD10" s="974"/>
      <c r="BE10" s="1219"/>
      <c r="BM10" s="965" t="s">
        <v>2493</v>
      </c>
    </row>
    <row r="11" spans="1:65" ht="15">
      <c r="A11" s="980"/>
      <c r="B11" s="982" t="s">
        <v>2494</v>
      </c>
      <c r="C11" s="982"/>
      <c r="D11" s="982"/>
      <c r="E11" s="982"/>
      <c r="F11" s="982"/>
      <c r="G11" s="982"/>
      <c r="H11" s="982"/>
      <c r="I11" s="982"/>
      <c r="J11" s="982"/>
      <c r="K11" s="982"/>
      <c r="L11" s="982"/>
      <c r="M11" s="974"/>
      <c r="N11" s="2470">
        <f>Application!AA933</f>
        <v>0</v>
      </c>
      <c r="O11" s="2470"/>
      <c r="P11" s="2470"/>
      <c r="Q11" s="2470"/>
      <c r="R11" s="2470"/>
      <c r="S11" s="2470"/>
      <c r="T11" s="2470"/>
      <c r="U11" s="974"/>
      <c r="V11" s="974"/>
      <c r="W11" s="974"/>
      <c r="X11" s="1020"/>
      <c r="Y11" s="1020"/>
      <c r="Z11" s="1020"/>
      <c r="AA11" s="1020"/>
      <c r="AB11" s="1020"/>
      <c r="AC11" s="1020"/>
      <c r="AD11" s="1020"/>
      <c r="AE11" s="1020"/>
      <c r="AF11" s="2142" t="s">
        <v>2495</v>
      </c>
      <c r="AG11" s="2142"/>
      <c r="AH11" s="2142"/>
      <c r="AI11" s="2142"/>
      <c r="AJ11" s="2142"/>
      <c r="AK11" s="2142"/>
      <c r="AL11" s="2142"/>
      <c r="AM11" s="2142"/>
      <c r="AN11" s="2142"/>
      <c r="AO11" s="2142"/>
      <c r="AP11" s="2143"/>
      <c r="AQ11" s="2144"/>
      <c r="AR11" s="2144"/>
      <c r="AS11" s="2144"/>
      <c r="AT11" s="2144"/>
      <c r="AU11" s="2144"/>
      <c r="AV11" s="1020"/>
      <c r="AW11" s="1020"/>
      <c r="AX11" s="974"/>
      <c r="AY11" s="974"/>
      <c r="AZ11" s="974"/>
      <c r="BA11" s="974"/>
      <c r="BB11" s="974"/>
      <c r="BC11" s="974"/>
      <c r="BD11" s="974"/>
      <c r="BE11" s="1219"/>
      <c r="BM11" s="965" t="s">
        <v>1241</v>
      </c>
    </row>
    <row r="12" spans="1:65" ht="16"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2496</v>
      </c>
    </row>
    <row r="13" spans="1:65" ht="16" thickBot="1">
      <c r="A13" s="974"/>
      <c r="B13" s="2477" t="s">
        <v>2497</v>
      </c>
      <c r="C13" s="2478"/>
      <c r="D13" s="2478"/>
      <c r="E13" s="2478"/>
      <c r="F13" s="2478"/>
      <c r="G13" s="2478"/>
      <c r="H13" s="2478"/>
      <c r="I13" s="2478"/>
      <c r="J13" s="2478"/>
      <c r="K13" s="2478"/>
      <c r="L13" s="2478"/>
      <c r="M13" s="2478"/>
      <c r="N13" s="2478"/>
      <c r="O13" s="2478"/>
      <c r="P13" s="2479"/>
      <c r="Q13" s="2480" t="s">
        <v>893</v>
      </c>
      <c r="R13" s="2481"/>
      <c r="S13" s="2481"/>
      <c r="T13" s="2482"/>
      <c r="U13" s="1020"/>
      <c r="V13" s="974"/>
      <c r="W13" s="974"/>
      <c r="X13" s="974"/>
      <c r="Y13" s="974"/>
      <c r="Z13" s="974"/>
      <c r="AA13" s="2471" t="s">
        <v>2498</v>
      </c>
      <c r="AB13" s="2471"/>
      <c r="AC13" s="2471"/>
      <c r="AD13" s="2471"/>
      <c r="AE13" s="2471"/>
      <c r="AF13" s="2471"/>
      <c r="AG13" s="2471"/>
      <c r="AH13" s="2471"/>
      <c r="AI13" s="2471"/>
      <c r="AJ13" s="2471"/>
      <c r="AK13" s="2471"/>
      <c r="AL13" s="2471"/>
      <c r="AM13" s="2471"/>
      <c r="AN13" s="2471"/>
      <c r="AO13" s="2472">
        <f>Application!W473</f>
        <v>0</v>
      </c>
      <c r="AP13" s="2473"/>
      <c r="AQ13" s="2473"/>
      <c r="AR13" s="2473"/>
      <c r="AS13" s="2473"/>
      <c r="AT13" s="1020"/>
      <c r="AU13" s="1020"/>
      <c r="AV13" s="1020"/>
      <c r="AW13" s="1020"/>
      <c r="AX13" s="1020"/>
      <c r="AY13" s="1020"/>
      <c r="AZ13" s="1020"/>
      <c r="BA13" s="1020"/>
      <c r="BB13" s="1020"/>
      <c r="BC13" s="1020"/>
      <c r="BD13" s="1020"/>
      <c r="BE13" s="970"/>
      <c r="BM13" s="965" t="s">
        <v>2499</v>
      </c>
    </row>
    <row r="14" spans="1:65" ht="16"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474" t="s">
        <v>2500</v>
      </c>
      <c r="AB14" s="2474"/>
      <c r="AC14" s="2474"/>
      <c r="AD14" s="2474"/>
      <c r="AE14" s="2474"/>
      <c r="AF14" s="2474"/>
      <c r="AG14" s="2474"/>
      <c r="AH14" s="2474"/>
      <c r="AI14" s="2474"/>
      <c r="AJ14" s="2474"/>
      <c r="AK14" s="2474"/>
      <c r="AL14" s="2474"/>
      <c r="AM14" s="2474"/>
      <c r="AN14" s="2474"/>
      <c r="AO14" s="2475"/>
      <c r="AP14" s="2476"/>
      <c r="AQ14" s="2476"/>
      <c r="AR14" s="2476"/>
      <c r="AS14" s="2476"/>
      <c r="AT14" s="1020"/>
      <c r="AU14" s="1020"/>
      <c r="AV14" s="1020"/>
      <c r="AW14" s="1020"/>
      <c r="AX14" s="1020"/>
      <c r="AY14" s="1020"/>
      <c r="AZ14" s="1020"/>
      <c r="BA14" s="1020"/>
      <c r="BB14" s="1020"/>
      <c r="BC14" s="1020"/>
      <c r="BD14" s="1020"/>
      <c r="BE14" s="970"/>
    </row>
    <row r="15" spans="1:65" ht="16" thickBot="1">
      <c r="A15" s="974"/>
      <c r="B15" s="2483" t="s">
        <v>2501</v>
      </c>
      <c r="C15" s="2484"/>
      <c r="D15" s="2484"/>
      <c r="E15" s="2484"/>
      <c r="F15" s="2484"/>
      <c r="G15" s="2484"/>
      <c r="H15" s="2484"/>
      <c r="I15" s="2484"/>
      <c r="J15" s="2484"/>
      <c r="K15" s="2484"/>
      <c r="L15" s="2484"/>
      <c r="M15" s="2484"/>
      <c r="N15" s="2484"/>
      <c r="O15" s="2484"/>
      <c r="P15" s="2484"/>
      <c r="Q15" s="2484"/>
      <c r="R15" s="2485"/>
      <c r="S15" s="2486" t="str">
        <f>IF(Application!AB214="","",Application!AB214)</f>
        <v/>
      </c>
      <c r="T15" s="2486"/>
      <c r="U15" s="2486"/>
      <c r="V15" s="2486"/>
      <c r="W15" s="2487"/>
      <c r="X15" s="1020"/>
      <c r="Y15" s="974"/>
      <c r="Z15" s="974"/>
      <c r="AA15" s="2471" t="s">
        <v>2502</v>
      </c>
      <c r="AB15" s="2471"/>
      <c r="AC15" s="2471"/>
      <c r="AD15" s="2471"/>
      <c r="AE15" s="2471"/>
      <c r="AF15" s="2471"/>
      <c r="AG15" s="2471"/>
      <c r="AH15" s="2471"/>
      <c r="AI15" s="2471"/>
      <c r="AJ15" s="2471"/>
      <c r="AK15" s="2471"/>
      <c r="AL15" s="2471"/>
      <c r="AM15" s="2471"/>
      <c r="AN15" s="2471"/>
      <c r="AO15" s="2475"/>
      <c r="AP15" s="2476"/>
      <c r="AQ15" s="2476"/>
      <c r="AR15" s="2476"/>
      <c r="AS15" s="2476"/>
      <c r="AT15" s="1020"/>
      <c r="AU15" s="1020"/>
      <c r="AV15" s="1020"/>
      <c r="AW15" s="1020"/>
      <c r="AX15" s="1020"/>
      <c r="AY15" s="1020"/>
      <c r="AZ15" s="1020"/>
      <c r="BA15" s="1020"/>
      <c r="BB15" s="1020"/>
      <c r="BC15" s="1020"/>
      <c r="BD15" s="1020"/>
      <c r="BE15" s="970"/>
    </row>
    <row r="16" spans="1:65" ht="16"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5">
      <c r="A17" s="974"/>
      <c r="B17" s="2351" t="s">
        <v>2503</v>
      </c>
      <c r="C17" s="2352"/>
      <c r="D17" s="2352"/>
      <c r="E17" s="2352"/>
      <c r="F17" s="2352"/>
      <c r="G17" s="2352"/>
      <c r="H17" s="2352"/>
      <c r="I17" s="2352"/>
      <c r="J17" s="2352"/>
      <c r="K17" s="2352"/>
      <c r="L17" s="2352"/>
      <c r="M17" s="2352"/>
      <c r="N17" s="2352"/>
      <c r="O17" s="2352"/>
      <c r="P17" s="2352"/>
      <c r="Q17" s="2352"/>
      <c r="R17" s="2352"/>
      <c r="S17" s="2352"/>
      <c r="T17" s="2352"/>
      <c r="U17" s="2352"/>
      <c r="V17" s="2352"/>
      <c r="W17" s="2352"/>
      <c r="X17" s="2352"/>
      <c r="Y17" s="2352"/>
      <c r="Z17" s="2352"/>
      <c r="AA17" s="2352"/>
      <c r="AB17" s="2352"/>
      <c r="AC17" s="2352"/>
      <c r="AD17" s="2352"/>
      <c r="AE17" s="2352"/>
      <c r="AF17" s="2352"/>
      <c r="AG17" s="2352"/>
      <c r="AH17" s="2352"/>
      <c r="AI17" s="2352"/>
      <c r="AJ17" s="2352"/>
      <c r="AK17" s="2352"/>
      <c r="AL17" s="2352"/>
      <c r="AM17" s="2352"/>
      <c r="AN17" s="2352"/>
      <c r="AO17" s="2352"/>
      <c r="AP17" s="2352"/>
      <c r="AQ17" s="2352"/>
      <c r="AR17" s="2352"/>
      <c r="AS17" s="2352"/>
      <c r="AT17" s="2352"/>
      <c r="AU17" s="2352"/>
      <c r="AV17" s="2352"/>
      <c r="AW17" s="2352"/>
      <c r="AX17" s="2352"/>
      <c r="AY17" s="2353"/>
      <c r="AZ17" s="974"/>
      <c r="BA17" s="974"/>
      <c r="BB17" s="974"/>
      <c r="BC17" s="974"/>
      <c r="BD17" s="974"/>
      <c r="BE17" s="970"/>
      <c r="BF17" s="966"/>
    </row>
    <row r="18" spans="1:58" ht="15.75" customHeight="1">
      <c r="A18" s="974"/>
      <c r="B18" s="2463" t="s">
        <v>2504</v>
      </c>
      <c r="C18" s="2464"/>
      <c r="D18" s="2464"/>
      <c r="E18" s="2464"/>
      <c r="F18" s="2464"/>
      <c r="G18" s="2464"/>
      <c r="H18" s="2464"/>
      <c r="I18" s="2465"/>
      <c r="J18" s="2466" t="s">
        <v>2433</v>
      </c>
      <c r="K18" s="2467"/>
      <c r="L18" s="2467"/>
      <c r="M18" s="2467"/>
      <c r="N18" s="2467"/>
      <c r="O18" s="2468"/>
      <c r="P18" s="2466" t="s">
        <v>1374</v>
      </c>
      <c r="Q18" s="2467"/>
      <c r="R18" s="2467"/>
      <c r="S18" s="2467"/>
      <c r="T18" s="2467"/>
      <c r="U18" s="2468"/>
      <c r="V18" s="2466" t="s">
        <v>1375</v>
      </c>
      <c r="W18" s="2467"/>
      <c r="X18" s="2467"/>
      <c r="Y18" s="2467"/>
      <c r="Z18" s="2467"/>
      <c r="AA18" s="2468"/>
      <c r="AB18" s="2466" t="s">
        <v>1376</v>
      </c>
      <c r="AC18" s="2467"/>
      <c r="AD18" s="2467"/>
      <c r="AE18" s="2467"/>
      <c r="AF18" s="2467"/>
      <c r="AG18" s="2468"/>
      <c r="AH18" s="2466" t="s">
        <v>1377</v>
      </c>
      <c r="AI18" s="2467"/>
      <c r="AJ18" s="2467"/>
      <c r="AK18" s="2467"/>
      <c r="AL18" s="2467"/>
      <c r="AM18" s="2468"/>
      <c r="AN18" s="2466" t="s">
        <v>1378</v>
      </c>
      <c r="AO18" s="2467"/>
      <c r="AP18" s="2467"/>
      <c r="AQ18" s="2467"/>
      <c r="AR18" s="2467"/>
      <c r="AS18" s="2468"/>
      <c r="AT18" s="2466" t="s">
        <v>2505</v>
      </c>
      <c r="AU18" s="2467"/>
      <c r="AV18" s="2467"/>
      <c r="AW18" s="2467"/>
      <c r="AX18" s="2467"/>
      <c r="AY18" s="2469"/>
      <c r="AZ18" s="974"/>
      <c r="BA18" s="974"/>
      <c r="BB18" s="974"/>
      <c r="BC18" s="974"/>
      <c r="BD18" s="974"/>
      <c r="BE18" s="970"/>
    </row>
    <row r="19" spans="1:58" ht="15">
      <c r="A19" s="974"/>
      <c r="B19" s="2440">
        <v>0.3</v>
      </c>
      <c r="C19" s="2441"/>
      <c r="D19" s="2441"/>
      <c r="E19" s="2441"/>
      <c r="F19" s="2441"/>
      <c r="G19" s="2441"/>
      <c r="H19" s="2441"/>
      <c r="I19" s="2442"/>
      <c r="J19" s="2443">
        <f t="shared" ref="J19:J28" si="0">SUM(P19:AS19)</f>
        <v>17</v>
      </c>
      <c r="K19" s="2444"/>
      <c r="L19" s="2444"/>
      <c r="M19" s="2444"/>
      <c r="N19" s="2444"/>
      <c r="O19" s="2445"/>
      <c r="P19" s="2443" cm="1">
        <f t="array" ref="P19">SUMPRODUCT((Application!$B$718:$B$752 = 'CalHFA Addendum'!P$18)*(Application!$AC$718:$AC$752 = 'CalHFA Addendum'!$B19),Application!$G$718:$G$752)</f>
        <v>0</v>
      </c>
      <c r="Q19" s="2444"/>
      <c r="R19" s="2444"/>
      <c r="S19" s="2444"/>
      <c r="T19" s="2444"/>
      <c r="U19" s="2445"/>
      <c r="V19" s="2443" cm="1">
        <f t="array" ref="V19">SUMPRODUCT((Application!$B$714:$B$738 = 'CalHFA Addendum'!V$18)*(Application!$AC$714:$AC$738 = 'CalHFA Addendum'!$B19),Application!$G$714:$G$738)</f>
        <v>11</v>
      </c>
      <c r="W19" s="2444"/>
      <c r="X19" s="2444"/>
      <c r="Y19" s="2444"/>
      <c r="Z19" s="2444"/>
      <c r="AA19" s="2445"/>
      <c r="AB19" s="2443" cm="1">
        <f t="array" ref="AB19">SUMPRODUCT((Application!$B$714:$B$738 = 'CalHFA Addendum'!AB$18)*(Application!$AC$714:$AC$738 = 'CalHFA Addendum'!$B19),Application!$G$714:$G$738)</f>
        <v>3</v>
      </c>
      <c r="AC19" s="2444"/>
      <c r="AD19" s="2444"/>
      <c r="AE19" s="2444"/>
      <c r="AF19" s="2444"/>
      <c r="AG19" s="2445"/>
      <c r="AH19" s="2443" cm="1">
        <f t="array" ref="AH19">SUMPRODUCT((Application!$B$714:$B$738 = 'CalHFA Addendum'!AH$18)*(Application!$AC$714:$AC$738 = 'CalHFA Addendum'!$B19),Application!$G$714:$G$738)</f>
        <v>3</v>
      </c>
      <c r="AI19" s="2444"/>
      <c r="AJ19" s="2444"/>
      <c r="AK19" s="2444"/>
      <c r="AL19" s="2444"/>
      <c r="AM19" s="2445"/>
      <c r="AN19" s="2443" cm="1">
        <f t="array" ref="AN19">SUMPRODUCT((Application!$B$714:$B$738 = 'CalHFA Addendum'!AN$18)*(Application!$AC$714:$AC$738 = 'CalHFA Addendum'!$B19),Application!$G$714:$G$738)</f>
        <v>0</v>
      </c>
      <c r="AO19" s="2444"/>
      <c r="AP19" s="2444"/>
      <c r="AQ19" s="2444"/>
      <c r="AR19" s="2444"/>
      <c r="AS19" s="2445"/>
      <c r="AT19" s="2446">
        <f t="shared" ref="AT19:AT29" si="1">J19/$J$29</f>
        <v>0.265625</v>
      </c>
      <c r="AU19" s="2447"/>
      <c r="AV19" s="2447"/>
      <c r="AW19" s="2447"/>
      <c r="AX19" s="2447"/>
      <c r="AY19" s="2448"/>
      <c r="AZ19" s="984"/>
      <c r="BA19" s="974"/>
      <c r="BB19" s="974"/>
      <c r="BC19" s="974"/>
      <c r="BD19" s="974"/>
      <c r="BE19" s="970"/>
    </row>
    <row r="20" spans="1:58" ht="15" customHeight="1">
      <c r="A20" s="974"/>
      <c r="B20" s="2440">
        <v>0.4</v>
      </c>
      <c r="C20" s="2441"/>
      <c r="D20" s="2441"/>
      <c r="E20" s="2441"/>
      <c r="F20" s="2441"/>
      <c r="G20" s="2441"/>
      <c r="H20" s="2441"/>
      <c r="I20" s="2442"/>
      <c r="J20" s="2443">
        <f t="shared" si="0"/>
        <v>0</v>
      </c>
      <c r="K20" s="2444"/>
      <c r="L20" s="2444"/>
      <c r="M20" s="2444"/>
      <c r="N20" s="2444"/>
      <c r="O20" s="2445"/>
      <c r="P20" s="2443" cm="1">
        <f t="array" ref="P20">SUMPRODUCT((Application!$B$718:$B$752 = 'CalHFA Addendum'!P$18)*(Application!$AC$718:$AC$752 = 'CalHFA Addendum'!$B20),Application!$G$718:$G$752)</f>
        <v>0</v>
      </c>
      <c r="Q20" s="2444"/>
      <c r="R20" s="2444"/>
      <c r="S20" s="2444"/>
      <c r="T20" s="2444"/>
      <c r="U20" s="2445"/>
      <c r="V20" s="2443" cm="1">
        <f t="array" ref="V20">SUMPRODUCT((Application!$B$714:$B$738 = 'CalHFA Addendum'!V$18)*(Application!$AC$714:$AC$738 = 'CalHFA Addendum'!$B20),Application!$G$714:$G$738)</f>
        <v>0</v>
      </c>
      <c r="W20" s="2444"/>
      <c r="X20" s="2444"/>
      <c r="Y20" s="2444"/>
      <c r="Z20" s="2444"/>
      <c r="AA20" s="2445"/>
      <c r="AB20" s="2443" cm="1">
        <f t="array" ref="AB20">SUMPRODUCT((Application!$B$714:$B$738 = 'CalHFA Addendum'!AB$18)*(Application!$AC$714:$AC$738 = 'CalHFA Addendum'!$B20),Application!$G$714:$G$738)</f>
        <v>0</v>
      </c>
      <c r="AC20" s="2444"/>
      <c r="AD20" s="2444"/>
      <c r="AE20" s="2444"/>
      <c r="AF20" s="2444"/>
      <c r="AG20" s="2445"/>
      <c r="AH20" s="2443" cm="1">
        <f t="array" ref="AH20">SUMPRODUCT((Application!$B$714:$B$738 = 'CalHFA Addendum'!AH$18)*(Application!$AC$714:$AC$738 = 'CalHFA Addendum'!$B20),Application!$G$714:$G$738)</f>
        <v>0</v>
      </c>
      <c r="AI20" s="2444"/>
      <c r="AJ20" s="2444"/>
      <c r="AK20" s="2444"/>
      <c r="AL20" s="2444"/>
      <c r="AM20" s="2445"/>
      <c r="AN20" s="2443" cm="1">
        <f t="array" ref="AN20">SUMPRODUCT((Application!$B$714:$B$738 = 'CalHFA Addendum'!AN$18)*(Application!$AC$714:$AC$738 = 'CalHFA Addendum'!$B20),Application!$G$714:$G$738)</f>
        <v>0</v>
      </c>
      <c r="AO20" s="2444"/>
      <c r="AP20" s="2444"/>
      <c r="AQ20" s="2444"/>
      <c r="AR20" s="2444"/>
      <c r="AS20" s="2445"/>
      <c r="AT20" s="2446">
        <f t="shared" si="1"/>
        <v>0</v>
      </c>
      <c r="AU20" s="2447"/>
      <c r="AV20" s="2447"/>
      <c r="AW20" s="2447"/>
      <c r="AX20" s="2447"/>
      <c r="AY20" s="2448"/>
      <c r="AZ20" s="974"/>
      <c r="BA20" s="974"/>
      <c r="BB20" s="974"/>
      <c r="BC20" s="974"/>
      <c r="BD20" s="974"/>
      <c r="BE20" s="970"/>
    </row>
    <row r="21" spans="1:58" ht="15">
      <c r="A21" s="974"/>
      <c r="B21" s="2440">
        <v>0.5</v>
      </c>
      <c r="C21" s="2441"/>
      <c r="D21" s="2441"/>
      <c r="E21" s="2441"/>
      <c r="F21" s="2441"/>
      <c r="G21" s="2441"/>
      <c r="H21" s="2441"/>
      <c r="I21" s="2442"/>
      <c r="J21" s="2443">
        <f t="shared" si="0"/>
        <v>35</v>
      </c>
      <c r="K21" s="2444"/>
      <c r="L21" s="2444"/>
      <c r="M21" s="2444"/>
      <c r="N21" s="2444"/>
      <c r="O21" s="2445"/>
      <c r="P21" s="2443" cm="1">
        <f t="array" ref="P21">SUMPRODUCT((Application!$B$714:$B$738 = 'CalHFA Addendum'!P$18)*(Application!$AC$714:$AC$738 = 'CalHFA Addendum'!$B21),Application!$G$714:$G$738)</f>
        <v>0</v>
      </c>
      <c r="Q21" s="2444"/>
      <c r="R21" s="2444"/>
      <c r="S21" s="2444"/>
      <c r="T21" s="2444"/>
      <c r="U21" s="2445"/>
      <c r="V21" s="2443" cm="1">
        <f t="array" ref="V21">SUMPRODUCT((Application!$B$714:$B$738 = 'CalHFA Addendum'!V$18)*(Application!$AC$714:$AC$738 = 'CalHFA Addendum'!$B21),Application!$G$714:$G$738)</f>
        <v>15</v>
      </c>
      <c r="W21" s="2444"/>
      <c r="X21" s="2444"/>
      <c r="Y21" s="2444"/>
      <c r="Z21" s="2444"/>
      <c r="AA21" s="2445"/>
      <c r="AB21" s="2443" cm="1">
        <f t="array" ref="AB21">SUMPRODUCT((Application!$B$714:$B$738 = 'CalHFA Addendum'!AB$18)*(Application!$AC$714:$AC$738 = 'CalHFA Addendum'!$B21),Application!$G$714:$G$738)</f>
        <v>11</v>
      </c>
      <c r="AC21" s="2444"/>
      <c r="AD21" s="2444"/>
      <c r="AE21" s="2444"/>
      <c r="AF21" s="2444"/>
      <c r="AG21" s="2445"/>
      <c r="AH21" s="2443" cm="1">
        <f t="array" ref="AH21">SUMPRODUCT((Application!$B$714:$B$738 = 'CalHFA Addendum'!AH$18)*(Application!$AC$714:$AC$738 = 'CalHFA Addendum'!$B21),Application!$G$714:$G$738)</f>
        <v>9</v>
      </c>
      <c r="AI21" s="2444"/>
      <c r="AJ21" s="2444"/>
      <c r="AK21" s="2444"/>
      <c r="AL21" s="2444"/>
      <c r="AM21" s="2445"/>
      <c r="AN21" s="2443" cm="1">
        <f t="array" ref="AN21">SUMPRODUCT((Application!$B$714:$B$738 = 'CalHFA Addendum'!AN$18)*(Application!$AC$714:$AC$738 = 'CalHFA Addendum'!$B21),Application!$G$714:$G$738)</f>
        <v>0</v>
      </c>
      <c r="AO21" s="2444"/>
      <c r="AP21" s="2444"/>
      <c r="AQ21" s="2444"/>
      <c r="AR21" s="2444"/>
      <c r="AS21" s="2445"/>
      <c r="AT21" s="2446">
        <f t="shared" si="1"/>
        <v>0.546875</v>
      </c>
      <c r="AU21" s="2447"/>
      <c r="AV21" s="2447"/>
      <c r="AW21" s="2447"/>
      <c r="AX21" s="2447"/>
      <c r="AY21" s="2448"/>
      <c r="AZ21" s="974"/>
      <c r="BA21" s="974"/>
      <c r="BB21" s="974"/>
      <c r="BC21" s="974"/>
      <c r="BD21" s="974"/>
      <c r="BE21" s="970"/>
    </row>
    <row r="22" spans="1:58" ht="15">
      <c r="A22" s="974"/>
      <c r="B22" s="2440">
        <v>0.6</v>
      </c>
      <c r="C22" s="2441"/>
      <c r="D22" s="2441"/>
      <c r="E22" s="2441"/>
      <c r="F22" s="2441"/>
      <c r="G22" s="2441"/>
      <c r="H22" s="2441"/>
      <c r="I22" s="2442"/>
      <c r="J22" s="2443">
        <f t="shared" si="0"/>
        <v>0</v>
      </c>
      <c r="K22" s="2444"/>
      <c r="L22" s="2444"/>
      <c r="M22" s="2444"/>
      <c r="N22" s="2444"/>
      <c r="O22" s="2445"/>
      <c r="P22" s="2443" cm="1">
        <f t="array" ref="P22">SUMPRODUCT((Application!$B$714:$B$738 = 'CalHFA Addendum'!P$18)*(Application!$AC$714:$AC$738 = 'CalHFA Addendum'!$B22),Application!$G$714:$G$738)</f>
        <v>0</v>
      </c>
      <c r="Q22" s="2444"/>
      <c r="R22" s="2444"/>
      <c r="S22" s="2444"/>
      <c r="T22" s="2444"/>
      <c r="U22" s="2445"/>
      <c r="V22" s="2443" cm="1">
        <f t="array" ref="V22">SUMPRODUCT((Application!$B$714:$B$738 = 'CalHFA Addendum'!V$18)*(Application!$AC$714:$AC$738 = 'CalHFA Addendum'!$B22),Application!$G$714:$G$738)</f>
        <v>0</v>
      </c>
      <c r="W22" s="2444"/>
      <c r="X22" s="2444"/>
      <c r="Y22" s="2444"/>
      <c r="Z22" s="2444"/>
      <c r="AA22" s="2445"/>
      <c r="AB22" s="2443" cm="1">
        <f t="array" ref="AB22">SUMPRODUCT((Application!$B$714:$B$738 = 'CalHFA Addendum'!AB$18)*(Application!$AC$714:$AC$738 = 'CalHFA Addendum'!$B22),Application!$G$714:$G$738)</f>
        <v>0</v>
      </c>
      <c r="AC22" s="2444"/>
      <c r="AD22" s="2444"/>
      <c r="AE22" s="2444"/>
      <c r="AF22" s="2444"/>
      <c r="AG22" s="2445"/>
      <c r="AH22" s="2443" cm="1">
        <f t="array" ref="AH22">SUMPRODUCT((Application!$B$714:$B$738 = 'CalHFA Addendum'!AH$18)*(Application!$AC$714:$AC$738 = 'CalHFA Addendum'!$B22),Application!$G$714:$G$738)</f>
        <v>0</v>
      </c>
      <c r="AI22" s="2444"/>
      <c r="AJ22" s="2444"/>
      <c r="AK22" s="2444"/>
      <c r="AL22" s="2444"/>
      <c r="AM22" s="2445"/>
      <c r="AN22" s="2443" cm="1">
        <f t="array" ref="AN22">SUMPRODUCT((Application!$B$714:$B$738 = 'CalHFA Addendum'!AN$18)*(Application!$AC$714:$AC$738 = 'CalHFA Addendum'!$B22),Application!$G$714:$G$738)</f>
        <v>0</v>
      </c>
      <c r="AO22" s="2444"/>
      <c r="AP22" s="2444"/>
      <c r="AQ22" s="2444"/>
      <c r="AR22" s="2444"/>
      <c r="AS22" s="2445"/>
      <c r="AT22" s="2446">
        <f t="shared" si="1"/>
        <v>0</v>
      </c>
      <c r="AU22" s="2447"/>
      <c r="AV22" s="2447"/>
      <c r="AW22" s="2447"/>
      <c r="AX22" s="2447"/>
      <c r="AY22" s="2448"/>
      <c r="AZ22" s="974"/>
      <c r="BA22" s="974"/>
      <c r="BB22" s="974"/>
      <c r="BC22" s="974"/>
      <c r="BD22" s="974"/>
      <c r="BE22" s="970"/>
    </row>
    <row r="23" spans="1:58" ht="15">
      <c r="A23" s="974"/>
      <c r="B23" s="2440">
        <v>0.7</v>
      </c>
      <c r="C23" s="2441"/>
      <c r="D23" s="2441"/>
      <c r="E23" s="2441"/>
      <c r="F23" s="2441"/>
      <c r="G23" s="2441"/>
      <c r="H23" s="2441"/>
      <c r="I23" s="2442"/>
      <c r="J23" s="2443">
        <f t="shared" si="0"/>
        <v>12</v>
      </c>
      <c r="K23" s="2444"/>
      <c r="L23" s="2444"/>
      <c r="M23" s="2444"/>
      <c r="N23" s="2444"/>
      <c r="O23" s="2445"/>
      <c r="P23" s="2443" cm="1">
        <f t="array" ref="P23">SUMPRODUCT((Application!$B$714:$B$738 = 'CalHFA Addendum'!P$18)*(Application!$AC$714:$AC$738 = 'CalHFA Addendum'!$B23),Application!$G$714:$G$738)</f>
        <v>0</v>
      </c>
      <c r="Q23" s="2444"/>
      <c r="R23" s="2444"/>
      <c r="S23" s="2444"/>
      <c r="T23" s="2444"/>
      <c r="U23" s="2445"/>
      <c r="V23" s="2443" cm="1">
        <f t="array" ref="V23">SUMPRODUCT((Application!$B$714:$B$738 = 'CalHFA Addendum'!V$18)*(Application!$AC$714:$AC$738 = 'CalHFA Addendum'!$B23),Application!$G$714:$G$738)</f>
        <v>4</v>
      </c>
      <c r="W23" s="2444"/>
      <c r="X23" s="2444"/>
      <c r="Y23" s="2444"/>
      <c r="Z23" s="2444"/>
      <c r="AA23" s="2445"/>
      <c r="AB23" s="2443" cm="1">
        <f t="array" ref="AB23">SUMPRODUCT((Application!$B$714:$B$738 = 'CalHFA Addendum'!AB$18)*(Application!$AC$714:$AC$738 = 'CalHFA Addendum'!$B23),Application!$G$714:$G$738)</f>
        <v>4</v>
      </c>
      <c r="AC23" s="2444"/>
      <c r="AD23" s="2444"/>
      <c r="AE23" s="2444"/>
      <c r="AF23" s="2444"/>
      <c r="AG23" s="2445"/>
      <c r="AH23" s="2443" cm="1">
        <f t="array" ref="AH23">SUMPRODUCT((Application!$B$714:$B$738 = 'CalHFA Addendum'!AH$18)*(Application!$AC$714:$AC$738 = 'CalHFA Addendum'!$B23),Application!$G$714:$G$738)</f>
        <v>4</v>
      </c>
      <c r="AI23" s="2444"/>
      <c r="AJ23" s="2444"/>
      <c r="AK23" s="2444"/>
      <c r="AL23" s="2444"/>
      <c r="AM23" s="2445"/>
      <c r="AN23" s="2443" cm="1">
        <f t="array" ref="AN23">SUMPRODUCT((Application!$B$714:$B$738 = 'CalHFA Addendum'!AN$18)*(Application!$AC$714:$AC$738 = 'CalHFA Addendum'!$B23),Application!$G$714:$G$738)</f>
        <v>0</v>
      </c>
      <c r="AO23" s="2444"/>
      <c r="AP23" s="2444"/>
      <c r="AQ23" s="2444"/>
      <c r="AR23" s="2444"/>
      <c r="AS23" s="2445"/>
      <c r="AT23" s="2446">
        <f t="shared" si="1"/>
        <v>0.1875</v>
      </c>
      <c r="AU23" s="2447"/>
      <c r="AV23" s="2447"/>
      <c r="AW23" s="2447"/>
      <c r="AX23" s="2447"/>
      <c r="AY23" s="2448"/>
      <c r="AZ23" s="974"/>
      <c r="BA23" s="974"/>
      <c r="BB23" s="974"/>
      <c r="BC23" s="974"/>
      <c r="BD23" s="974"/>
      <c r="BE23" s="970"/>
    </row>
    <row r="24" spans="1:58" ht="15">
      <c r="A24" s="974"/>
      <c r="B24" s="2440">
        <v>0.8</v>
      </c>
      <c r="C24" s="2441"/>
      <c r="D24" s="2441"/>
      <c r="E24" s="2441"/>
      <c r="F24" s="2441"/>
      <c r="G24" s="2441"/>
      <c r="H24" s="2441"/>
      <c r="I24" s="2442"/>
      <c r="J24" s="2443">
        <f t="shared" si="0"/>
        <v>0</v>
      </c>
      <c r="K24" s="2444"/>
      <c r="L24" s="2444"/>
      <c r="M24" s="2444"/>
      <c r="N24" s="2444"/>
      <c r="O24" s="2445"/>
      <c r="P24" s="2443" cm="1">
        <f t="array" ref="P24">SUMPRODUCT((Application!$B$714:$B$738 = 'CalHFA Addendum'!P$18)*(Application!$AC$714:$AC$738 = 'CalHFA Addendum'!$B24),Application!$G$714:$G$738)</f>
        <v>0</v>
      </c>
      <c r="Q24" s="2444"/>
      <c r="R24" s="2444"/>
      <c r="S24" s="2444"/>
      <c r="T24" s="2444"/>
      <c r="U24" s="2445"/>
      <c r="V24" s="2443" cm="1">
        <f t="array" ref="V24">SUMPRODUCT((Application!$B$714:$B$738 = 'CalHFA Addendum'!V$18)*(Application!$AC$714:$AC$738 = 'CalHFA Addendum'!$B24),Application!$G$714:$G$738)</f>
        <v>0</v>
      </c>
      <c r="W24" s="2444"/>
      <c r="X24" s="2444"/>
      <c r="Y24" s="2444"/>
      <c r="Z24" s="2444"/>
      <c r="AA24" s="2445"/>
      <c r="AB24" s="2443" cm="1">
        <f t="array" ref="AB24">SUMPRODUCT((Application!$B$714:$B$738 = 'CalHFA Addendum'!AB$18)*(Application!$AC$714:$AC$738 = 'CalHFA Addendum'!$B24),Application!$G$714:$G$738)</f>
        <v>0</v>
      </c>
      <c r="AC24" s="2444"/>
      <c r="AD24" s="2444"/>
      <c r="AE24" s="2444"/>
      <c r="AF24" s="2444"/>
      <c r="AG24" s="2445"/>
      <c r="AH24" s="2443" cm="1">
        <f t="array" ref="AH24">SUMPRODUCT((Application!$B$714:$B$738 = 'CalHFA Addendum'!AH$18)*(Application!$AC$714:$AC$738 = 'CalHFA Addendum'!$B24),Application!$G$714:$G$738)</f>
        <v>0</v>
      </c>
      <c r="AI24" s="2444"/>
      <c r="AJ24" s="2444"/>
      <c r="AK24" s="2444"/>
      <c r="AL24" s="2444"/>
      <c r="AM24" s="2445"/>
      <c r="AN24" s="2443" cm="1">
        <f t="array" ref="AN24">SUMPRODUCT((Application!$B$714:$B$738 = 'CalHFA Addendum'!AN$18)*(Application!$AC$714:$AC$738 = 'CalHFA Addendum'!$B24),Application!$G$714:$G$738)</f>
        <v>0</v>
      </c>
      <c r="AO24" s="2444"/>
      <c r="AP24" s="2444"/>
      <c r="AQ24" s="2444"/>
      <c r="AR24" s="2444"/>
      <c r="AS24" s="2445"/>
      <c r="AT24" s="2446">
        <f t="shared" si="1"/>
        <v>0</v>
      </c>
      <c r="AU24" s="2447"/>
      <c r="AV24" s="2447"/>
      <c r="AW24" s="2447"/>
      <c r="AX24" s="2447"/>
      <c r="AY24" s="2448"/>
      <c r="AZ24" s="974"/>
      <c r="BA24" s="974"/>
      <c r="BB24" s="974"/>
      <c r="BC24" s="974"/>
      <c r="BD24" s="974"/>
      <c r="BE24" s="970"/>
    </row>
    <row r="25" spans="1:58" ht="15">
      <c r="A25" s="974"/>
      <c r="B25" s="2440">
        <v>0.9</v>
      </c>
      <c r="C25" s="2441"/>
      <c r="D25" s="2441"/>
      <c r="E25" s="2441"/>
      <c r="F25" s="2441"/>
      <c r="G25" s="2441"/>
      <c r="H25" s="2441"/>
      <c r="I25" s="2442"/>
      <c r="J25" s="2443">
        <f t="shared" si="0"/>
        <v>0</v>
      </c>
      <c r="K25" s="2444"/>
      <c r="L25" s="2444"/>
      <c r="M25" s="2444"/>
      <c r="N25" s="2444"/>
      <c r="O25" s="2445"/>
      <c r="P25" s="2443" cm="1">
        <f t="array" ref="P25">SUMPRODUCT((Application!$B$714:$B$738 = 'CalHFA Addendum'!P$18)*(Application!$AC$714:$AC$738 = 'CalHFA Addendum'!$B25),Application!$G$714:$G$738)</f>
        <v>0</v>
      </c>
      <c r="Q25" s="2444"/>
      <c r="R25" s="2444"/>
      <c r="S25" s="2444"/>
      <c r="T25" s="2444"/>
      <c r="U25" s="2445"/>
      <c r="V25" s="2443" cm="1">
        <f t="array" ref="V25">SUMPRODUCT((Application!$B$714:$B$738 = 'CalHFA Addendum'!V$18)*(Application!$AC$714:$AC$738 = 'CalHFA Addendum'!$B25),Application!$G$714:$G$738)</f>
        <v>0</v>
      </c>
      <c r="W25" s="2444"/>
      <c r="X25" s="2444"/>
      <c r="Y25" s="2444"/>
      <c r="Z25" s="2444"/>
      <c r="AA25" s="2445"/>
      <c r="AB25" s="2443" cm="1">
        <f t="array" ref="AB25">SUMPRODUCT((Application!$B$714:$B$738 = 'CalHFA Addendum'!AB$18)*(Application!$AC$714:$AC$738 = 'CalHFA Addendum'!$B25),Application!$G$714:$G$738)</f>
        <v>0</v>
      </c>
      <c r="AC25" s="2444"/>
      <c r="AD25" s="2444"/>
      <c r="AE25" s="2444"/>
      <c r="AF25" s="2444"/>
      <c r="AG25" s="2445"/>
      <c r="AH25" s="2443" cm="1">
        <f t="array" ref="AH25">SUMPRODUCT((Application!$B$714:$B$738 = 'CalHFA Addendum'!AH$18)*(Application!$AC$714:$AC$738 = 'CalHFA Addendum'!$B25),Application!$G$714:$G$738)</f>
        <v>0</v>
      </c>
      <c r="AI25" s="2444"/>
      <c r="AJ25" s="2444"/>
      <c r="AK25" s="2444"/>
      <c r="AL25" s="2444"/>
      <c r="AM25" s="2445"/>
      <c r="AN25" s="2443" cm="1">
        <f t="array" ref="AN25">SUMPRODUCT((Application!$B$714:$B$738 = 'CalHFA Addendum'!AN$18)*(Application!$AC$714:$AC$738 = 'CalHFA Addendum'!$B25),Application!$G$714:$G$738)</f>
        <v>0</v>
      </c>
      <c r="AO25" s="2444"/>
      <c r="AP25" s="2444"/>
      <c r="AQ25" s="2444"/>
      <c r="AR25" s="2444"/>
      <c r="AS25" s="2445"/>
      <c r="AT25" s="2446">
        <f t="shared" si="1"/>
        <v>0</v>
      </c>
      <c r="AU25" s="2447"/>
      <c r="AV25" s="2447"/>
      <c r="AW25" s="2447"/>
      <c r="AX25" s="2447"/>
      <c r="AY25" s="2448"/>
      <c r="AZ25" s="974"/>
      <c r="BA25" s="974"/>
      <c r="BB25" s="974"/>
      <c r="BC25" s="974"/>
      <c r="BD25" s="974"/>
      <c r="BE25" s="970"/>
    </row>
    <row r="26" spans="1:58" ht="15">
      <c r="A26" s="974"/>
      <c r="B26" s="2440">
        <v>1</v>
      </c>
      <c r="C26" s="2441"/>
      <c r="D26" s="2441"/>
      <c r="E26" s="2441"/>
      <c r="F26" s="2441"/>
      <c r="G26" s="2441"/>
      <c r="H26" s="2441"/>
      <c r="I26" s="2442"/>
      <c r="J26" s="2443">
        <f t="shared" si="0"/>
        <v>0</v>
      </c>
      <c r="K26" s="2444"/>
      <c r="L26" s="2444"/>
      <c r="M26" s="2444"/>
      <c r="N26" s="2444"/>
      <c r="O26" s="2445"/>
      <c r="P26" s="2443" cm="1">
        <f t="array" ref="P26">SUMPRODUCT((Application!$B$714:$B$738 = 'CalHFA Addendum'!P$18)*(Application!$AC$714:$AC$738 = 'CalHFA Addendum'!$B26),Application!$G$714:$G$738)</f>
        <v>0</v>
      </c>
      <c r="Q26" s="2444"/>
      <c r="R26" s="2444"/>
      <c r="S26" s="2444"/>
      <c r="T26" s="2444"/>
      <c r="U26" s="2445"/>
      <c r="V26" s="2443" cm="1">
        <f t="array" ref="V26">SUMPRODUCT((Application!$B$714:$B$738 = 'CalHFA Addendum'!V$18)*(Application!$AC$714:$AC$738 = 'CalHFA Addendum'!$B26),Application!$G$714:$G$738)</f>
        <v>0</v>
      </c>
      <c r="W26" s="2444"/>
      <c r="X26" s="2444"/>
      <c r="Y26" s="2444"/>
      <c r="Z26" s="2444"/>
      <c r="AA26" s="2445"/>
      <c r="AB26" s="2443" cm="1">
        <f t="array" ref="AB26">SUMPRODUCT((Application!$B$714:$B$738 = 'CalHFA Addendum'!AB$18)*(Application!$AC$714:$AC$738 = 'CalHFA Addendum'!$B26),Application!$G$714:$G$738)</f>
        <v>0</v>
      </c>
      <c r="AC26" s="2444"/>
      <c r="AD26" s="2444"/>
      <c r="AE26" s="2444"/>
      <c r="AF26" s="2444"/>
      <c r="AG26" s="2445"/>
      <c r="AH26" s="2443" cm="1">
        <f t="array" ref="AH26">SUMPRODUCT((Application!$B$714:$B$738 = 'CalHFA Addendum'!AH$18)*(Application!$AC$714:$AC$738 = 'CalHFA Addendum'!$B26),Application!$G$714:$G$738)</f>
        <v>0</v>
      </c>
      <c r="AI26" s="2444"/>
      <c r="AJ26" s="2444"/>
      <c r="AK26" s="2444"/>
      <c r="AL26" s="2444"/>
      <c r="AM26" s="2445"/>
      <c r="AN26" s="2443" cm="1">
        <f t="array" ref="AN26">SUMPRODUCT((Application!$B$714:$B$738 = 'CalHFA Addendum'!AN$18)*(Application!$AC$714:$AC$738 = 'CalHFA Addendum'!$B26),Application!$G$714:$G$738)</f>
        <v>0</v>
      </c>
      <c r="AO26" s="2444"/>
      <c r="AP26" s="2444"/>
      <c r="AQ26" s="2444"/>
      <c r="AR26" s="2444"/>
      <c r="AS26" s="2445"/>
      <c r="AT26" s="2446">
        <f t="shared" si="1"/>
        <v>0</v>
      </c>
      <c r="AU26" s="2447"/>
      <c r="AV26" s="2447"/>
      <c r="AW26" s="2447"/>
      <c r="AX26" s="2447"/>
      <c r="AY26" s="2448"/>
      <c r="AZ26" s="974"/>
      <c r="BA26" s="974"/>
      <c r="BB26" s="974"/>
      <c r="BC26" s="974"/>
      <c r="BD26" s="974"/>
      <c r="BE26" s="970"/>
    </row>
    <row r="27" spans="1:58" ht="15">
      <c r="A27" s="974"/>
      <c r="B27" s="2440">
        <v>1.1000000000000001</v>
      </c>
      <c r="C27" s="2441"/>
      <c r="D27" s="2441"/>
      <c r="E27" s="2441"/>
      <c r="F27" s="2441"/>
      <c r="G27" s="2441"/>
      <c r="H27" s="2441"/>
      <c r="I27" s="2442"/>
      <c r="J27" s="2443">
        <f t="shared" si="0"/>
        <v>0</v>
      </c>
      <c r="K27" s="2444"/>
      <c r="L27" s="2444"/>
      <c r="M27" s="2444"/>
      <c r="N27" s="2444"/>
      <c r="O27" s="2445"/>
      <c r="P27" s="2443" cm="1">
        <f t="array" ref="P27">SUMPRODUCT((Application!$B$714:$B$738 = 'CalHFA Addendum'!P$18)*(Application!$AC$714:$AC$738 = 'CalHFA Addendum'!$B27),Application!$G$714:$G$738)</f>
        <v>0</v>
      </c>
      <c r="Q27" s="2444"/>
      <c r="R27" s="2444"/>
      <c r="S27" s="2444"/>
      <c r="T27" s="2444"/>
      <c r="U27" s="2445"/>
      <c r="V27" s="2443" cm="1">
        <f t="array" ref="V27">SUMPRODUCT((Application!$B$714:$B$738 = 'CalHFA Addendum'!V$18)*(Application!$AC$714:$AC$738 = 'CalHFA Addendum'!$B27),Application!$G$714:$G$738)</f>
        <v>0</v>
      </c>
      <c r="W27" s="2444"/>
      <c r="X27" s="2444"/>
      <c r="Y27" s="2444"/>
      <c r="Z27" s="2444"/>
      <c r="AA27" s="2445"/>
      <c r="AB27" s="2443" cm="1">
        <f t="array" ref="AB27">SUMPRODUCT((Application!$B$714:$B$738 = 'CalHFA Addendum'!AB$18)*(Application!$AC$714:$AC$738 = 'CalHFA Addendum'!$B27),Application!$G$714:$G$738)</f>
        <v>0</v>
      </c>
      <c r="AC27" s="2444"/>
      <c r="AD27" s="2444"/>
      <c r="AE27" s="2444"/>
      <c r="AF27" s="2444"/>
      <c r="AG27" s="2445"/>
      <c r="AH27" s="2443" cm="1">
        <f t="array" ref="AH27">SUMPRODUCT((Application!$B$714:$B$738 = 'CalHFA Addendum'!AH$18)*(Application!$AC$714:$AC$738 = 'CalHFA Addendum'!$B27),Application!$G$714:$G$738)</f>
        <v>0</v>
      </c>
      <c r="AI27" s="2444"/>
      <c r="AJ27" s="2444"/>
      <c r="AK27" s="2444"/>
      <c r="AL27" s="2444"/>
      <c r="AM27" s="2445"/>
      <c r="AN27" s="2443" cm="1">
        <f t="array" ref="AN27">SUMPRODUCT((Application!$B$714:$B$738 = 'CalHFA Addendum'!AN$18)*(Application!$AC$714:$AC$738 = 'CalHFA Addendum'!$B27),Application!$G$714:$G$738)</f>
        <v>0</v>
      </c>
      <c r="AO27" s="2444"/>
      <c r="AP27" s="2444"/>
      <c r="AQ27" s="2444"/>
      <c r="AR27" s="2444"/>
      <c r="AS27" s="2445"/>
      <c r="AT27" s="2446">
        <f t="shared" si="1"/>
        <v>0</v>
      </c>
      <c r="AU27" s="2447"/>
      <c r="AV27" s="2447"/>
      <c r="AW27" s="2447"/>
      <c r="AX27" s="2447"/>
      <c r="AY27" s="2448"/>
      <c r="AZ27" s="974"/>
      <c r="BA27" s="974"/>
      <c r="BB27" s="974"/>
      <c r="BC27" s="974"/>
      <c r="BD27" s="974"/>
      <c r="BE27" s="970"/>
    </row>
    <row r="28" spans="1:58" ht="16" thickBot="1">
      <c r="A28" s="974"/>
      <c r="B28" s="2449" t="s">
        <v>2506</v>
      </c>
      <c r="C28" s="2450"/>
      <c r="D28" s="2450"/>
      <c r="E28" s="2450"/>
      <c r="F28" s="2450"/>
      <c r="G28" s="2450"/>
      <c r="H28" s="2450"/>
      <c r="I28" s="2451"/>
      <c r="J28" s="2452">
        <f t="shared" si="0"/>
        <v>0</v>
      </c>
      <c r="K28" s="2453"/>
      <c r="L28" s="2453"/>
      <c r="M28" s="2453"/>
      <c r="N28" s="2453"/>
      <c r="O28" s="2454"/>
      <c r="P28" s="2452">
        <f>_xlfn.IFNA(VLOOKUP(P$18,Application!$J$758:$S$761,6,FALSE), 0)</f>
        <v>0</v>
      </c>
      <c r="Q28" s="2453"/>
      <c r="R28" s="2453"/>
      <c r="S28" s="2453"/>
      <c r="T28" s="2453"/>
      <c r="U28" s="2454"/>
      <c r="V28" s="2452">
        <f>_xlfn.IFNA(VLOOKUP(V$18,Application!$J$758:$S$761,6,FALSE), 0)</f>
        <v>0</v>
      </c>
      <c r="W28" s="2453"/>
      <c r="X28" s="2453"/>
      <c r="Y28" s="2453"/>
      <c r="Z28" s="2453"/>
      <c r="AA28" s="2454"/>
      <c r="AB28" s="2452">
        <f>_xlfn.IFNA(VLOOKUP(AB$18,Application!$J$758:$S$761,6,FALSE), 0)</f>
        <v>0</v>
      </c>
      <c r="AC28" s="2453"/>
      <c r="AD28" s="2453"/>
      <c r="AE28" s="2453"/>
      <c r="AF28" s="2453"/>
      <c r="AG28" s="2454"/>
      <c r="AH28" s="2452">
        <f>_xlfn.IFNA(VLOOKUP(AH$18,Application!$J$758:$S$761,6,FALSE), 0)</f>
        <v>0</v>
      </c>
      <c r="AI28" s="2453"/>
      <c r="AJ28" s="2453"/>
      <c r="AK28" s="2453"/>
      <c r="AL28" s="2453"/>
      <c r="AM28" s="2454"/>
      <c r="AN28" s="2452">
        <f>_xlfn.IFNA(VLOOKUP(AN$18,Application!$J$758:$S$761,6,FALSE), 0)</f>
        <v>0</v>
      </c>
      <c r="AO28" s="2453"/>
      <c r="AP28" s="2453"/>
      <c r="AQ28" s="2453"/>
      <c r="AR28" s="2453"/>
      <c r="AS28" s="2454"/>
      <c r="AT28" s="2455">
        <f t="shared" si="1"/>
        <v>0</v>
      </c>
      <c r="AU28" s="2456"/>
      <c r="AV28" s="2456"/>
      <c r="AW28" s="2456"/>
      <c r="AX28" s="2456"/>
      <c r="AY28" s="2457"/>
      <c r="AZ28" s="974"/>
      <c r="BA28" s="974"/>
      <c r="BB28" s="974"/>
      <c r="BC28" s="974"/>
      <c r="BD28" s="974"/>
      <c r="BE28" s="970"/>
    </row>
    <row r="29" spans="1:58" ht="16" thickBot="1">
      <c r="A29" s="974"/>
      <c r="B29" s="2429" t="s">
        <v>2433</v>
      </c>
      <c r="C29" s="2407"/>
      <c r="D29" s="2407"/>
      <c r="E29" s="2407"/>
      <c r="F29" s="2407"/>
      <c r="G29" s="2407"/>
      <c r="H29" s="2407"/>
      <c r="I29" s="2408"/>
      <c r="J29" s="2406">
        <f>SUM(J19:O28)</f>
        <v>64</v>
      </c>
      <c r="K29" s="2407"/>
      <c r="L29" s="2407"/>
      <c r="M29" s="2407"/>
      <c r="N29" s="2407"/>
      <c r="O29" s="2408"/>
      <c r="P29" s="2406">
        <f>SUM(P19:U28)</f>
        <v>0</v>
      </c>
      <c r="Q29" s="2407"/>
      <c r="R29" s="2407"/>
      <c r="S29" s="2407"/>
      <c r="T29" s="2407"/>
      <c r="U29" s="2408"/>
      <c r="V29" s="2406">
        <f>SUM(V19:AA28)</f>
        <v>30</v>
      </c>
      <c r="W29" s="2407"/>
      <c r="X29" s="2407"/>
      <c r="Y29" s="2407"/>
      <c r="Z29" s="2407"/>
      <c r="AA29" s="2408"/>
      <c r="AB29" s="2406">
        <f>SUM(AB19:AG28)</f>
        <v>18</v>
      </c>
      <c r="AC29" s="2407"/>
      <c r="AD29" s="2407"/>
      <c r="AE29" s="2407"/>
      <c r="AF29" s="2407"/>
      <c r="AG29" s="2408"/>
      <c r="AH29" s="2406">
        <f>SUM(AH19:AM28)</f>
        <v>16</v>
      </c>
      <c r="AI29" s="2407"/>
      <c r="AJ29" s="2407"/>
      <c r="AK29" s="2407"/>
      <c r="AL29" s="2407"/>
      <c r="AM29" s="2408"/>
      <c r="AN29" s="2406">
        <f>SUM(AN19:AS28)</f>
        <v>0</v>
      </c>
      <c r="AO29" s="2407"/>
      <c r="AP29" s="2407"/>
      <c r="AQ29" s="2407"/>
      <c r="AR29" s="2407"/>
      <c r="AS29" s="2408"/>
      <c r="AT29" s="2422">
        <f t="shared" si="1"/>
        <v>1</v>
      </c>
      <c r="AU29" s="2423"/>
      <c r="AV29" s="2423"/>
      <c r="AW29" s="2423"/>
      <c r="AX29" s="2423"/>
      <c r="AY29" s="2424"/>
      <c r="AZ29" s="974"/>
      <c r="BA29" s="974"/>
      <c r="BB29" s="974"/>
      <c r="BC29" s="974"/>
      <c r="BD29" s="974"/>
      <c r="BE29" s="970"/>
    </row>
    <row r="30" spans="1:58" ht="16"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ht="16" thickBot="1">
      <c r="A31" s="974"/>
      <c r="B31" s="2410" t="s">
        <v>2507</v>
      </c>
      <c r="C31" s="2411"/>
      <c r="D31" s="2411"/>
      <c r="E31" s="2411"/>
      <c r="F31" s="2411"/>
      <c r="G31" s="2411"/>
      <c r="H31" s="2411"/>
      <c r="I31" s="2411"/>
      <c r="J31" s="2411"/>
      <c r="K31" s="2411"/>
      <c r="L31" s="2411"/>
      <c r="M31" s="2411"/>
      <c r="N31" s="2411"/>
      <c r="O31" s="2411"/>
      <c r="P31" s="2411"/>
      <c r="Q31" s="2411"/>
      <c r="R31" s="2411"/>
      <c r="S31" s="2411"/>
      <c r="T31" s="2411"/>
      <c r="U31" s="2411"/>
      <c r="V31" s="2411"/>
      <c r="W31" s="2411"/>
      <c r="X31" s="2411"/>
      <c r="Y31" s="2411"/>
      <c r="Z31" s="2411"/>
      <c r="AA31" s="2411"/>
      <c r="AB31" s="2411"/>
      <c r="AC31" s="2411"/>
      <c r="AD31" s="2411"/>
      <c r="AE31" s="2411"/>
      <c r="AF31" s="2411"/>
      <c r="AG31" s="2411"/>
      <c r="AH31" s="2411"/>
      <c r="AI31" s="2411"/>
      <c r="AJ31" s="2411"/>
      <c r="AK31" s="2411"/>
      <c r="AL31" s="2411"/>
      <c r="AM31" s="2411"/>
      <c r="AN31" s="2411"/>
      <c r="AO31" s="2411"/>
      <c r="AP31" s="2411"/>
      <c r="AQ31" s="2411"/>
      <c r="AR31" s="2411"/>
      <c r="AS31" s="2411"/>
      <c r="AT31" s="2411"/>
      <c r="AU31" s="2411"/>
      <c r="AV31" s="2411"/>
      <c r="AW31" s="2411"/>
      <c r="AX31" s="2411"/>
      <c r="AY31" s="2411"/>
      <c r="AZ31" s="2411"/>
      <c r="BA31" s="2411"/>
      <c r="BB31" s="2411"/>
      <c r="BC31" s="2411"/>
      <c r="BD31" s="2412"/>
      <c r="BE31" s="970"/>
    </row>
    <row r="32" spans="1:58" ht="16" thickBot="1">
      <c r="A32" s="974"/>
      <c r="B32" s="2425" t="s">
        <v>2508</v>
      </c>
      <c r="C32" s="2426"/>
      <c r="D32" s="2426"/>
      <c r="E32" s="2426"/>
      <c r="F32" s="2426"/>
      <c r="G32" s="2426"/>
      <c r="H32" s="2426"/>
      <c r="I32" s="2426"/>
      <c r="J32" s="2458" t="s">
        <v>2509</v>
      </c>
      <c r="K32" s="2459"/>
      <c r="L32" s="2459"/>
      <c r="M32" s="2459"/>
      <c r="N32" s="2458" t="s">
        <v>2510</v>
      </c>
      <c r="O32" s="2459"/>
      <c r="P32" s="2459"/>
      <c r="Q32" s="2461"/>
      <c r="R32" s="2419" t="s">
        <v>2511</v>
      </c>
      <c r="S32" s="2420"/>
      <c r="T32" s="2420"/>
      <c r="U32" s="2420"/>
      <c r="V32" s="2420"/>
      <c r="W32" s="2420"/>
      <c r="X32" s="2420"/>
      <c r="Y32" s="2420"/>
      <c r="Z32" s="2420"/>
      <c r="AA32" s="2420"/>
      <c r="AB32" s="2420"/>
      <c r="AC32" s="2420"/>
      <c r="AD32" s="2420"/>
      <c r="AE32" s="2420"/>
      <c r="AF32" s="2420"/>
      <c r="AG32" s="2420"/>
      <c r="AH32" s="2420"/>
      <c r="AI32" s="2420"/>
      <c r="AJ32" s="2420"/>
      <c r="AK32" s="2420"/>
      <c r="AL32" s="2420"/>
      <c r="AM32" s="2420"/>
      <c r="AN32" s="2420"/>
      <c r="AO32" s="2420"/>
      <c r="AP32" s="2420"/>
      <c r="AQ32" s="2420"/>
      <c r="AR32" s="2420"/>
      <c r="AS32" s="2420"/>
      <c r="AT32" s="2420"/>
      <c r="AU32" s="2420"/>
      <c r="AV32" s="2420"/>
      <c r="AW32" s="2420"/>
      <c r="AX32" s="2420"/>
      <c r="AY32" s="2420"/>
      <c r="AZ32" s="2420"/>
      <c r="BA32" s="2420"/>
      <c r="BB32" s="2420"/>
      <c r="BC32" s="2420"/>
      <c r="BD32" s="2421"/>
      <c r="BE32" s="970"/>
    </row>
    <row r="33" spans="1:58" ht="15" customHeight="1">
      <c r="A33" s="974"/>
      <c r="B33" s="2427"/>
      <c r="C33" s="2428"/>
      <c r="D33" s="2428"/>
      <c r="E33" s="2428"/>
      <c r="F33" s="2428"/>
      <c r="G33" s="2428"/>
      <c r="H33" s="2428"/>
      <c r="I33" s="2428"/>
      <c r="J33" s="2460"/>
      <c r="K33" s="2460"/>
      <c r="L33" s="2460"/>
      <c r="M33" s="2460"/>
      <c r="N33" s="2460"/>
      <c r="O33" s="2460"/>
      <c r="P33" s="2460"/>
      <c r="Q33" s="2462"/>
      <c r="R33" s="2413" t="s">
        <v>2512</v>
      </c>
      <c r="S33" s="2414"/>
      <c r="T33" s="2414"/>
      <c r="U33" s="2414"/>
      <c r="V33" s="2414"/>
      <c r="W33" s="2414"/>
      <c r="X33" s="2414"/>
      <c r="Y33" s="2414"/>
      <c r="Z33" s="2414"/>
      <c r="AA33" s="2414"/>
      <c r="AB33" s="2414"/>
      <c r="AC33" s="2414"/>
      <c r="AD33" s="2414"/>
      <c r="AE33" s="2414"/>
      <c r="AF33" s="2414"/>
      <c r="AG33" s="2414"/>
      <c r="AH33" s="2414"/>
      <c r="AI33" s="2414"/>
      <c r="AJ33" s="2414"/>
      <c r="AK33" s="2414"/>
      <c r="AL33" s="2414"/>
      <c r="AM33" s="2414"/>
      <c r="AN33" s="2414"/>
      <c r="AO33" s="2414"/>
      <c r="AP33" s="2414"/>
      <c r="AQ33" s="2414"/>
      <c r="AR33" s="2414"/>
      <c r="AS33" s="2414"/>
      <c r="AT33" s="2414"/>
      <c r="AU33" s="2414"/>
      <c r="AV33" s="2414"/>
      <c r="AW33" s="2414"/>
      <c r="AX33" s="2414"/>
      <c r="AY33" s="2414"/>
      <c r="AZ33" s="2414"/>
      <c r="BA33" s="2414"/>
      <c r="BB33" s="2414"/>
      <c r="BC33" s="2414"/>
      <c r="BD33" s="2415"/>
      <c r="BE33" s="970"/>
    </row>
    <row r="34" spans="1:58" ht="15.75" customHeight="1" thickBot="1">
      <c r="A34" s="974"/>
      <c r="B34" s="2427"/>
      <c r="C34" s="2428"/>
      <c r="D34" s="2428"/>
      <c r="E34" s="2428"/>
      <c r="F34" s="2428"/>
      <c r="G34" s="2428"/>
      <c r="H34" s="2428"/>
      <c r="I34" s="2428"/>
      <c r="J34" s="2460"/>
      <c r="K34" s="2460"/>
      <c r="L34" s="2460"/>
      <c r="M34" s="2460"/>
      <c r="N34" s="2460"/>
      <c r="O34" s="2460"/>
      <c r="P34" s="2460"/>
      <c r="Q34" s="2462"/>
      <c r="R34" s="2416"/>
      <c r="S34" s="2417"/>
      <c r="T34" s="2417"/>
      <c r="U34" s="2417"/>
      <c r="V34" s="2417"/>
      <c r="W34" s="2417"/>
      <c r="X34" s="2417"/>
      <c r="Y34" s="2417"/>
      <c r="Z34" s="2417"/>
      <c r="AA34" s="2417"/>
      <c r="AB34" s="2417"/>
      <c r="AC34" s="2417"/>
      <c r="AD34" s="2417"/>
      <c r="AE34" s="2417"/>
      <c r="AF34" s="2417"/>
      <c r="AG34" s="2417"/>
      <c r="AH34" s="2417"/>
      <c r="AI34" s="2417"/>
      <c r="AJ34" s="2417"/>
      <c r="AK34" s="2417"/>
      <c r="AL34" s="2417"/>
      <c r="AM34" s="2417"/>
      <c r="AN34" s="2417"/>
      <c r="AO34" s="2417"/>
      <c r="AP34" s="2417"/>
      <c r="AQ34" s="2417"/>
      <c r="AR34" s="2417"/>
      <c r="AS34" s="2417"/>
      <c r="AT34" s="2417"/>
      <c r="AU34" s="2417"/>
      <c r="AV34" s="2417"/>
      <c r="AW34" s="2417"/>
      <c r="AX34" s="2417"/>
      <c r="AY34" s="2417"/>
      <c r="AZ34" s="2417"/>
      <c r="BA34" s="2417"/>
      <c r="BB34" s="2417"/>
      <c r="BC34" s="2417"/>
      <c r="BD34" s="2418"/>
      <c r="BE34" s="970"/>
    </row>
    <row r="35" spans="1:58" ht="15.75" customHeight="1">
      <c r="A35" s="974"/>
      <c r="B35" s="2427"/>
      <c r="C35" s="2428"/>
      <c r="D35" s="2428"/>
      <c r="E35" s="2428"/>
      <c r="F35" s="2428"/>
      <c r="G35" s="2428"/>
      <c r="H35" s="2428"/>
      <c r="I35" s="2428"/>
      <c r="J35" s="2460"/>
      <c r="K35" s="2460"/>
      <c r="L35" s="2460"/>
      <c r="M35" s="2460"/>
      <c r="N35" s="2460"/>
      <c r="O35" s="2460"/>
      <c r="P35" s="2460"/>
      <c r="Q35" s="2460"/>
      <c r="R35" s="2409">
        <v>0.3</v>
      </c>
      <c r="S35" s="2409"/>
      <c r="T35" s="2409"/>
      <c r="U35" s="2409"/>
      <c r="V35" s="2409">
        <v>0.4</v>
      </c>
      <c r="W35" s="2409"/>
      <c r="X35" s="2409"/>
      <c r="Y35" s="2409"/>
      <c r="Z35" s="2409">
        <v>0.5</v>
      </c>
      <c r="AA35" s="2409"/>
      <c r="AB35" s="2409"/>
      <c r="AC35" s="2409"/>
      <c r="AD35" s="2409">
        <v>0.6</v>
      </c>
      <c r="AE35" s="2409"/>
      <c r="AF35" s="2409"/>
      <c r="AG35" s="2409"/>
      <c r="AH35" s="2409">
        <v>0.7</v>
      </c>
      <c r="AI35" s="2409"/>
      <c r="AJ35" s="2409"/>
      <c r="AK35" s="2409"/>
      <c r="AL35" s="2430">
        <v>0.8</v>
      </c>
      <c r="AM35" s="2431"/>
      <c r="AN35" s="2431"/>
      <c r="AO35" s="2432"/>
      <c r="AP35" s="2433">
        <v>1.2</v>
      </c>
      <c r="AQ35" s="2434"/>
      <c r="AR35" s="2435"/>
      <c r="AS35" s="2436" t="s">
        <v>2513</v>
      </c>
      <c r="AT35" s="2437"/>
      <c r="AU35" s="2437"/>
      <c r="AV35" s="2437"/>
      <c r="AW35" s="2437"/>
      <c r="AX35" s="2438"/>
      <c r="AY35" s="2436" t="s">
        <v>2514</v>
      </c>
      <c r="AZ35" s="2437"/>
      <c r="BA35" s="2437"/>
      <c r="BB35" s="2437"/>
      <c r="BC35" s="2437"/>
      <c r="BD35" s="2439"/>
      <c r="BE35" s="970"/>
    </row>
    <row r="36" spans="1:58" ht="15.75" customHeight="1">
      <c r="A36" s="974"/>
      <c r="B36" s="2167" t="s">
        <v>2515</v>
      </c>
      <c r="C36" s="2168"/>
      <c r="D36" s="2168"/>
      <c r="E36" s="2168"/>
      <c r="F36" s="2168"/>
      <c r="G36" s="2168"/>
      <c r="H36" s="2168"/>
      <c r="I36" s="2168"/>
      <c r="J36" s="2399" t="s">
        <v>2516</v>
      </c>
      <c r="K36" s="2399"/>
      <c r="L36" s="2399"/>
      <c r="M36" s="2399"/>
      <c r="N36" s="2399">
        <v>55</v>
      </c>
      <c r="O36" s="2399"/>
      <c r="P36" s="2399"/>
      <c r="Q36" s="2399"/>
      <c r="R36" s="2145">
        <v>0</v>
      </c>
      <c r="S36" s="2145"/>
      <c r="T36" s="2145"/>
      <c r="U36" s="2145"/>
      <c r="V36" s="2145">
        <v>0</v>
      </c>
      <c r="W36" s="2145"/>
      <c r="X36" s="2145"/>
      <c r="Y36" s="2145"/>
      <c r="Z36" s="2145">
        <v>10</v>
      </c>
      <c r="AA36" s="2145"/>
      <c r="AB36" s="2145"/>
      <c r="AC36" s="2145"/>
      <c r="AD36" s="2145">
        <v>10</v>
      </c>
      <c r="AE36" s="2145"/>
      <c r="AF36" s="2145"/>
      <c r="AG36" s="2145"/>
      <c r="AH36" s="2145">
        <v>30</v>
      </c>
      <c r="AI36" s="2145"/>
      <c r="AJ36" s="2145"/>
      <c r="AK36" s="2145"/>
      <c r="AL36" s="2146">
        <v>0</v>
      </c>
      <c r="AM36" s="2147"/>
      <c r="AN36" s="2147"/>
      <c r="AO36" s="2148"/>
      <c r="AP36" s="2146">
        <v>0</v>
      </c>
      <c r="AQ36" s="2147"/>
      <c r="AR36" s="2148"/>
      <c r="AS36" s="2149">
        <f t="shared" ref="AS36:AS47" si="2">SUM(R36:AR36)</f>
        <v>50</v>
      </c>
      <c r="AT36" s="2150"/>
      <c r="AU36" s="2150"/>
      <c r="AV36" s="2150"/>
      <c r="AW36" s="2150"/>
      <c r="AX36" s="2151"/>
      <c r="AY36" s="2403">
        <f t="shared" ref="AY36:AY47" si="3">AS36/$J$29</f>
        <v>0.78125</v>
      </c>
      <c r="AZ36" s="2404"/>
      <c r="BA36" s="2404"/>
      <c r="BB36" s="2404"/>
      <c r="BC36" s="2404"/>
      <c r="BD36" s="2405"/>
      <c r="BE36" s="970"/>
    </row>
    <row r="37" spans="1:58" ht="15.75" customHeight="1">
      <c r="A37" s="974"/>
      <c r="B37" s="2167" t="s">
        <v>2517</v>
      </c>
      <c r="C37" s="2168"/>
      <c r="D37" s="2168"/>
      <c r="E37" s="2168"/>
      <c r="F37" s="2168"/>
      <c r="G37" s="2168"/>
      <c r="H37" s="2168"/>
      <c r="I37" s="2168"/>
      <c r="J37" s="2399" t="s">
        <v>2518</v>
      </c>
      <c r="K37" s="2399"/>
      <c r="L37" s="2399"/>
      <c r="M37" s="2399"/>
      <c r="N37" s="2399">
        <v>55</v>
      </c>
      <c r="O37" s="2399"/>
      <c r="P37" s="2399"/>
      <c r="Q37" s="2399"/>
      <c r="R37" s="2145">
        <v>10</v>
      </c>
      <c r="S37" s="2145"/>
      <c r="T37" s="2145"/>
      <c r="U37" s="2145"/>
      <c r="V37" s="2145"/>
      <c r="W37" s="2145"/>
      <c r="X37" s="2145"/>
      <c r="Y37" s="2145"/>
      <c r="Z37" s="2145"/>
      <c r="AA37" s="2145"/>
      <c r="AB37" s="2145"/>
      <c r="AC37" s="2145"/>
      <c r="AD37" s="2145"/>
      <c r="AE37" s="2145"/>
      <c r="AF37" s="2145"/>
      <c r="AG37" s="2145"/>
      <c r="AH37" s="2145"/>
      <c r="AI37" s="2145"/>
      <c r="AJ37" s="2145"/>
      <c r="AK37" s="2145"/>
      <c r="AL37" s="2146"/>
      <c r="AM37" s="2147"/>
      <c r="AN37" s="2147"/>
      <c r="AO37" s="2148"/>
      <c r="AP37" s="2146"/>
      <c r="AQ37" s="2147"/>
      <c r="AR37" s="2148"/>
      <c r="AS37" s="2149">
        <f t="shared" si="2"/>
        <v>10</v>
      </c>
      <c r="AT37" s="2150"/>
      <c r="AU37" s="2150"/>
      <c r="AV37" s="2150"/>
      <c r="AW37" s="2150"/>
      <c r="AX37" s="2151"/>
      <c r="AY37" s="2403">
        <f t="shared" si="3"/>
        <v>0.15625</v>
      </c>
      <c r="AZ37" s="2404"/>
      <c r="BA37" s="2404"/>
      <c r="BB37" s="2404"/>
      <c r="BC37" s="2404"/>
      <c r="BD37" s="2405"/>
      <c r="BE37" s="970"/>
    </row>
    <row r="38" spans="1:58" ht="15.75" customHeight="1">
      <c r="A38" s="974"/>
      <c r="B38" s="2167" t="s">
        <v>2519</v>
      </c>
      <c r="C38" s="2168"/>
      <c r="D38" s="2168"/>
      <c r="E38" s="2168"/>
      <c r="F38" s="2168"/>
      <c r="G38" s="2168"/>
      <c r="H38" s="2168"/>
      <c r="I38" s="2168"/>
      <c r="J38" s="2399" t="s">
        <v>2520</v>
      </c>
      <c r="K38" s="2399"/>
      <c r="L38" s="2399"/>
      <c r="M38" s="2399"/>
      <c r="N38" s="2399">
        <v>55</v>
      </c>
      <c r="O38" s="2399"/>
      <c r="P38" s="2399"/>
      <c r="Q38" s="2399"/>
      <c r="R38" s="2145"/>
      <c r="S38" s="2145"/>
      <c r="T38" s="2145"/>
      <c r="U38" s="2145"/>
      <c r="V38" s="2145"/>
      <c r="W38" s="2145"/>
      <c r="X38" s="2145"/>
      <c r="Y38" s="2145"/>
      <c r="Z38" s="2145"/>
      <c r="AA38" s="2145"/>
      <c r="AB38" s="2145"/>
      <c r="AC38" s="2145"/>
      <c r="AD38" s="2145"/>
      <c r="AE38" s="2145"/>
      <c r="AF38" s="2145"/>
      <c r="AG38" s="2145"/>
      <c r="AH38" s="2145"/>
      <c r="AI38" s="2145"/>
      <c r="AJ38" s="2145"/>
      <c r="AK38" s="2145"/>
      <c r="AL38" s="2146"/>
      <c r="AM38" s="2147"/>
      <c r="AN38" s="2147"/>
      <c r="AO38" s="2148"/>
      <c r="AP38" s="2146"/>
      <c r="AQ38" s="2147"/>
      <c r="AR38" s="2148"/>
      <c r="AS38" s="2149">
        <f t="shared" si="2"/>
        <v>0</v>
      </c>
      <c r="AT38" s="2150"/>
      <c r="AU38" s="2150"/>
      <c r="AV38" s="2150"/>
      <c r="AW38" s="2150"/>
      <c r="AX38" s="2151"/>
      <c r="AY38" s="2403">
        <f t="shared" si="3"/>
        <v>0</v>
      </c>
      <c r="AZ38" s="2404"/>
      <c r="BA38" s="2404"/>
      <c r="BB38" s="2404"/>
      <c r="BC38" s="2404"/>
      <c r="BD38" s="2405"/>
      <c r="BE38" s="970"/>
    </row>
    <row r="39" spans="1:58" ht="15.75" customHeight="1">
      <c r="A39" s="974"/>
      <c r="B39" s="2167" t="s">
        <v>2521</v>
      </c>
      <c r="C39" s="2168"/>
      <c r="D39" s="2168"/>
      <c r="E39" s="2168"/>
      <c r="F39" s="2168"/>
      <c r="G39" s="2168"/>
      <c r="H39" s="2168"/>
      <c r="I39" s="2168"/>
      <c r="J39" s="2399"/>
      <c r="K39" s="2399"/>
      <c r="L39" s="2399"/>
      <c r="M39" s="2399"/>
      <c r="N39" s="2399"/>
      <c r="O39" s="2399"/>
      <c r="P39" s="2399"/>
      <c r="Q39" s="2399"/>
      <c r="R39" s="2145"/>
      <c r="S39" s="2145"/>
      <c r="T39" s="2145"/>
      <c r="U39" s="2145"/>
      <c r="V39" s="2145"/>
      <c r="W39" s="2145"/>
      <c r="X39" s="2145"/>
      <c r="Y39" s="2145"/>
      <c r="Z39" s="2145"/>
      <c r="AA39" s="2145"/>
      <c r="AB39" s="2145"/>
      <c r="AC39" s="2145"/>
      <c r="AD39" s="2145"/>
      <c r="AE39" s="2145"/>
      <c r="AF39" s="2145"/>
      <c r="AG39" s="2145"/>
      <c r="AH39" s="2145"/>
      <c r="AI39" s="2145"/>
      <c r="AJ39" s="2145"/>
      <c r="AK39" s="2145"/>
      <c r="AL39" s="2146"/>
      <c r="AM39" s="2147"/>
      <c r="AN39" s="2147"/>
      <c r="AO39" s="2148"/>
      <c r="AP39" s="2146"/>
      <c r="AQ39" s="2147"/>
      <c r="AR39" s="2148"/>
      <c r="AS39" s="2149">
        <f t="shared" si="2"/>
        <v>0</v>
      </c>
      <c r="AT39" s="2150"/>
      <c r="AU39" s="2150"/>
      <c r="AV39" s="2150"/>
      <c r="AW39" s="2150"/>
      <c r="AX39" s="2151"/>
      <c r="AY39" s="2403">
        <f t="shared" si="3"/>
        <v>0</v>
      </c>
      <c r="AZ39" s="2404"/>
      <c r="BA39" s="2404"/>
      <c r="BB39" s="2404"/>
      <c r="BC39" s="2404"/>
      <c r="BD39" s="2405"/>
      <c r="BE39" s="970"/>
    </row>
    <row r="40" spans="1:58" ht="15.75" customHeight="1">
      <c r="A40" s="974"/>
      <c r="B40" s="2167" t="s">
        <v>2521</v>
      </c>
      <c r="C40" s="2168"/>
      <c r="D40" s="2168"/>
      <c r="E40" s="2168"/>
      <c r="F40" s="2168"/>
      <c r="G40" s="2168"/>
      <c r="H40" s="2168"/>
      <c r="I40" s="2168"/>
      <c r="J40" s="2399"/>
      <c r="K40" s="2399"/>
      <c r="L40" s="2399"/>
      <c r="M40" s="2399"/>
      <c r="N40" s="2399"/>
      <c r="O40" s="2399"/>
      <c r="P40" s="2399"/>
      <c r="Q40" s="2399"/>
      <c r="R40" s="2145"/>
      <c r="S40" s="2145"/>
      <c r="T40" s="2145"/>
      <c r="U40" s="2145"/>
      <c r="V40" s="2145"/>
      <c r="W40" s="2145"/>
      <c r="X40" s="2145"/>
      <c r="Y40" s="2145"/>
      <c r="Z40" s="2145"/>
      <c r="AA40" s="2145"/>
      <c r="AB40" s="2145"/>
      <c r="AC40" s="2145"/>
      <c r="AD40" s="2145"/>
      <c r="AE40" s="2145"/>
      <c r="AF40" s="2145"/>
      <c r="AG40" s="2145"/>
      <c r="AH40" s="2145"/>
      <c r="AI40" s="2145"/>
      <c r="AJ40" s="2145"/>
      <c r="AK40" s="2145"/>
      <c r="AL40" s="2146"/>
      <c r="AM40" s="2147"/>
      <c r="AN40" s="2147"/>
      <c r="AO40" s="2148"/>
      <c r="AP40" s="2146"/>
      <c r="AQ40" s="2147"/>
      <c r="AR40" s="2148"/>
      <c r="AS40" s="2149">
        <f t="shared" si="2"/>
        <v>0</v>
      </c>
      <c r="AT40" s="2150"/>
      <c r="AU40" s="2150"/>
      <c r="AV40" s="2150"/>
      <c r="AW40" s="2150"/>
      <c r="AX40" s="2151"/>
      <c r="AY40" s="2403">
        <f t="shared" si="3"/>
        <v>0</v>
      </c>
      <c r="AZ40" s="2404"/>
      <c r="BA40" s="2404"/>
      <c r="BB40" s="2404"/>
      <c r="BC40" s="2404"/>
      <c r="BD40" s="2405"/>
      <c r="BE40" s="970"/>
    </row>
    <row r="41" spans="1:58" ht="15.75" customHeight="1">
      <c r="A41" s="974"/>
      <c r="B41" s="2167" t="s">
        <v>2522</v>
      </c>
      <c r="C41" s="2168"/>
      <c r="D41" s="2168"/>
      <c r="E41" s="2168"/>
      <c r="F41" s="2168"/>
      <c r="G41" s="2168"/>
      <c r="H41" s="2168"/>
      <c r="I41" s="2168"/>
      <c r="J41" s="2399"/>
      <c r="K41" s="2399"/>
      <c r="L41" s="2399"/>
      <c r="M41" s="2399"/>
      <c r="N41" s="2399"/>
      <c r="O41" s="2399"/>
      <c r="P41" s="2399"/>
      <c r="Q41" s="2399"/>
      <c r="R41" s="2145"/>
      <c r="S41" s="2145"/>
      <c r="T41" s="2145"/>
      <c r="U41" s="2145"/>
      <c r="V41" s="2145"/>
      <c r="W41" s="2145"/>
      <c r="X41" s="2145"/>
      <c r="Y41" s="2145"/>
      <c r="Z41" s="2145"/>
      <c r="AA41" s="2145"/>
      <c r="AB41" s="2145"/>
      <c r="AC41" s="2145"/>
      <c r="AD41" s="2145"/>
      <c r="AE41" s="2145"/>
      <c r="AF41" s="2145"/>
      <c r="AG41" s="2145"/>
      <c r="AH41" s="2145"/>
      <c r="AI41" s="2145"/>
      <c r="AJ41" s="2145"/>
      <c r="AK41" s="2145"/>
      <c r="AL41" s="2146"/>
      <c r="AM41" s="2147"/>
      <c r="AN41" s="2147"/>
      <c r="AO41" s="2148"/>
      <c r="AP41" s="2146"/>
      <c r="AQ41" s="2147"/>
      <c r="AR41" s="2148"/>
      <c r="AS41" s="2149">
        <f t="shared" si="2"/>
        <v>0</v>
      </c>
      <c r="AT41" s="2150"/>
      <c r="AU41" s="2150"/>
      <c r="AV41" s="2150"/>
      <c r="AW41" s="2150"/>
      <c r="AX41" s="2151"/>
      <c r="AY41" s="2403">
        <f t="shared" si="3"/>
        <v>0</v>
      </c>
      <c r="AZ41" s="2404"/>
      <c r="BA41" s="2404"/>
      <c r="BB41" s="2404"/>
      <c r="BC41" s="2404"/>
      <c r="BD41" s="2405"/>
      <c r="BE41" s="970"/>
    </row>
    <row r="42" spans="1:58" ht="15.75" customHeight="1">
      <c r="A42" s="974"/>
      <c r="B42" s="2167" t="s">
        <v>2522</v>
      </c>
      <c r="C42" s="2168"/>
      <c r="D42" s="2168"/>
      <c r="E42" s="2168"/>
      <c r="F42" s="2168"/>
      <c r="G42" s="2168"/>
      <c r="H42" s="2168"/>
      <c r="I42" s="2168"/>
      <c r="J42" s="2399"/>
      <c r="K42" s="2399"/>
      <c r="L42" s="2399"/>
      <c r="M42" s="2399"/>
      <c r="N42" s="2399"/>
      <c r="O42" s="2399"/>
      <c r="P42" s="2399"/>
      <c r="Q42" s="2399"/>
      <c r="R42" s="2145"/>
      <c r="S42" s="2145"/>
      <c r="T42" s="2145"/>
      <c r="U42" s="2145"/>
      <c r="V42" s="2145"/>
      <c r="W42" s="2145"/>
      <c r="X42" s="2145"/>
      <c r="Y42" s="2145"/>
      <c r="Z42" s="2145"/>
      <c r="AA42" s="2145"/>
      <c r="AB42" s="2145"/>
      <c r="AC42" s="2145"/>
      <c r="AD42" s="2145"/>
      <c r="AE42" s="2145"/>
      <c r="AF42" s="2145"/>
      <c r="AG42" s="2145"/>
      <c r="AH42" s="2145"/>
      <c r="AI42" s="2145"/>
      <c r="AJ42" s="2145"/>
      <c r="AK42" s="2145"/>
      <c r="AL42" s="2146"/>
      <c r="AM42" s="2147"/>
      <c r="AN42" s="2147"/>
      <c r="AO42" s="2148"/>
      <c r="AP42" s="2146"/>
      <c r="AQ42" s="2147"/>
      <c r="AR42" s="2148"/>
      <c r="AS42" s="2149">
        <f t="shared" si="2"/>
        <v>0</v>
      </c>
      <c r="AT42" s="2150"/>
      <c r="AU42" s="2150"/>
      <c r="AV42" s="2150"/>
      <c r="AW42" s="2150"/>
      <c r="AX42" s="2151"/>
      <c r="AY42" s="2403">
        <f t="shared" si="3"/>
        <v>0</v>
      </c>
      <c r="AZ42" s="2404"/>
      <c r="BA42" s="2404"/>
      <c r="BB42" s="2404"/>
      <c r="BC42" s="2404"/>
      <c r="BD42" s="2405"/>
      <c r="BE42" s="970"/>
    </row>
    <row r="43" spans="1:58" ht="15.75" customHeight="1">
      <c r="A43" s="974"/>
      <c r="B43" s="2138" t="s">
        <v>2523</v>
      </c>
      <c r="C43" s="2139"/>
      <c r="D43" s="2139"/>
      <c r="E43" s="2139"/>
      <c r="F43" s="2139"/>
      <c r="G43" s="2139"/>
      <c r="H43" s="2139"/>
      <c r="I43" s="2139"/>
      <c r="J43" s="2399"/>
      <c r="K43" s="2399"/>
      <c r="L43" s="2399"/>
      <c r="M43" s="2399"/>
      <c r="N43" s="2399"/>
      <c r="O43" s="2399"/>
      <c r="P43" s="2399"/>
      <c r="Q43" s="2399"/>
      <c r="R43" s="2145"/>
      <c r="S43" s="2145"/>
      <c r="T43" s="2145"/>
      <c r="U43" s="2145"/>
      <c r="V43" s="2145"/>
      <c r="W43" s="2145"/>
      <c r="X43" s="2145"/>
      <c r="Y43" s="2145"/>
      <c r="Z43" s="2145"/>
      <c r="AA43" s="2145"/>
      <c r="AB43" s="2145"/>
      <c r="AC43" s="2145"/>
      <c r="AD43" s="2145"/>
      <c r="AE43" s="2145"/>
      <c r="AF43" s="2145"/>
      <c r="AG43" s="2145"/>
      <c r="AH43" s="2145"/>
      <c r="AI43" s="2145"/>
      <c r="AJ43" s="2145"/>
      <c r="AK43" s="2145"/>
      <c r="AL43" s="2146"/>
      <c r="AM43" s="2147"/>
      <c r="AN43" s="2147"/>
      <c r="AO43" s="2148"/>
      <c r="AP43" s="2146"/>
      <c r="AQ43" s="2147"/>
      <c r="AR43" s="2148"/>
      <c r="AS43" s="2149">
        <f t="shared" si="2"/>
        <v>0</v>
      </c>
      <c r="AT43" s="2150"/>
      <c r="AU43" s="2150"/>
      <c r="AV43" s="2150"/>
      <c r="AW43" s="2150"/>
      <c r="AX43" s="2151"/>
      <c r="AY43" s="2403">
        <f t="shared" si="3"/>
        <v>0</v>
      </c>
      <c r="AZ43" s="2404"/>
      <c r="BA43" s="2404"/>
      <c r="BB43" s="2404"/>
      <c r="BC43" s="2404"/>
      <c r="BD43" s="2405"/>
      <c r="BE43" s="970"/>
    </row>
    <row r="44" spans="1:58" ht="15.75" customHeight="1">
      <c r="A44" s="974"/>
      <c r="B44" s="2138" t="s">
        <v>2524</v>
      </c>
      <c r="C44" s="2139"/>
      <c r="D44" s="2139"/>
      <c r="E44" s="2139"/>
      <c r="F44" s="2139"/>
      <c r="G44" s="2139"/>
      <c r="H44" s="2139"/>
      <c r="I44" s="2139"/>
      <c r="J44" s="2399"/>
      <c r="K44" s="2399"/>
      <c r="L44" s="2399"/>
      <c r="M44" s="2399"/>
      <c r="N44" s="2399"/>
      <c r="O44" s="2399"/>
      <c r="P44" s="2399"/>
      <c r="Q44" s="2399"/>
      <c r="R44" s="2145"/>
      <c r="S44" s="2145"/>
      <c r="T44" s="2145"/>
      <c r="U44" s="2145"/>
      <c r="V44" s="2145"/>
      <c r="W44" s="2145"/>
      <c r="X44" s="2145"/>
      <c r="Y44" s="2145"/>
      <c r="Z44" s="2145"/>
      <c r="AA44" s="2145"/>
      <c r="AB44" s="2145"/>
      <c r="AC44" s="2145"/>
      <c r="AD44" s="2145"/>
      <c r="AE44" s="2145"/>
      <c r="AF44" s="2145"/>
      <c r="AG44" s="2145"/>
      <c r="AH44" s="2145"/>
      <c r="AI44" s="2145"/>
      <c r="AJ44" s="2145"/>
      <c r="AK44" s="2145"/>
      <c r="AL44" s="2146"/>
      <c r="AM44" s="2147"/>
      <c r="AN44" s="2147"/>
      <c r="AO44" s="2148"/>
      <c r="AP44" s="2146"/>
      <c r="AQ44" s="2147"/>
      <c r="AR44" s="2148"/>
      <c r="AS44" s="2149">
        <f t="shared" si="2"/>
        <v>0</v>
      </c>
      <c r="AT44" s="2150"/>
      <c r="AU44" s="2150"/>
      <c r="AV44" s="2150"/>
      <c r="AW44" s="2150"/>
      <c r="AX44" s="2151"/>
      <c r="AY44" s="2403">
        <f t="shared" si="3"/>
        <v>0</v>
      </c>
      <c r="AZ44" s="2404"/>
      <c r="BA44" s="2404"/>
      <c r="BB44" s="2404"/>
      <c r="BC44" s="2404"/>
      <c r="BD44" s="2405"/>
      <c r="BE44" s="970"/>
    </row>
    <row r="45" spans="1:58" ht="15.75" customHeight="1">
      <c r="A45" s="974"/>
      <c r="B45" s="2138" t="s">
        <v>2525</v>
      </c>
      <c r="C45" s="2139"/>
      <c r="D45" s="2139"/>
      <c r="E45" s="2139"/>
      <c r="F45" s="2139"/>
      <c r="G45" s="2139"/>
      <c r="H45" s="2139"/>
      <c r="I45" s="2139"/>
      <c r="J45" s="2399"/>
      <c r="K45" s="2399"/>
      <c r="L45" s="2399"/>
      <c r="M45" s="2399"/>
      <c r="N45" s="2399"/>
      <c r="O45" s="2399"/>
      <c r="P45" s="2399"/>
      <c r="Q45" s="2399"/>
      <c r="R45" s="2145"/>
      <c r="S45" s="2145"/>
      <c r="T45" s="2145"/>
      <c r="U45" s="2145"/>
      <c r="V45" s="2145"/>
      <c r="W45" s="2145"/>
      <c r="X45" s="2145"/>
      <c r="Y45" s="2145"/>
      <c r="Z45" s="2145"/>
      <c r="AA45" s="2145"/>
      <c r="AB45" s="2145"/>
      <c r="AC45" s="2145"/>
      <c r="AD45" s="2145"/>
      <c r="AE45" s="2145"/>
      <c r="AF45" s="2145"/>
      <c r="AG45" s="2145"/>
      <c r="AH45" s="2145"/>
      <c r="AI45" s="2145"/>
      <c r="AJ45" s="2145"/>
      <c r="AK45" s="2145"/>
      <c r="AL45" s="2146"/>
      <c r="AM45" s="2147"/>
      <c r="AN45" s="2147"/>
      <c r="AO45" s="2148"/>
      <c r="AP45" s="2146"/>
      <c r="AQ45" s="2147"/>
      <c r="AR45" s="2148"/>
      <c r="AS45" s="2149">
        <f t="shared" si="2"/>
        <v>0</v>
      </c>
      <c r="AT45" s="2150"/>
      <c r="AU45" s="2150"/>
      <c r="AV45" s="2150"/>
      <c r="AW45" s="2150"/>
      <c r="AX45" s="2151"/>
      <c r="AY45" s="2403">
        <f t="shared" si="3"/>
        <v>0</v>
      </c>
      <c r="AZ45" s="2404"/>
      <c r="BA45" s="2404"/>
      <c r="BB45" s="2404"/>
      <c r="BC45" s="2404"/>
      <c r="BD45" s="2405"/>
      <c r="BE45" s="970"/>
    </row>
    <row r="46" spans="1:58" ht="15.75" customHeight="1">
      <c r="A46" s="974"/>
      <c r="B46" s="2138" t="s">
        <v>2526</v>
      </c>
      <c r="C46" s="2139"/>
      <c r="D46" s="2139"/>
      <c r="E46" s="2139"/>
      <c r="F46" s="2139"/>
      <c r="G46" s="2139"/>
      <c r="H46" s="2139"/>
      <c r="I46" s="2139"/>
      <c r="J46" s="2399"/>
      <c r="K46" s="2399"/>
      <c r="L46" s="2399"/>
      <c r="M46" s="2399"/>
      <c r="N46" s="2399">
        <v>99</v>
      </c>
      <c r="O46" s="2399"/>
      <c r="P46" s="2399"/>
      <c r="Q46" s="2399"/>
      <c r="R46" s="2145"/>
      <c r="S46" s="2145"/>
      <c r="T46" s="2145"/>
      <c r="U46" s="2145"/>
      <c r="V46" s="2145"/>
      <c r="W46" s="2145"/>
      <c r="X46" s="2145"/>
      <c r="Y46" s="2145"/>
      <c r="Z46" s="2145"/>
      <c r="AA46" s="2145"/>
      <c r="AB46" s="2145"/>
      <c r="AC46" s="2145"/>
      <c r="AD46" s="2145"/>
      <c r="AE46" s="2145"/>
      <c r="AF46" s="2145"/>
      <c r="AG46" s="2145"/>
      <c r="AH46" s="2145"/>
      <c r="AI46" s="2145"/>
      <c r="AJ46" s="2145"/>
      <c r="AK46" s="2145"/>
      <c r="AL46" s="2146"/>
      <c r="AM46" s="2147"/>
      <c r="AN46" s="2147"/>
      <c r="AO46" s="2148"/>
      <c r="AP46" s="2146"/>
      <c r="AQ46" s="2147"/>
      <c r="AR46" s="2148"/>
      <c r="AS46" s="2149">
        <f t="shared" si="2"/>
        <v>0</v>
      </c>
      <c r="AT46" s="2150"/>
      <c r="AU46" s="2150"/>
      <c r="AV46" s="2150"/>
      <c r="AW46" s="2150"/>
      <c r="AX46" s="2151"/>
      <c r="AY46" s="2403">
        <f t="shared" si="3"/>
        <v>0</v>
      </c>
      <c r="AZ46" s="2404"/>
      <c r="BA46" s="2404"/>
      <c r="BB46" s="2404"/>
      <c r="BC46" s="2404"/>
      <c r="BD46" s="2405"/>
      <c r="BE46" s="970"/>
    </row>
    <row r="47" spans="1:58" ht="15.75" customHeight="1" thickBot="1">
      <c r="A47" s="974"/>
      <c r="B47" s="2396" t="s">
        <v>1101</v>
      </c>
      <c r="C47" s="2397"/>
      <c r="D47" s="2397"/>
      <c r="E47" s="2397"/>
      <c r="F47" s="2397"/>
      <c r="G47" s="2397"/>
      <c r="H47" s="2397"/>
      <c r="I47" s="2397"/>
      <c r="J47" s="2398"/>
      <c r="K47" s="2398"/>
      <c r="L47" s="2398"/>
      <c r="M47" s="2398"/>
      <c r="N47" s="2398"/>
      <c r="O47" s="2398"/>
      <c r="P47" s="2398"/>
      <c r="Q47" s="2398"/>
      <c r="R47" s="2392"/>
      <c r="S47" s="2392"/>
      <c r="T47" s="2392"/>
      <c r="U47" s="2392"/>
      <c r="V47" s="2392"/>
      <c r="W47" s="2392"/>
      <c r="X47" s="2392"/>
      <c r="Y47" s="2392"/>
      <c r="Z47" s="2392"/>
      <c r="AA47" s="2392"/>
      <c r="AB47" s="2392"/>
      <c r="AC47" s="2392"/>
      <c r="AD47" s="2392"/>
      <c r="AE47" s="2392"/>
      <c r="AF47" s="2392"/>
      <c r="AG47" s="2392"/>
      <c r="AH47" s="2392"/>
      <c r="AI47" s="2392"/>
      <c r="AJ47" s="2392"/>
      <c r="AK47" s="2392"/>
      <c r="AL47" s="2393"/>
      <c r="AM47" s="2394"/>
      <c r="AN47" s="2394"/>
      <c r="AO47" s="2395"/>
      <c r="AP47" s="2393"/>
      <c r="AQ47" s="2394"/>
      <c r="AR47" s="2395"/>
      <c r="AS47" s="2149">
        <f t="shared" si="2"/>
        <v>0</v>
      </c>
      <c r="AT47" s="2150"/>
      <c r="AU47" s="2150"/>
      <c r="AV47" s="2150"/>
      <c r="AW47" s="2150"/>
      <c r="AX47" s="2151"/>
      <c r="AY47" s="2400">
        <f t="shared" si="3"/>
        <v>0</v>
      </c>
      <c r="AZ47" s="2401"/>
      <c r="BA47" s="2401"/>
      <c r="BB47" s="2401"/>
      <c r="BC47" s="2401"/>
      <c r="BD47" s="2402"/>
      <c r="BE47" s="970"/>
    </row>
    <row r="48" spans="1:58" ht="15.75" customHeight="1">
      <c r="A48" s="974"/>
      <c r="B48" s="1019" t="s">
        <v>2527</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2528</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340" t="s">
        <v>2529</v>
      </c>
      <c r="C50" s="2136"/>
      <c r="D50" s="2136"/>
      <c r="E50" s="2136"/>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6"/>
      <c r="AK50" s="2136"/>
      <c r="AL50" s="2136"/>
      <c r="AM50" s="2136"/>
      <c r="AN50" s="2136"/>
      <c r="AO50" s="2137"/>
      <c r="AP50" s="982"/>
      <c r="AQ50" s="982"/>
      <c r="AR50" s="982"/>
      <c r="AS50" s="982"/>
      <c r="AT50" s="982"/>
      <c r="AU50" s="982"/>
      <c r="AV50" s="982"/>
      <c r="AW50" s="982"/>
      <c r="AX50" s="974"/>
      <c r="AY50" s="974"/>
      <c r="AZ50" s="974"/>
      <c r="BA50" s="974"/>
      <c r="BB50" s="974"/>
      <c r="BC50" s="974"/>
      <c r="BD50" s="974"/>
      <c r="BE50" s="970"/>
    </row>
    <row r="51" spans="1:58" ht="33.75" customHeight="1">
      <c r="A51" s="974"/>
      <c r="B51" s="2098" t="s">
        <v>2530</v>
      </c>
      <c r="C51" s="2099"/>
      <c r="D51" s="2099"/>
      <c r="E51" s="2099"/>
      <c r="F51" s="2099"/>
      <c r="G51" s="2099"/>
      <c r="H51" s="2099"/>
      <c r="I51" s="2099"/>
      <c r="J51" s="2099" t="s">
        <v>2531</v>
      </c>
      <c r="K51" s="2099"/>
      <c r="L51" s="2099"/>
      <c r="M51" s="2099"/>
      <c r="N51" s="2099"/>
      <c r="O51" s="2099"/>
      <c r="P51" s="2099"/>
      <c r="Q51" s="2099"/>
      <c r="R51" s="2390" t="s">
        <v>2532</v>
      </c>
      <c r="S51" s="2390"/>
      <c r="T51" s="2390"/>
      <c r="U51" s="2390"/>
      <c r="V51" s="2390"/>
      <c r="W51" s="2390"/>
      <c r="X51" s="2390"/>
      <c r="Y51" s="2390"/>
      <c r="Z51" s="2390" t="s">
        <v>2533</v>
      </c>
      <c r="AA51" s="2390"/>
      <c r="AB51" s="2390"/>
      <c r="AC51" s="2390"/>
      <c r="AD51" s="2390"/>
      <c r="AE51" s="2390"/>
      <c r="AF51" s="2390"/>
      <c r="AG51" s="2390"/>
      <c r="AH51" s="2390" t="s">
        <v>2534</v>
      </c>
      <c r="AI51" s="2390"/>
      <c r="AJ51" s="2390"/>
      <c r="AK51" s="2390"/>
      <c r="AL51" s="2390"/>
      <c r="AM51" s="2390"/>
      <c r="AN51" s="2390"/>
      <c r="AO51" s="2391"/>
      <c r="AP51" s="982"/>
      <c r="AQ51" s="982"/>
      <c r="AR51" s="982"/>
      <c r="AS51" s="982"/>
      <c r="AT51" s="982"/>
      <c r="AU51" s="982"/>
      <c r="AV51" s="982"/>
      <c r="AW51" s="982"/>
      <c r="AX51" s="984"/>
      <c r="AY51" s="974"/>
      <c r="AZ51" s="974"/>
      <c r="BA51" s="974"/>
      <c r="BB51" s="974"/>
      <c r="BC51" s="974"/>
      <c r="BD51" s="974"/>
      <c r="BE51" s="970"/>
    </row>
    <row r="52" spans="1:58" ht="15.75" customHeight="1">
      <c r="A52" s="974"/>
      <c r="B52" s="2138" t="s">
        <v>2535</v>
      </c>
      <c r="C52" s="2139"/>
      <c r="D52" s="2139"/>
      <c r="E52" s="2139"/>
      <c r="F52" s="2139"/>
      <c r="G52" s="2139"/>
      <c r="H52" s="2139"/>
      <c r="I52" s="2139"/>
      <c r="J52" s="2272">
        <v>0</v>
      </c>
      <c r="K52" s="2272"/>
      <c r="L52" s="2272"/>
      <c r="M52" s="2272"/>
      <c r="N52" s="2272"/>
      <c r="O52" s="2272"/>
      <c r="P52" s="2272"/>
      <c r="Q52" s="2272"/>
      <c r="R52" s="2378">
        <v>0</v>
      </c>
      <c r="S52" s="2378"/>
      <c r="T52" s="2378"/>
      <c r="U52" s="2378"/>
      <c r="V52" s="2378"/>
      <c r="W52" s="2378"/>
      <c r="X52" s="2378"/>
      <c r="Y52" s="2378"/>
      <c r="Z52" s="2379">
        <v>0</v>
      </c>
      <c r="AA52" s="2379"/>
      <c r="AB52" s="2379"/>
      <c r="AC52" s="2379"/>
      <c r="AD52" s="2379"/>
      <c r="AE52" s="2379"/>
      <c r="AF52" s="2379"/>
      <c r="AG52" s="2379"/>
      <c r="AH52" s="2380"/>
      <c r="AI52" s="2380"/>
      <c r="AJ52" s="2380"/>
      <c r="AK52" s="2380"/>
      <c r="AL52" s="2380"/>
      <c r="AM52" s="2380"/>
      <c r="AN52" s="2380"/>
      <c r="AO52" s="2381"/>
      <c r="AP52" s="982"/>
      <c r="AQ52" s="982"/>
      <c r="AR52" s="982"/>
      <c r="AS52" s="982"/>
      <c r="AT52" s="982"/>
      <c r="AU52" s="982"/>
      <c r="AV52" s="982"/>
      <c r="AW52" s="982"/>
      <c r="AX52" s="984"/>
      <c r="AY52" s="974"/>
      <c r="AZ52" s="974"/>
      <c r="BA52" s="974"/>
      <c r="BB52" s="974"/>
      <c r="BC52" s="974"/>
      <c r="BD52" s="974"/>
      <c r="BE52" s="970"/>
    </row>
    <row r="53" spans="1:58" ht="15.75" customHeight="1">
      <c r="A53" s="974"/>
      <c r="B53" s="2138" t="s">
        <v>2536</v>
      </c>
      <c r="C53" s="2139"/>
      <c r="D53" s="2139"/>
      <c r="E53" s="2139"/>
      <c r="F53" s="2139"/>
      <c r="G53" s="2139"/>
      <c r="H53" s="2139"/>
      <c r="I53" s="2139"/>
      <c r="J53" s="2272">
        <v>0</v>
      </c>
      <c r="K53" s="2272"/>
      <c r="L53" s="2272"/>
      <c r="M53" s="2272"/>
      <c r="N53" s="2272"/>
      <c r="O53" s="2272"/>
      <c r="P53" s="2272"/>
      <c r="Q53" s="2272"/>
      <c r="R53" s="2378">
        <v>0</v>
      </c>
      <c r="S53" s="2378"/>
      <c r="T53" s="2378"/>
      <c r="U53" s="2378"/>
      <c r="V53" s="2378"/>
      <c r="W53" s="2378"/>
      <c r="X53" s="2378"/>
      <c r="Y53" s="2378"/>
      <c r="Z53" s="2379">
        <v>0</v>
      </c>
      <c r="AA53" s="2379"/>
      <c r="AB53" s="2379"/>
      <c r="AC53" s="2379"/>
      <c r="AD53" s="2379"/>
      <c r="AE53" s="2379"/>
      <c r="AF53" s="2379"/>
      <c r="AG53" s="2379"/>
      <c r="AH53" s="2380"/>
      <c r="AI53" s="2380"/>
      <c r="AJ53" s="2380"/>
      <c r="AK53" s="2380"/>
      <c r="AL53" s="2380"/>
      <c r="AM53" s="2380"/>
      <c r="AN53" s="2380"/>
      <c r="AO53" s="2381"/>
      <c r="AP53" s="982"/>
      <c r="AQ53" s="982"/>
      <c r="AR53" s="982"/>
      <c r="AS53" s="982"/>
      <c r="AT53" s="982"/>
      <c r="AU53" s="982"/>
      <c r="AV53" s="982"/>
      <c r="AW53" s="982"/>
      <c r="AX53" s="974"/>
      <c r="AY53" s="974"/>
      <c r="AZ53" s="974"/>
      <c r="BA53" s="974"/>
      <c r="BB53" s="974"/>
      <c r="BC53" s="974"/>
      <c r="BD53" s="974"/>
      <c r="BE53" s="970"/>
    </row>
    <row r="54" spans="1:58" ht="15.75" customHeight="1">
      <c r="A54" s="974"/>
      <c r="B54" s="2138"/>
      <c r="C54" s="2139"/>
      <c r="D54" s="2139"/>
      <c r="E54" s="2139"/>
      <c r="F54" s="2139"/>
      <c r="G54" s="2139"/>
      <c r="H54" s="2139"/>
      <c r="I54" s="2139"/>
      <c r="J54" s="2272"/>
      <c r="K54" s="2272"/>
      <c r="L54" s="2272"/>
      <c r="M54" s="2272"/>
      <c r="N54" s="2272"/>
      <c r="O54" s="2272"/>
      <c r="P54" s="2272"/>
      <c r="Q54" s="2272"/>
      <c r="R54" s="2378"/>
      <c r="S54" s="2378"/>
      <c r="T54" s="2378"/>
      <c r="U54" s="2378"/>
      <c r="V54" s="2378"/>
      <c r="W54" s="2378"/>
      <c r="X54" s="2378"/>
      <c r="Y54" s="2378"/>
      <c r="Z54" s="2379"/>
      <c r="AA54" s="2379"/>
      <c r="AB54" s="2379"/>
      <c r="AC54" s="2379"/>
      <c r="AD54" s="2379"/>
      <c r="AE54" s="2379"/>
      <c r="AF54" s="2379"/>
      <c r="AG54" s="2379"/>
      <c r="AH54" s="2380"/>
      <c r="AI54" s="2380"/>
      <c r="AJ54" s="2380"/>
      <c r="AK54" s="2380"/>
      <c r="AL54" s="2380"/>
      <c r="AM54" s="2380"/>
      <c r="AN54" s="2380"/>
      <c r="AO54" s="2381"/>
      <c r="AP54" s="982"/>
      <c r="AQ54" s="982"/>
      <c r="AR54" s="982"/>
      <c r="AS54" s="982"/>
      <c r="AT54" s="982"/>
      <c r="AU54" s="982"/>
      <c r="AV54" s="982"/>
      <c r="AW54" s="982"/>
      <c r="AX54" s="974"/>
      <c r="AY54" s="974"/>
      <c r="AZ54" s="974"/>
      <c r="BA54" s="974"/>
      <c r="BB54" s="974"/>
      <c r="BC54" s="974"/>
      <c r="BD54" s="974"/>
      <c r="BE54" s="970"/>
    </row>
    <row r="55" spans="1:58" ht="15.75" customHeight="1">
      <c r="A55" s="974"/>
      <c r="B55" s="2138"/>
      <c r="C55" s="2139"/>
      <c r="D55" s="2139"/>
      <c r="E55" s="2139"/>
      <c r="F55" s="2139"/>
      <c r="G55" s="2139"/>
      <c r="H55" s="2139"/>
      <c r="I55" s="2139"/>
      <c r="J55" s="2272"/>
      <c r="K55" s="2272"/>
      <c r="L55" s="2272"/>
      <c r="M55" s="2272"/>
      <c r="N55" s="2272"/>
      <c r="O55" s="2272"/>
      <c r="P55" s="2272"/>
      <c r="Q55" s="2272"/>
      <c r="R55" s="2378"/>
      <c r="S55" s="2378"/>
      <c r="T55" s="2378"/>
      <c r="U55" s="2378"/>
      <c r="V55" s="2378"/>
      <c r="W55" s="2378"/>
      <c r="X55" s="2378"/>
      <c r="Y55" s="2378"/>
      <c r="Z55" s="2379"/>
      <c r="AA55" s="2379"/>
      <c r="AB55" s="2379"/>
      <c r="AC55" s="2379"/>
      <c r="AD55" s="2379"/>
      <c r="AE55" s="2379"/>
      <c r="AF55" s="2379"/>
      <c r="AG55" s="2379"/>
      <c r="AH55" s="2380"/>
      <c r="AI55" s="2380"/>
      <c r="AJ55" s="2380"/>
      <c r="AK55" s="2380"/>
      <c r="AL55" s="2380"/>
      <c r="AM55" s="2380"/>
      <c r="AN55" s="2380"/>
      <c r="AO55" s="2381"/>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138"/>
      <c r="C56" s="2139"/>
      <c r="D56" s="2139"/>
      <c r="E56" s="2139"/>
      <c r="F56" s="2139"/>
      <c r="G56" s="2139"/>
      <c r="H56" s="2139"/>
      <c r="I56" s="2139"/>
      <c r="J56" s="2272"/>
      <c r="K56" s="2272"/>
      <c r="L56" s="2272"/>
      <c r="M56" s="2272"/>
      <c r="N56" s="2272"/>
      <c r="O56" s="2272"/>
      <c r="P56" s="2272"/>
      <c r="Q56" s="2272"/>
      <c r="R56" s="2378"/>
      <c r="S56" s="2378"/>
      <c r="T56" s="2378"/>
      <c r="U56" s="2378"/>
      <c r="V56" s="2378"/>
      <c r="W56" s="2378"/>
      <c r="X56" s="2378"/>
      <c r="Y56" s="2378"/>
      <c r="Z56" s="2379"/>
      <c r="AA56" s="2379"/>
      <c r="AB56" s="2379"/>
      <c r="AC56" s="2379"/>
      <c r="AD56" s="2379"/>
      <c r="AE56" s="2379"/>
      <c r="AF56" s="2379"/>
      <c r="AG56" s="2379"/>
      <c r="AH56" s="2380"/>
      <c r="AI56" s="2380"/>
      <c r="AJ56" s="2380"/>
      <c r="AK56" s="2380"/>
      <c r="AL56" s="2380"/>
      <c r="AM56" s="2380"/>
      <c r="AN56" s="2380"/>
      <c r="AO56" s="2381"/>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092" t="s">
        <v>2433</v>
      </c>
      <c r="C57" s="2093"/>
      <c r="D57" s="2093"/>
      <c r="E57" s="2093"/>
      <c r="F57" s="2093"/>
      <c r="G57" s="2093"/>
      <c r="H57" s="2093"/>
      <c r="I57" s="2093"/>
      <c r="J57" s="2093"/>
      <c r="K57" s="2093"/>
      <c r="L57" s="2093"/>
      <c r="M57" s="2093"/>
      <c r="N57" s="2093"/>
      <c r="O57" s="2093"/>
      <c r="P57" s="2093"/>
      <c r="Q57" s="2093"/>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86" t="s">
        <v>2530</v>
      </c>
      <c r="C59" s="2387"/>
      <c r="D59" s="2387"/>
      <c r="E59" s="2387"/>
      <c r="F59" s="2387"/>
      <c r="G59" s="2387"/>
      <c r="H59" s="2387"/>
      <c r="I59" s="2388"/>
      <c r="J59" s="2352" t="s">
        <v>2537</v>
      </c>
      <c r="K59" s="2352"/>
      <c r="L59" s="2352"/>
      <c r="M59" s="2352"/>
      <c r="N59" s="2352"/>
      <c r="O59" s="2352"/>
      <c r="P59" s="2352"/>
      <c r="Q59" s="2352"/>
      <c r="R59" s="2352"/>
      <c r="S59" s="2352"/>
      <c r="T59" s="2352"/>
      <c r="U59" s="2352"/>
      <c r="V59" s="2352"/>
      <c r="W59" s="2352"/>
      <c r="X59" s="2352"/>
      <c r="Y59" s="2352"/>
      <c r="Z59" s="2352"/>
      <c r="AA59" s="2352"/>
      <c r="AB59" s="2352"/>
      <c r="AC59" s="2352"/>
      <c r="AD59" s="2352"/>
      <c r="AE59" s="2352"/>
      <c r="AF59" s="2352"/>
      <c r="AG59" s="2352"/>
      <c r="AH59" s="2352"/>
      <c r="AI59" s="2352"/>
      <c r="AJ59" s="2352"/>
      <c r="AK59" s="2352"/>
      <c r="AL59" s="2352"/>
      <c r="AM59" s="2352"/>
      <c r="AN59" s="2352"/>
      <c r="AO59" s="2352"/>
      <c r="AP59" s="2352"/>
      <c r="AQ59" s="2352"/>
      <c r="AR59" s="2352"/>
      <c r="AS59" s="2352"/>
      <c r="AT59" s="2352"/>
      <c r="AU59" s="2352"/>
      <c r="AV59" s="2352"/>
      <c r="AW59" s="2353"/>
      <c r="AX59" s="974"/>
      <c r="AY59" s="974"/>
      <c r="AZ59" s="974"/>
      <c r="BA59" s="974"/>
      <c r="BB59" s="974"/>
      <c r="BC59" s="974"/>
      <c r="BD59" s="974"/>
      <c r="BE59" s="970"/>
    </row>
    <row r="60" spans="1:58" ht="15.75" customHeight="1">
      <c r="A60" s="974"/>
      <c r="B60" s="2371" t="str">
        <f>IF(B52="", "", B52)</f>
        <v>Services Company 1</v>
      </c>
      <c r="C60" s="2372"/>
      <c r="D60" s="2372"/>
      <c r="E60" s="2372"/>
      <c r="F60" s="2372"/>
      <c r="G60" s="2372"/>
      <c r="H60" s="2372"/>
      <c r="I60" s="2373"/>
      <c r="J60" s="2374"/>
      <c r="K60" s="2275"/>
      <c r="L60" s="2275"/>
      <c r="M60" s="2275"/>
      <c r="N60" s="2275"/>
      <c r="O60" s="2275"/>
      <c r="P60" s="2275"/>
      <c r="Q60" s="2275"/>
      <c r="R60" s="2275"/>
      <c r="S60" s="2275"/>
      <c r="T60" s="2275"/>
      <c r="U60" s="2275"/>
      <c r="V60" s="2275"/>
      <c r="W60" s="2275"/>
      <c r="X60" s="2275"/>
      <c r="Y60" s="2275"/>
      <c r="Z60" s="2275"/>
      <c r="AA60" s="2275"/>
      <c r="AB60" s="2275"/>
      <c r="AC60" s="2275"/>
      <c r="AD60" s="2275"/>
      <c r="AE60" s="2275"/>
      <c r="AF60" s="2275"/>
      <c r="AG60" s="2275"/>
      <c r="AH60" s="2275"/>
      <c r="AI60" s="2275"/>
      <c r="AJ60" s="2275"/>
      <c r="AK60" s="2275"/>
      <c r="AL60" s="2275"/>
      <c r="AM60" s="2275"/>
      <c r="AN60" s="2275"/>
      <c r="AO60" s="2275"/>
      <c r="AP60" s="2275"/>
      <c r="AQ60" s="2275"/>
      <c r="AR60" s="2275"/>
      <c r="AS60" s="2275"/>
      <c r="AT60" s="2275"/>
      <c r="AU60" s="2275"/>
      <c r="AV60" s="2275"/>
      <c r="AW60" s="2276"/>
      <c r="AX60" s="974"/>
      <c r="AY60" s="974"/>
      <c r="AZ60" s="974"/>
      <c r="BA60" s="974"/>
      <c r="BB60" s="974"/>
      <c r="BC60" s="974"/>
      <c r="BD60" s="974"/>
      <c r="BE60" s="970"/>
    </row>
    <row r="61" spans="1:58" ht="15.75" customHeight="1">
      <c r="A61" s="974"/>
      <c r="B61" s="2371" t="str">
        <f>IF(B53="", "", B53)</f>
        <v>Services Company 2</v>
      </c>
      <c r="C61" s="2372"/>
      <c r="D61" s="2372"/>
      <c r="E61" s="2372"/>
      <c r="F61" s="2372"/>
      <c r="G61" s="2372"/>
      <c r="H61" s="2372"/>
      <c r="I61" s="2373"/>
      <c r="J61" s="2374"/>
      <c r="K61" s="2275"/>
      <c r="L61" s="2275"/>
      <c r="M61" s="2275"/>
      <c r="N61" s="2275"/>
      <c r="O61" s="2275"/>
      <c r="P61" s="2275"/>
      <c r="Q61" s="2275"/>
      <c r="R61" s="2275"/>
      <c r="S61" s="2275"/>
      <c r="T61" s="2275"/>
      <c r="U61" s="2275"/>
      <c r="V61" s="2275"/>
      <c r="W61" s="2275"/>
      <c r="X61" s="2275"/>
      <c r="Y61" s="2275"/>
      <c r="Z61" s="2275"/>
      <c r="AA61" s="2275"/>
      <c r="AB61" s="2275"/>
      <c r="AC61" s="2275"/>
      <c r="AD61" s="2275"/>
      <c r="AE61" s="2275"/>
      <c r="AF61" s="2275"/>
      <c r="AG61" s="2275"/>
      <c r="AH61" s="2275"/>
      <c r="AI61" s="2275"/>
      <c r="AJ61" s="2275"/>
      <c r="AK61" s="2275"/>
      <c r="AL61" s="2275"/>
      <c r="AM61" s="2275"/>
      <c r="AN61" s="2275"/>
      <c r="AO61" s="2275"/>
      <c r="AP61" s="2275"/>
      <c r="AQ61" s="2275"/>
      <c r="AR61" s="2275"/>
      <c r="AS61" s="2275"/>
      <c r="AT61" s="2275"/>
      <c r="AU61" s="2275"/>
      <c r="AV61" s="2275"/>
      <c r="AW61" s="2276"/>
      <c r="AX61" s="974"/>
      <c r="AY61" s="974"/>
      <c r="AZ61" s="974"/>
      <c r="BA61" s="974"/>
      <c r="BB61" s="974"/>
      <c r="BC61" s="974"/>
      <c r="BD61" s="974"/>
      <c r="BE61" s="970"/>
    </row>
    <row r="62" spans="1:58" ht="15.75" customHeight="1">
      <c r="A62" s="974"/>
      <c r="B62" s="2371" t="str">
        <f>IF(B54="", "", B54)</f>
        <v/>
      </c>
      <c r="C62" s="2372"/>
      <c r="D62" s="2372"/>
      <c r="E62" s="2372"/>
      <c r="F62" s="2372"/>
      <c r="G62" s="2372"/>
      <c r="H62" s="2372"/>
      <c r="I62" s="2373"/>
      <c r="J62" s="2374"/>
      <c r="K62" s="2275"/>
      <c r="L62" s="2275"/>
      <c r="M62" s="2275"/>
      <c r="N62" s="2275"/>
      <c r="O62" s="2275"/>
      <c r="P62" s="2275"/>
      <c r="Q62" s="2275"/>
      <c r="R62" s="2275"/>
      <c r="S62" s="2275"/>
      <c r="T62" s="2275"/>
      <c r="U62" s="2275"/>
      <c r="V62" s="2275"/>
      <c r="W62" s="2275"/>
      <c r="X62" s="2275"/>
      <c r="Y62" s="2275"/>
      <c r="Z62" s="2275"/>
      <c r="AA62" s="2275"/>
      <c r="AB62" s="2275"/>
      <c r="AC62" s="2275"/>
      <c r="AD62" s="2275"/>
      <c r="AE62" s="2275"/>
      <c r="AF62" s="2275"/>
      <c r="AG62" s="2275"/>
      <c r="AH62" s="2275"/>
      <c r="AI62" s="2275"/>
      <c r="AJ62" s="2275"/>
      <c r="AK62" s="2275"/>
      <c r="AL62" s="2275"/>
      <c r="AM62" s="2275"/>
      <c r="AN62" s="2275"/>
      <c r="AO62" s="2275"/>
      <c r="AP62" s="2275"/>
      <c r="AQ62" s="2275"/>
      <c r="AR62" s="2275"/>
      <c r="AS62" s="2275"/>
      <c r="AT62" s="2275"/>
      <c r="AU62" s="2275"/>
      <c r="AV62" s="2275"/>
      <c r="AW62" s="2276"/>
      <c r="AX62" s="974"/>
      <c r="AY62" s="974"/>
      <c r="AZ62" s="974"/>
      <c r="BA62" s="974"/>
      <c r="BB62" s="974"/>
      <c r="BC62" s="974"/>
      <c r="BD62" s="974"/>
      <c r="BE62" s="970"/>
    </row>
    <row r="63" spans="1:58" ht="15.75" customHeight="1">
      <c r="A63" s="974"/>
      <c r="B63" s="2371" t="str">
        <f>IF(B55="", "", B55)</f>
        <v/>
      </c>
      <c r="C63" s="2372"/>
      <c r="D63" s="2372"/>
      <c r="E63" s="2372"/>
      <c r="F63" s="2372"/>
      <c r="G63" s="2372"/>
      <c r="H63" s="2372"/>
      <c r="I63" s="2373"/>
      <c r="J63" s="2374"/>
      <c r="K63" s="2275"/>
      <c r="L63" s="2275"/>
      <c r="M63" s="2275"/>
      <c r="N63" s="2275"/>
      <c r="O63" s="2275"/>
      <c r="P63" s="2275"/>
      <c r="Q63" s="2275"/>
      <c r="R63" s="2275"/>
      <c r="S63" s="2275"/>
      <c r="T63" s="2275"/>
      <c r="U63" s="2275"/>
      <c r="V63" s="2275"/>
      <c r="W63" s="2275"/>
      <c r="X63" s="2275"/>
      <c r="Y63" s="2275"/>
      <c r="Z63" s="2275"/>
      <c r="AA63" s="2275"/>
      <c r="AB63" s="2275"/>
      <c r="AC63" s="2275"/>
      <c r="AD63" s="2275"/>
      <c r="AE63" s="2275"/>
      <c r="AF63" s="2275"/>
      <c r="AG63" s="2275"/>
      <c r="AH63" s="2275"/>
      <c r="AI63" s="2275"/>
      <c r="AJ63" s="2275"/>
      <c r="AK63" s="2275"/>
      <c r="AL63" s="2275"/>
      <c r="AM63" s="2275"/>
      <c r="AN63" s="2275"/>
      <c r="AO63" s="2275"/>
      <c r="AP63" s="2275"/>
      <c r="AQ63" s="2275"/>
      <c r="AR63" s="2275"/>
      <c r="AS63" s="2275"/>
      <c r="AT63" s="2275"/>
      <c r="AU63" s="2275"/>
      <c r="AV63" s="2275"/>
      <c r="AW63" s="2276"/>
      <c r="AX63" s="974"/>
      <c r="AY63" s="974"/>
      <c r="AZ63" s="974"/>
      <c r="BA63" s="974"/>
      <c r="BB63" s="974"/>
      <c r="BC63" s="974"/>
      <c r="BD63" s="974"/>
      <c r="BE63" s="970"/>
    </row>
    <row r="64" spans="1:58" ht="15.75" customHeight="1" thickBot="1">
      <c r="A64" s="974"/>
      <c r="B64" s="2375" t="str">
        <f>IF(B56="", "", B56)</f>
        <v/>
      </c>
      <c r="C64" s="2376"/>
      <c r="D64" s="2376"/>
      <c r="E64" s="2376"/>
      <c r="F64" s="2376"/>
      <c r="G64" s="2376"/>
      <c r="H64" s="2376"/>
      <c r="I64" s="2377"/>
      <c r="J64" s="2389"/>
      <c r="K64" s="2369"/>
      <c r="L64" s="2369"/>
      <c r="M64" s="2369"/>
      <c r="N64" s="2369"/>
      <c r="O64" s="2369"/>
      <c r="P64" s="2369"/>
      <c r="Q64" s="2369"/>
      <c r="R64" s="2369"/>
      <c r="S64" s="2369"/>
      <c r="T64" s="2369"/>
      <c r="U64" s="2369"/>
      <c r="V64" s="2369"/>
      <c r="W64" s="2369"/>
      <c r="X64" s="2369"/>
      <c r="Y64" s="2369"/>
      <c r="Z64" s="2369"/>
      <c r="AA64" s="2369"/>
      <c r="AB64" s="2369"/>
      <c r="AC64" s="2369"/>
      <c r="AD64" s="2369"/>
      <c r="AE64" s="2369"/>
      <c r="AF64" s="2369"/>
      <c r="AG64" s="2369"/>
      <c r="AH64" s="2369"/>
      <c r="AI64" s="2369"/>
      <c r="AJ64" s="2369"/>
      <c r="AK64" s="2369"/>
      <c r="AL64" s="2369"/>
      <c r="AM64" s="2369"/>
      <c r="AN64" s="2369"/>
      <c r="AO64" s="2369"/>
      <c r="AP64" s="2369"/>
      <c r="AQ64" s="2369"/>
      <c r="AR64" s="2369"/>
      <c r="AS64" s="2369"/>
      <c r="AT64" s="2369"/>
      <c r="AU64" s="2369"/>
      <c r="AV64" s="2369"/>
      <c r="AW64" s="2370"/>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2538</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351" t="s">
        <v>2539</v>
      </c>
      <c r="C68" s="2352"/>
      <c r="D68" s="2352"/>
      <c r="E68" s="2352"/>
      <c r="F68" s="2352"/>
      <c r="G68" s="2352"/>
      <c r="H68" s="2352"/>
      <c r="I68" s="2352"/>
      <c r="J68" s="2352"/>
      <c r="K68" s="2352"/>
      <c r="L68" s="2352"/>
      <c r="M68" s="2352"/>
      <c r="N68" s="2352"/>
      <c r="O68" s="2352"/>
      <c r="P68" s="2352"/>
      <c r="Q68" s="2352"/>
      <c r="R68" s="2352"/>
      <c r="S68" s="2352"/>
      <c r="T68" s="2352"/>
      <c r="U68" s="2352"/>
      <c r="V68" s="2352"/>
      <c r="W68" s="2352"/>
      <c r="X68" s="2352"/>
      <c r="Y68" s="2352"/>
      <c r="Z68" s="2352"/>
      <c r="AA68" s="2353"/>
      <c r="AB68" s="974"/>
      <c r="AC68" s="2103" t="s">
        <v>2540</v>
      </c>
      <c r="AD68" s="2104"/>
      <c r="AE68" s="2104"/>
      <c r="AF68" s="2104"/>
      <c r="AG68" s="2104"/>
      <c r="AH68" s="2104"/>
      <c r="AI68" s="2104"/>
      <c r="AJ68" s="2104"/>
      <c r="AK68" s="2104"/>
      <c r="AL68" s="2104"/>
      <c r="AM68" s="2104"/>
      <c r="AN68" s="2104"/>
      <c r="AO68" s="2104"/>
      <c r="AP68" s="2104"/>
      <c r="AQ68" s="2104"/>
      <c r="AR68" s="2104"/>
      <c r="AS68" s="2104"/>
      <c r="AT68" s="2104"/>
      <c r="AU68" s="2104"/>
      <c r="AV68" s="2154" t="s">
        <v>893</v>
      </c>
      <c r="AW68" s="2155"/>
      <c r="AX68" s="2155"/>
      <c r="AY68" s="2155"/>
      <c r="AZ68" s="2155"/>
      <c r="BA68" s="2155"/>
      <c r="BB68" s="2155"/>
      <c r="BC68" s="2156"/>
      <c r="BD68" s="974"/>
      <c r="BE68" s="970"/>
      <c r="BM68" s="1016" t="s">
        <v>2541</v>
      </c>
    </row>
    <row r="69" spans="1:65" ht="15.75" customHeight="1" thickTop="1" thickBot="1">
      <c r="A69" s="974"/>
      <c r="B69" s="2157" t="s">
        <v>2542</v>
      </c>
      <c r="C69" s="2158"/>
      <c r="D69" s="2158"/>
      <c r="E69" s="2158"/>
      <c r="F69" s="2158"/>
      <c r="G69" s="2158"/>
      <c r="H69" s="2158"/>
      <c r="I69" s="2158"/>
      <c r="J69" s="2158"/>
      <c r="K69" s="2158"/>
      <c r="L69" s="2158"/>
      <c r="M69" s="2158"/>
      <c r="N69" s="2158"/>
      <c r="O69" s="2159" t="s">
        <v>2543</v>
      </c>
      <c r="P69" s="2160"/>
      <c r="Q69" s="2160"/>
      <c r="R69" s="2160"/>
      <c r="S69" s="2160"/>
      <c r="T69" s="2160"/>
      <c r="U69" s="2160"/>
      <c r="V69" s="2160"/>
      <c r="W69" s="2160"/>
      <c r="X69" s="2160"/>
      <c r="Y69" s="2160"/>
      <c r="Z69" s="2160"/>
      <c r="AA69" s="2161"/>
      <c r="AB69" s="974"/>
      <c r="AC69" s="2162" t="s">
        <v>2544</v>
      </c>
      <c r="AD69" s="2163"/>
      <c r="AE69" s="2163"/>
      <c r="AF69" s="2163"/>
      <c r="AG69" s="2163"/>
      <c r="AH69" s="2163"/>
      <c r="AI69" s="2163"/>
      <c r="AJ69" s="2163"/>
      <c r="AK69" s="2163"/>
      <c r="AL69" s="2163"/>
      <c r="AM69" s="2163"/>
      <c r="AN69" s="2163"/>
      <c r="AO69" s="2163"/>
      <c r="AP69" s="2163"/>
      <c r="AQ69" s="2163"/>
      <c r="AR69" s="2163"/>
      <c r="AS69" s="2163"/>
      <c r="AT69" s="2163"/>
      <c r="AU69" s="2163"/>
      <c r="AV69" s="2164"/>
      <c r="AW69" s="2165"/>
      <c r="AX69" s="2165"/>
      <c r="AY69" s="2165"/>
      <c r="AZ69" s="2165"/>
      <c r="BA69" s="2165"/>
      <c r="BB69" s="2165"/>
      <c r="BC69" s="2166"/>
      <c r="BD69" s="974"/>
      <c r="BE69" s="970"/>
      <c r="BM69" s="1015" t="s">
        <v>837</v>
      </c>
    </row>
    <row r="70" spans="1:65" ht="15.75" customHeight="1">
      <c r="A70" s="974"/>
      <c r="B70" s="2167" t="s">
        <v>2545</v>
      </c>
      <c r="C70" s="2168"/>
      <c r="D70" s="2168"/>
      <c r="E70" s="2168"/>
      <c r="F70" s="2168"/>
      <c r="G70" s="2168"/>
      <c r="H70" s="2168"/>
      <c r="I70" s="2168"/>
      <c r="J70" s="2168"/>
      <c r="K70" s="2168"/>
      <c r="L70" s="2168"/>
      <c r="M70" s="2168"/>
      <c r="N70" s="2168"/>
      <c r="O70" s="2132">
        <v>0</v>
      </c>
      <c r="P70" s="2132"/>
      <c r="Q70" s="2132"/>
      <c r="R70" s="2132"/>
      <c r="S70" s="2132"/>
      <c r="T70" s="2132"/>
      <c r="U70" s="2132"/>
      <c r="V70" s="2132"/>
      <c r="W70" s="2132"/>
      <c r="X70" s="2132"/>
      <c r="Y70" s="2132"/>
      <c r="Z70" s="2132"/>
      <c r="AA70" s="2133"/>
      <c r="AB70" s="974"/>
      <c r="AC70" s="2340" t="s">
        <v>2546</v>
      </c>
      <c r="AD70" s="2136"/>
      <c r="AE70" s="2136"/>
      <c r="AF70" s="2365"/>
      <c r="AG70" s="2365"/>
      <c r="AH70" s="2365"/>
      <c r="AI70" s="2365"/>
      <c r="AJ70" s="2365"/>
      <c r="AK70" s="2365"/>
      <c r="AL70" s="2365"/>
      <c r="AM70" s="2365"/>
      <c r="AN70" s="2365"/>
      <c r="AO70" s="2365"/>
      <c r="AP70" s="2365"/>
      <c r="AQ70" s="2365"/>
      <c r="AR70" s="2365"/>
      <c r="AS70" s="2365"/>
      <c r="AT70" s="2365"/>
      <c r="AU70" s="2366"/>
      <c r="AV70" s="974"/>
      <c r="AW70" s="974"/>
      <c r="AX70" s="974"/>
      <c r="AY70" s="974"/>
      <c r="AZ70" s="974"/>
      <c r="BA70" s="974"/>
      <c r="BB70" s="974"/>
      <c r="BC70" s="974"/>
      <c r="BD70" s="974"/>
      <c r="BE70" s="970"/>
      <c r="BM70" s="1014" t="s">
        <v>893</v>
      </c>
    </row>
    <row r="71" spans="1:65" ht="15.75" customHeight="1" thickBot="1">
      <c r="A71" s="974"/>
      <c r="B71" s="2167" t="s">
        <v>2547</v>
      </c>
      <c r="C71" s="2168"/>
      <c r="D71" s="2168"/>
      <c r="E71" s="2168"/>
      <c r="F71" s="2168"/>
      <c r="G71" s="2168"/>
      <c r="H71" s="2168"/>
      <c r="I71" s="2168"/>
      <c r="J71" s="2168"/>
      <c r="K71" s="2168"/>
      <c r="L71" s="2168"/>
      <c r="M71" s="2168"/>
      <c r="N71" s="2168"/>
      <c r="O71" s="2132">
        <v>0</v>
      </c>
      <c r="P71" s="2132"/>
      <c r="Q71" s="2132"/>
      <c r="R71" s="2132"/>
      <c r="S71" s="2132"/>
      <c r="T71" s="2132"/>
      <c r="U71" s="2132"/>
      <c r="V71" s="2132"/>
      <c r="W71" s="2132"/>
      <c r="X71" s="2132"/>
      <c r="Y71" s="2132"/>
      <c r="Z71" s="2132"/>
      <c r="AA71" s="2133"/>
      <c r="AB71" s="974"/>
      <c r="AC71" s="2367" t="s">
        <v>2548</v>
      </c>
      <c r="AD71" s="2368"/>
      <c r="AE71" s="2368"/>
      <c r="AF71" s="2369"/>
      <c r="AG71" s="2369"/>
      <c r="AH71" s="2369"/>
      <c r="AI71" s="2369"/>
      <c r="AJ71" s="2369"/>
      <c r="AK71" s="2369"/>
      <c r="AL71" s="2369"/>
      <c r="AM71" s="2369"/>
      <c r="AN71" s="2369"/>
      <c r="AO71" s="2369"/>
      <c r="AP71" s="2369"/>
      <c r="AQ71" s="2369"/>
      <c r="AR71" s="2369"/>
      <c r="AS71" s="2369"/>
      <c r="AT71" s="2369"/>
      <c r="AU71" s="2370"/>
      <c r="AV71" s="974"/>
      <c r="AW71" s="974"/>
      <c r="AX71" s="974"/>
      <c r="AY71" s="974"/>
      <c r="AZ71" s="974"/>
      <c r="BA71" s="974"/>
      <c r="BB71" s="974"/>
      <c r="BC71" s="974"/>
      <c r="BD71" s="974"/>
      <c r="BE71" s="970"/>
      <c r="BM71" s="965" t="s">
        <v>2549</v>
      </c>
    </row>
    <row r="72" spans="1:65" ht="15.75" customHeight="1">
      <c r="A72" s="974"/>
      <c r="B72" s="2167" t="s">
        <v>2550</v>
      </c>
      <c r="C72" s="2168"/>
      <c r="D72" s="2168"/>
      <c r="E72" s="2168"/>
      <c r="F72" s="2168"/>
      <c r="G72" s="2168"/>
      <c r="H72" s="2168"/>
      <c r="I72" s="2168"/>
      <c r="J72" s="2168"/>
      <c r="K72" s="2168"/>
      <c r="L72" s="2168"/>
      <c r="M72" s="2168"/>
      <c r="N72" s="2168"/>
      <c r="O72" s="2132">
        <v>0</v>
      </c>
      <c r="P72" s="2132"/>
      <c r="Q72" s="2132"/>
      <c r="R72" s="2132"/>
      <c r="S72" s="2132"/>
      <c r="T72" s="2132"/>
      <c r="U72" s="2132"/>
      <c r="V72" s="2132"/>
      <c r="W72" s="2132"/>
      <c r="X72" s="2132"/>
      <c r="Y72" s="2132"/>
      <c r="Z72" s="2132"/>
      <c r="AA72" s="2133"/>
      <c r="AB72" s="974"/>
      <c r="AC72" s="2134" t="s">
        <v>2551</v>
      </c>
      <c r="AD72" s="2135"/>
      <c r="AE72" s="2135"/>
      <c r="AF72" s="2135"/>
      <c r="AG72" s="2135"/>
      <c r="AH72" s="2135"/>
      <c r="AI72" s="2135"/>
      <c r="AJ72" s="2135"/>
      <c r="AK72" s="2135"/>
      <c r="AL72" s="2135"/>
      <c r="AM72" s="2135"/>
      <c r="AN72" s="2135"/>
      <c r="AO72" s="2135"/>
      <c r="AP72" s="2135"/>
      <c r="AQ72" s="2135"/>
      <c r="AR72" s="2135"/>
      <c r="AS72" s="2135"/>
      <c r="AT72" s="2135"/>
      <c r="AU72" s="2135"/>
      <c r="AV72" s="2136"/>
      <c r="AW72" s="2136"/>
      <c r="AX72" s="2136"/>
      <c r="AY72" s="2136"/>
      <c r="AZ72" s="2136"/>
      <c r="BA72" s="2136"/>
      <c r="BB72" s="2136"/>
      <c r="BC72" s="2137"/>
      <c r="BD72" s="974"/>
      <c r="BE72" s="970"/>
    </row>
    <row r="73" spans="1:65" ht="15.75" customHeight="1">
      <c r="A73" s="974"/>
      <c r="B73" s="2138" t="s">
        <v>2552</v>
      </c>
      <c r="C73" s="2139"/>
      <c r="D73" s="2139"/>
      <c r="E73" s="2139"/>
      <c r="F73" s="2139"/>
      <c r="G73" s="2139"/>
      <c r="H73" s="2139"/>
      <c r="I73" s="2139"/>
      <c r="J73" s="2139"/>
      <c r="K73" s="2139"/>
      <c r="L73" s="2139"/>
      <c r="M73" s="2139"/>
      <c r="N73" s="2139"/>
      <c r="O73" s="2132">
        <v>0</v>
      </c>
      <c r="P73" s="2132"/>
      <c r="Q73" s="2132"/>
      <c r="R73" s="2132"/>
      <c r="S73" s="2132"/>
      <c r="T73" s="2132"/>
      <c r="U73" s="2132"/>
      <c r="V73" s="2132"/>
      <c r="W73" s="2132"/>
      <c r="X73" s="2132"/>
      <c r="Y73" s="2132"/>
      <c r="Z73" s="2132"/>
      <c r="AA73" s="2133"/>
      <c r="AB73" s="974"/>
      <c r="AC73" s="2322" t="s">
        <v>2553</v>
      </c>
      <c r="AD73" s="2323"/>
      <c r="AE73" s="2323"/>
      <c r="AF73" s="2323"/>
      <c r="AG73" s="2323"/>
      <c r="AH73" s="2323"/>
      <c r="AI73" s="2323"/>
      <c r="AJ73" s="2323"/>
      <c r="AK73" s="2323"/>
      <c r="AL73" s="2323"/>
      <c r="AM73" s="2323"/>
      <c r="AN73" s="2323"/>
      <c r="AO73" s="2323"/>
      <c r="AP73" s="2323"/>
      <c r="AQ73" s="2323"/>
      <c r="AR73" s="2323"/>
      <c r="AS73" s="2323"/>
      <c r="AT73" s="2323"/>
      <c r="AU73" s="2323"/>
      <c r="AV73" s="2323"/>
      <c r="AW73" s="2323"/>
      <c r="AX73" s="2323"/>
      <c r="AY73" s="2323"/>
      <c r="AZ73" s="2323"/>
      <c r="BA73" s="2323"/>
      <c r="BB73" s="2323"/>
      <c r="BC73" s="2324"/>
      <c r="BD73" s="974"/>
      <c r="BE73" s="970"/>
    </row>
    <row r="74" spans="1:65" ht="15.75" customHeight="1">
      <c r="A74" s="974"/>
      <c r="B74" s="2271"/>
      <c r="C74" s="2272"/>
      <c r="D74" s="2272"/>
      <c r="E74" s="2272"/>
      <c r="F74" s="2272"/>
      <c r="G74" s="2272"/>
      <c r="H74" s="2272"/>
      <c r="I74" s="2272"/>
      <c r="J74" s="2272"/>
      <c r="K74" s="2272"/>
      <c r="L74" s="2272"/>
      <c r="M74" s="2272"/>
      <c r="N74" s="2272"/>
      <c r="O74" s="2132"/>
      <c r="P74" s="2132"/>
      <c r="Q74" s="2132"/>
      <c r="R74" s="2132"/>
      <c r="S74" s="2132"/>
      <c r="T74" s="2132"/>
      <c r="U74" s="2132"/>
      <c r="V74" s="2132"/>
      <c r="W74" s="2132"/>
      <c r="X74" s="2132"/>
      <c r="Y74" s="2132"/>
      <c r="Z74" s="2132"/>
      <c r="AA74" s="2133"/>
      <c r="AB74" s="974"/>
      <c r="AC74" s="2322"/>
      <c r="AD74" s="2323"/>
      <c r="AE74" s="2323"/>
      <c r="AF74" s="2323"/>
      <c r="AG74" s="2323"/>
      <c r="AH74" s="2323"/>
      <c r="AI74" s="2323"/>
      <c r="AJ74" s="2323"/>
      <c r="AK74" s="2323"/>
      <c r="AL74" s="2323"/>
      <c r="AM74" s="2323"/>
      <c r="AN74" s="2323"/>
      <c r="AO74" s="2323"/>
      <c r="AP74" s="2323"/>
      <c r="AQ74" s="2323"/>
      <c r="AR74" s="2323"/>
      <c r="AS74" s="2323"/>
      <c r="AT74" s="2323"/>
      <c r="AU74" s="2323"/>
      <c r="AV74" s="2323"/>
      <c r="AW74" s="2323"/>
      <c r="AX74" s="2323"/>
      <c r="AY74" s="2323"/>
      <c r="AZ74" s="2323"/>
      <c r="BA74" s="2323"/>
      <c r="BB74" s="2323"/>
      <c r="BC74" s="2324"/>
      <c r="BD74" s="974"/>
      <c r="BE74" s="970"/>
    </row>
    <row r="75" spans="1:65" ht="15.75" customHeight="1" thickBot="1">
      <c r="A75" s="974"/>
      <c r="B75" s="2363" t="s">
        <v>1557</v>
      </c>
      <c r="C75" s="2364"/>
      <c r="D75" s="2364"/>
      <c r="E75" s="2364"/>
      <c r="F75" s="2364"/>
      <c r="G75" s="2364"/>
      <c r="H75" s="2364"/>
      <c r="I75" s="2364"/>
      <c r="J75" s="2364"/>
      <c r="K75" s="2364"/>
      <c r="L75" s="2364"/>
      <c r="M75" s="2364"/>
      <c r="N75" s="2364"/>
      <c r="O75" s="2140">
        <f>SUM(O70:AA74)</f>
        <v>0</v>
      </c>
      <c r="P75" s="2140"/>
      <c r="Q75" s="2140"/>
      <c r="R75" s="2140"/>
      <c r="S75" s="2140"/>
      <c r="T75" s="2140"/>
      <c r="U75" s="2140"/>
      <c r="V75" s="2140"/>
      <c r="W75" s="2140"/>
      <c r="X75" s="2140"/>
      <c r="Y75" s="2140"/>
      <c r="Z75" s="2140"/>
      <c r="AA75" s="2141"/>
      <c r="AB75" s="974"/>
      <c r="AC75" s="2322"/>
      <c r="AD75" s="2323"/>
      <c r="AE75" s="2323"/>
      <c r="AF75" s="2323"/>
      <c r="AG75" s="2323"/>
      <c r="AH75" s="2323"/>
      <c r="AI75" s="2323"/>
      <c r="AJ75" s="2323"/>
      <c r="AK75" s="2323"/>
      <c r="AL75" s="2323"/>
      <c r="AM75" s="2323"/>
      <c r="AN75" s="2323"/>
      <c r="AO75" s="2323"/>
      <c r="AP75" s="2323"/>
      <c r="AQ75" s="2323"/>
      <c r="AR75" s="2323"/>
      <c r="AS75" s="2323"/>
      <c r="AT75" s="2323"/>
      <c r="AU75" s="2323"/>
      <c r="AV75" s="2323"/>
      <c r="AW75" s="2323"/>
      <c r="AX75" s="2323"/>
      <c r="AY75" s="2323"/>
      <c r="AZ75" s="2323"/>
      <c r="BA75" s="2323"/>
      <c r="BB75" s="2323"/>
      <c r="BC75" s="2324"/>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22"/>
      <c r="AD76" s="2323"/>
      <c r="AE76" s="2323"/>
      <c r="AF76" s="2323"/>
      <c r="AG76" s="2323"/>
      <c r="AH76" s="2323"/>
      <c r="AI76" s="2323"/>
      <c r="AJ76" s="2323"/>
      <c r="AK76" s="2323"/>
      <c r="AL76" s="2323"/>
      <c r="AM76" s="2323"/>
      <c r="AN76" s="2323"/>
      <c r="AO76" s="2323"/>
      <c r="AP76" s="2323"/>
      <c r="AQ76" s="2323"/>
      <c r="AR76" s="2323"/>
      <c r="AS76" s="2323"/>
      <c r="AT76" s="2323"/>
      <c r="AU76" s="2323"/>
      <c r="AV76" s="2323"/>
      <c r="AW76" s="2323"/>
      <c r="AX76" s="2323"/>
      <c r="AY76" s="2323"/>
      <c r="AZ76" s="2323"/>
      <c r="BA76" s="2323"/>
      <c r="BB76" s="2323"/>
      <c r="BC76" s="2324"/>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25"/>
      <c r="AD77" s="2326"/>
      <c r="AE77" s="2326"/>
      <c r="AF77" s="2326"/>
      <c r="AG77" s="2326"/>
      <c r="AH77" s="2326"/>
      <c r="AI77" s="2326"/>
      <c r="AJ77" s="2326"/>
      <c r="AK77" s="2326"/>
      <c r="AL77" s="2326"/>
      <c r="AM77" s="2326"/>
      <c r="AN77" s="2326"/>
      <c r="AO77" s="2326"/>
      <c r="AP77" s="2326"/>
      <c r="AQ77" s="2326"/>
      <c r="AR77" s="2326"/>
      <c r="AS77" s="2326"/>
      <c r="AT77" s="2326"/>
      <c r="AU77" s="2326"/>
      <c r="AV77" s="2326"/>
      <c r="AW77" s="2326"/>
      <c r="AX77" s="2326"/>
      <c r="AY77" s="2326"/>
      <c r="AZ77" s="2326"/>
      <c r="BA77" s="2326"/>
      <c r="BB77" s="2326"/>
      <c r="BC77" s="2327"/>
      <c r="BD77" s="974"/>
      <c r="BE77" s="970"/>
    </row>
    <row r="78" spans="1:65" ht="15.75" customHeight="1" thickBot="1">
      <c r="A78" s="974"/>
      <c r="B78" s="1002" t="s">
        <v>2554</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2555</v>
      </c>
      <c r="C79" s="1001"/>
      <c r="D79" s="1001"/>
      <c r="E79" s="1013"/>
      <c r="F79" s="2152"/>
      <c r="G79" s="2153"/>
      <c r="H79" s="2153"/>
      <c r="I79" s="2153"/>
      <c r="J79" s="2153"/>
      <c r="K79" s="2153"/>
      <c r="L79" s="2153"/>
      <c r="M79" s="2120"/>
      <c r="N79" s="2120"/>
      <c r="O79" s="2120"/>
      <c r="P79" s="2120"/>
      <c r="Q79" s="2121"/>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2556</v>
      </c>
      <c r="C80" s="1005"/>
      <c r="D80" s="1004"/>
      <c r="E80" s="1004"/>
      <c r="F80" s="1004"/>
      <c r="G80" s="1004"/>
      <c r="H80" s="1004"/>
      <c r="I80" s="1004"/>
      <c r="J80" s="1004"/>
      <c r="K80" s="1004"/>
      <c r="L80" s="1003"/>
      <c r="M80" s="1004"/>
      <c r="N80" s="1003"/>
      <c r="O80" s="2125" t="e">
        <f>BR96/SUM($BR$96:$BR$98)</f>
        <v>#DIV/0!</v>
      </c>
      <c r="P80" s="2126"/>
      <c r="Q80" s="2127"/>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2557</v>
      </c>
      <c r="C81" s="1009"/>
      <c r="D81" s="991"/>
      <c r="E81" s="991"/>
      <c r="F81" s="991"/>
      <c r="G81" s="991"/>
      <c r="H81" s="991"/>
      <c r="I81" s="991"/>
      <c r="J81" s="991"/>
      <c r="K81" s="991"/>
      <c r="L81" s="991"/>
      <c r="M81" s="991"/>
      <c r="N81" s="1011"/>
      <c r="O81" s="2116" t="s">
        <v>2345</v>
      </c>
      <c r="P81" s="2117"/>
      <c r="Q81" s="2118"/>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502" t="s">
        <v>2558</v>
      </c>
      <c r="C83" s="2503"/>
      <c r="D83" s="2503"/>
      <c r="E83" s="2503"/>
      <c r="F83" s="2503"/>
      <c r="G83" s="2503"/>
      <c r="H83" s="2503"/>
      <c r="I83" s="2503"/>
      <c r="J83" s="2503"/>
      <c r="K83" s="2503"/>
      <c r="L83" s="2503"/>
      <c r="M83" s="2503"/>
      <c r="N83" s="2503"/>
      <c r="O83" s="2503"/>
      <c r="P83" s="2503"/>
      <c r="Q83" s="2503"/>
      <c r="R83" s="2503"/>
      <c r="S83" s="2503"/>
      <c r="T83" s="2503"/>
      <c r="U83" s="2503"/>
      <c r="V83" s="2503"/>
      <c r="W83" s="2503"/>
      <c r="X83" s="2503"/>
      <c r="Y83" s="2503"/>
      <c r="Z83" s="2503"/>
      <c r="AA83" s="2503"/>
      <c r="AB83" s="2503"/>
      <c r="AC83" s="2503"/>
      <c r="AD83" s="2503"/>
      <c r="AE83" s="2503"/>
      <c r="AF83" s="2503"/>
      <c r="AG83" s="2503"/>
      <c r="AH83" s="2504"/>
      <c r="AI83" s="974"/>
      <c r="AJ83" s="2106" t="s">
        <v>2559</v>
      </c>
      <c r="AK83" s="2107"/>
      <c r="AL83" s="2107"/>
      <c r="AM83" s="2107"/>
      <c r="AN83" s="2107"/>
      <c r="AO83" s="2107"/>
      <c r="AP83" s="2107"/>
      <c r="AQ83" s="2107"/>
      <c r="AR83" s="2107"/>
      <c r="AS83" s="2107"/>
      <c r="AT83" s="2107"/>
      <c r="AU83" s="2107"/>
      <c r="AV83" s="2107"/>
      <c r="AW83" s="2107"/>
      <c r="AX83" s="2107"/>
      <c r="AY83" s="2128" t="s">
        <v>837</v>
      </c>
      <c r="AZ83" s="2128"/>
      <c r="BA83" s="2128"/>
      <c r="BB83" s="2129"/>
      <c r="BC83" s="974"/>
      <c r="BD83" s="974"/>
      <c r="BE83" s="970"/>
    </row>
    <row r="84" spans="1:70" ht="15.75" customHeight="1">
      <c r="A84" s="974"/>
      <c r="B84" s="2098"/>
      <c r="C84" s="2099"/>
      <c r="D84" s="2099"/>
      <c r="E84" s="2099"/>
      <c r="F84" s="2099"/>
      <c r="G84" s="2099"/>
      <c r="H84" s="2099"/>
      <c r="I84" s="2099" t="s">
        <v>2560</v>
      </c>
      <c r="J84" s="2099"/>
      <c r="K84" s="2099"/>
      <c r="L84" s="2099"/>
      <c r="M84" s="2099"/>
      <c r="N84" s="2099"/>
      <c r="O84" s="2099" t="s">
        <v>2561</v>
      </c>
      <c r="P84" s="2099"/>
      <c r="Q84" s="2099"/>
      <c r="R84" s="2099"/>
      <c r="S84" s="2099"/>
      <c r="T84" s="2099"/>
      <c r="U84" s="2099"/>
      <c r="V84" s="2100" t="s">
        <v>2562</v>
      </c>
      <c r="W84" s="2100"/>
      <c r="X84" s="2100"/>
      <c r="Y84" s="2100"/>
      <c r="Z84" s="2100"/>
      <c r="AA84" s="2100"/>
      <c r="AB84" s="2101" t="s">
        <v>2563</v>
      </c>
      <c r="AC84" s="2101"/>
      <c r="AD84" s="2101"/>
      <c r="AE84" s="2101"/>
      <c r="AF84" s="2101"/>
      <c r="AG84" s="2101"/>
      <c r="AH84" s="2102"/>
      <c r="AI84" s="974"/>
      <c r="AJ84" s="2108"/>
      <c r="AK84" s="2109"/>
      <c r="AL84" s="2109"/>
      <c r="AM84" s="2109"/>
      <c r="AN84" s="2109"/>
      <c r="AO84" s="2109"/>
      <c r="AP84" s="2109"/>
      <c r="AQ84" s="2109"/>
      <c r="AR84" s="2109"/>
      <c r="AS84" s="2109"/>
      <c r="AT84" s="2109"/>
      <c r="AU84" s="2109"/>
      <c r="AV84" s="2109"/>
      <c r="AW84" s="2109"/>
      <c r="AX84" s="2109"/>
      <c r="AY84" s="2130"/>
      <c r="AZ84" s="2130"/>
      <c r="BA84" s="2130"/>
      <c r="BB84" s="2131"/>
      <c r="BC84" s="974"/>
      <c r="BD84" s="974"/>
      <c r="BE84" s="970"/>
    </row>
    <row r="85" spans="1:70" ht="15.75" customHeight="1">
      <c r="A85" s="974"/>
      <c r="B85" s="2098"/>
      <c r="C85" s="2099"/>
      <c r="D85" s="2099"/>
      <c r="E85" s="2099"/>
      <c r="F85" s="2099"/>
      <c r="G85" s="2099"/>
      <c r="H85" s="2099"/>
      <c r="I85" s="2099"/>
      <c r="J85" s="2099"/>
      <c r="K85" s="2099"/>
      <c r="L85" s="2099"/>
      <c r="M85" s="2099"/>
      <c r="N85" s="2099"/>
      <c r="O85" s="2099"/>
      <c r="P85" s="2099"/>
      <c r="Q85" s="2099"/>
      <c r="R85" s="2099"/>
      <c r="S85" s="2099"/>
      <c r="T85" s="2099"/>
      <c r="U85" s="2099"/>
      <c r="V85" s="2100"/>
      <c r="W85" s="2100"/>
      <c r="X85" s="2100"/>
      <c r="Y85" s="2100"/>
      <c r="Z85" s="2100"/>
      <c r="AA85" s="2100"/>
      <c r="AB85" s="2101"/>
      <c r="AC85" s="2101"/>
      <c r="AD85" s="2101"/>
      <c r="AE85" s="2101"/>
      <c r="AF85" s="2101"/>
      <c r="AG85" s="2101"/>
      <c r="AH85" s="2102"/>
      <c r="AI85" s="974"/>
      <c r="AJ85" s="2108"/>
      <c r="AK85" s="2109"/>
      <c r="AL85" s="2109"/>
      <c r="AM85" s="2109"/>
      <c r="AN85" s="2109"/>
      <c r="AO85" s="2109"/>
      <c r="AP85" s="2109"/>
      <c r="AQ85" s="2109"/>
      <c r="AR85" s="2109"/>
      <c r="AS85" s="2109"/>
      <c r="AT85" s="2109"/>
      <c r="AU85" s="2109"/>
      <c r="AV85" s="2109"/>
      <c r="AW85" s="2109"/>
      <c r="AX85" s="2109"/>
      <c r="AY85" s="2130"/>
      <c r="AZ85" s="2130"/>
      <c r="BA85" s="2130"/>
      <c r="BB85" s="2131"/>
      <c r="BC85" s="974"/>
      <c r="BD85" s="974"/>
      <c r="BE85" s="970"/>
    </row>
    <row r="86" spans="1:70" ht="15.75" customHeight="1">
      <c r="A86" s="974"/>
      <c r="B86" s="2098" t="s">
        <v>2564</v>
      </c>
      <c r="C86" s="2099"/>
      <c r="D86" s="2099"/>
      <c r="E86" s="2099"/>
      <c r="F86" s="2099"/>
      <c r="G86" s="2099"/>
      <c r="H86" s="2099"/>
      <c r="I86" s="2096">
        <v>0</v>
      </c>
      <c r="J86" s="2096"/>
      <c r="K86" s="2096"/>
      <c r="L86" s="2096"/>
      <c r="M86" s="2096"/>
      <c r="N86" s="2096"/>
      <c r="O86" s="2096">
        <v>0</v>
      </c>
      <c r="P86" s="2096"/>
      <c r="Q86" s="2096"/>
      <c r="R86" s="2096"/>
      <c r="S86" s="2096"/>
      <c r="T86" s="2096"/>
      <c r="U86" s="2096"/>
      <c r="V86" s="2096">
        <v>0</v>
      </c>
      <c r="W86" s="2096"/>
      <c r="X86" s="2096"/>
      <c r="Y86" s="2096"/>
      <c r="Z86" s="2096"/>
      <c r="AA86" s="2096"/>
      <c r="AB86" s="2096">
        <v>0</v>
      </c>
      <c r="AC86" s="2096"/>
      <c r="AD86" s="2096"/>
      <c r="AE86" s="2096"/>
      <c r="AF86" s="2096"/>
      <c r="AG86" s="2096"/>
      <c r="AH86" s="2097"/>
      <c r="AI86" s="974"/>
      <c r="AJ86" s="2108"/>
      <c r="AK86" s="2109"/>
      <c r="AL86" s="2109"/>
      <c r="AM86" s="2109"/>
      <c r="AN86" s="2109"/>
      <c r="AO86" s="2109"/>
      <c r="AP86" s="2109"/>
      <c r="AQ86" s="2109"/>
      <c r="AR86" s="2109"/>
      <c r="AS86" s="2109"/>
      <c r="AT86" s="2109"/>
      <c r="AU86" s="2109"/>
      <c r="AV86" s="2109"/>
      <c r="AW86" s="2109"/>
      <c r="AX86" s="2109"/>
      <c r="AY86" s="2130"/>
      <c r="AZ86" s="2130"/>
      <c r="BA86" s="2130"/>
      <c r="BB86" s="2131"/>
      <c r="BC86" s="974"/>
      <c r="BD86" s="974"/>
      <c r="BE86" s="970"/>
    </row>
    <row r="87" spans="1:70" ht="15.75" customHeight="1">
      <c r="A87" s="974"/>
      <c r="B87" s="2098" t="s">
        <v>2565</v>
      </c>
      <c r="C87" s="2099"/>
      <c r="D87" s="2099"/>
      <c r="E87" s="2099"/>
      <c r="F87" s="2099"/>
      <c r="G87" s="2099"/>
      <c r="H87" s="2099"/>
      <c r="I87" s="2096">
        <v>0</v>
      </c>
      <c r="J87" s="2096"/>
      <c r="K87" s="2096"/>
      <c r="L87" s="2096"/>
      <c r="M87" s="2096"/>
      <c r="N87" s="2096"/>
      <c r="O87" s="2096">
        <v>0</v>
      </c>
      <c r="P87" s="2096"/>
      <c r="Q87" s="2096"/>
      <c r="R87" s="2096"/>
      <c r="S87" s="2096"/>
      <c r="T87" s="2096"/>
      <c r="U87" s="2096"/>
      <c r="V87" s="2096">
        <v>0</v>
      </c>
      <c r="W87" s="2096"/>
      <c r="X87" s="2096"/>
      <c r="Y87" s="2096"/>
      <c r="Z87" s="2096"/>
      <c r="AA87" s="2096"/>
      <c r="AB87" s="2096">
        <v>0</v>
      </c>
      <c r="AC87" s="2096"/>
      <c r="AD87" s="2096"/>
      <c r="AE87" s="2096"/>
      <c r="AF87" s="2096"/>
      <c r="AG87" s="2096"/>
      <c r="AH87" s="2097"/>
      <c r="AI87" s="974"/>
      <c r="AJ87" s="2110" t="s">
        <v>2566</v>
      </c>
      <c r="AK87" s="2111"/>
      <c r="AL87" s="2111"/>
      <c r="AM87" s="2111"/>
      <c r="AN87" s="2111"/>
      <c r="AO87" s="2111"/>
      <c r="AP87" s="2111"/>
      <c r="AQ87" s="2111"/>
      <c r="AR87" s="2111"/>
      <c r="AS87" s="2111"/>
      <c r="AT87" s="2111"/>
      <c r="AU87" s="2111"/>
      <c r="AV87" s="2111"/>
      <c r="AW87" s="2111"/>
      <c r="AX87" s="2111"/>
      <c r="AY87" s="2111"/>
      <c r="AZ87" s="2111"/>
      <c r="BA87" s="2111"/>
      <c r="BB87" s="2112"/>
      <c r="BC87" s="974"/>
      <c r="BD87" s="974"/>
      <c r="BE87" s="970"/>
    </row>
    <row r="88" spans="1:70" ht="15.75" customHeight="1" thickBot="1">
      <c r="A88" s="974"/>
      <c r="B88" s="2092" t="s">
        <v>2567</v>
      </c>
      <c r="C88" s="2093"/>
      <c r="D88" s="2093"/>
      <c r="E88" s="2093"/>
      <c r="F88" s="2093"/>
      <c r="G88" s="2093"/>
      <c r="H88" s="2093"/>
      <c r="I88" s="2094">
        <v>0</v>
      </c>
      <c r="J88" s="2094"/>
      <c r="K88" s="2094"/>
      <c r="L88" s="2094"/>
      <c r="M88" s="2094"/>
      <c r="N88" s="2094"/>
      <c r="O88" s="2094">
        <v>0</v>
      </c>
      <c r="P88" s="2094"/>
      <c r="Q88" s="2094"/>
      <c r="R88" s="2094"/>
      <c r="S88" s="2094"/>
      <c r="T88" s="2094"/>
      <c r="U88" s="2094"/>
      <c r="V88" s="2094">
        <v>0</v>
      </c>
      <c r="W88" s="2094"/>
      <c r="X88" s="2094"/>
      <c r="Y88" s="2094"/>
      <c r="Z88" s="2094"/>
      <c r="AA88" s="2094"/>
      <c r="AB88" s="2094">
        <v>0</v>
      </c>
      <c r="AC88" s="2094"/>
      <c r="AD88" s="2094"/>
      <c r="AE88" s="2094"/>
      <c r="AF88" s="2094"/>
      <c r="AG88" s="2094"/>
      <c r="AH88" s="2095"/>
      <c r="AI88" s="974"/>
      <c r="AJ88" s="2113"/>
      <c r="AK88" s="2114"/>
      <c r="AL88" s="2114"/>
      <c r="AM88" s="2114"/>
      <c r="AN88" s="2114"/>
      <c r="AO88" s="2114"/>
      <c r="AP88" s="2114"/>
      <c r="AQ88" s="2114"/>
      <c r="AR88" s="2114"/>
      <c r="AS88" s="2114"/>
      <c r="AT88" s="2114"/>
      <c r="AU88" s="2114"/>
      <c r="AV88" s="2114"/>
      <c r="AW88" s="2114"/>
      <c r="AX88" s="2114"/>
      <c r="AY88" s="2114"/>
      <c r="AZ88" s="2114"/>
      <c r="BA88" s="2114"/>
      <c r="BB88" s="2115"/>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2568</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2555</v>
      </c>
      <c r="C92" s="999"/>
      <c r="D92" s="998"/>
      <c r="E92" s="997"/>
      <c r="F92" s="2119"/>
      <c r="G92" s="2120"/>
      <c r="H92" s="2120"/>
      <c r="I92" s="2120"/>
      <c r="J92" s="2120"/>
      <c r="K92" s="2120"/>
      <c r="L92" s="2120"/>
      <c r="M92" s="2120"/>
      <c r="N92" s="2120"/>
      <c r="O92" s="2120"/>
      <c r="P92" s="2120"/>
      <c r="Q92" s="2121"/>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2556</v>
      </c>
      <c r="C93" s="1005"/>
      <c r="D93" s="1004"/>
      <c r="E93" s="1004"/>
      <c r="F93" s="1004"/>
      <c r="G93" s="1004"/>
      <c r="H93" s="1004"/>
      <c r="I93" s="1004"/>
      <c r="J93" s="1004"/>
      <c r="K93" s="1004"/>
      <c r="L93" s="1003"/>
      <c r="M93" s="1004"/>
      <c r="N93" s="1003"/>
      <c r="O93" s="2125" t="e">
        <f>BR97/SUM($BR$96:$BR$98)</f>
        <v>#DIV/0!</v>
      </c>
      <c r="P93" s="2126"/>
      <c r="Q93" s="2127"/>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2569</v>
      </c>
      <c r="C94" s="1009"/>
      <c r="D94" s="991"/>
      <c r="E94" s="991"/>
      <c r="F94" s="991"/>
      <c r="G94" s="991"/>
      <c r="H94" s="991"/>
      <c r="I94" s="991"/>
      <c r="J94" s="991"/>
      <c r="K94" s="991"/>
      <c r="L94" s="991"/>
      <c r="M94" s="991"/>
      <c r="N94" s="1011"/>
      <c r="O94" s="2116" t="s">
        <v>2345</v>
      </c>
      <c r="P94" s="2117"/>
      <c r="Q94" s="2118"/>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502" t="s">
        <v>2570</v>
      </c>
      <c r="C96" s="2503"/>
      <c r="D96" s="2503"/>
      <c r="E96" s="2503"/>
      <c r="F96" s="2503"/>
      <c r="G96" s="2503"/>
      <c r="H96" s="2503"/>
      <c r="I96" s="2503"/>
      <c r="J96" s="2503"/>
      <c r="K96" s="2503"/>
      <c r="L96" s="2503"/>
      <c r="M96" s="2503"/>
      <c r="N96" s="2503"/>
      <c r="O96" s="2503"/>
      <c r="P96" s="2503"/>
      <c r="Q96" s="2503"/>
      <c r="R96" s="2503"/>
      <c r="S96" s="2503"/>
      <c r="T96" s="2503"/>
      <c r="U96" s="2503"/>
      <c r="V96" s="2503"/>
      <c r="W96" s="2503"/>
      <c r="X96" s="2503"/>
      <c r="Y96" s="2503"/>
      <c r="Z96" s="2503"/>
      <c r="AA96" s="2503"/>
      <c r="AB96" s="2503"/>
      <c r="AC96" s="2503"/>
      <c r="AD96" s="2503"/>
      <c r="AE96" s="2503"/>
      <c r="AF96" s="2503"/>
      <c r="AG96" s="2503"/>
      <c r="AH96" s="2504"/>
      <c r="AI96" s="974"/>
      <c r="AJ96" s="2106" t="s">
        <v>2571</v>
      </c>
      <c r="AK96" s="2107"/>
      <c r="AL96" s="2107"/>
      <c r="AM96" s="2107"/>
      <c r="AN96" s="2107"/>
      <c r="AO96" s="2107"/>
      <c r="AP96" s="2107"/>
      <c r="AQ96" s="2107"/>
      <c r="AR96" s="2107"/>
      <c r="AS96" s="2107"/>
      <c r="AT96" s="2107"/>
      <c r="AU96" s="2107"/>
      <c r="AV96" s="2107"/>
      <c r="AW96" s="2107"/>
      <c r="AX96" s="2107"/>
      <c r="AY96" s="2128" t="s">
        <v>837</v>
      </c>
      <c r="AZ96" s="2128"/>
      <c r="BA96" s="2128"/>
      <c r="BB96" s="2129"/>
      <c r="BC96" s="974"/>
      <c r="BD96" s="974"/>
      <c r="BE96" s="970"/>
      <c r="BQ96" s="1010" t="str">
        <f>Application!M243</f>
        <v>Abode HD 678 Ralston LLC</v>
      </c>
      <c r="BR96" s="1010">
        <f>Application!AH245</f>
        <v>0</v>
      </c>
    </row>
    <row r="97" spans="1:70" ht="15.75" customHeight="1">
      <c r="A97" s="974"/>
      <c r="B97" s="2098"/>
      <c r="C97" s="2099"/>
      <c r="D97" s="2099"/>
      <c r="E97" s="2099"/>
      <c r="F97" s="2099"/>
      <c r="G97" s="2099"/>
      <c r="H97" s="2099"/>
      <c r="I97" s="2099" t="s">
        <v>2560</v>
      </c>
      <c r="J97" s="2099"/>
      <c r="K97" s="2099"/>
      <c r="L97" s="2099"/>
      <c r="M97" s="2099"/>
      <c r="N97" s="2099"/>
      <c r="O97" s="2099" t="s">
        <v>2561</v>
      </c>
      <c r="P97" s="2099"/>
      <c r="Q97" s="2099"/>
      <c r="R97" s="2099"/>
      <c r="S97" s="2099"/>
      <c r="T97" s="2099"/>
      <c r="U97" s="2099"/>
      <c r="V97" s="2100" t="s">
        <v>2562</v>
      </c>
      <c r="W97" s="2100"/>
      <c r="X97" s="2100"/>
      <c r="Y97" s="2100"/>
      <c r="Z97" s="2100"/>
      <c r="AA97" s="2100"/>
      <c r="AB97" s="2101" t="s">
        <v>2563</v>
      </c>
      <c r="AC97" s="2101"/>
      <c r="AD97" s="2101"/>
      <c r="AE97" s="2101"/>
      <c r="AF97" s="2101"/>
      <c r="AG97" s="2101"/>
      <c r="AH97" s="2102"/>
      <c r="AI97" s="974"/>
      <c r="AJ97" s="2108"/>
      <c r="AK97" s="2109"/>
      <c r="AL97" s="2109"/>
      <c r="AM97" s="2109"/>
      <c r="AN97" s="2109"/>
      <c r="AO97" s="2109"/>
      <c r="AP97" s="2109"/>
      <c r="AQ97" s="2109"/>
      <c r="AR97" s="2109"/>
      <c r="AS97" s="2109"/>
      <c r="AT97" s="2109"/>
      <c r="AU97" s="2109"/>
      <c r="AV97" s="2109"/>
      <c r="AW97" s="2109"/>
      <c r="AX97" s="2109"/>
      <c r="AY97" s="2130"/>
      <c r="AZ97" s="2130"/>
      <c r="BA97" s="2130"/>
      <c r="BB97" s="2131"/>
      <c r="BC97" s="974"/>
      <c r="BD97" s="974"/>
      <c r="BE97" s="970"/>
      <c r="BQ97" s="1010" t="str">
        <f>Application!M251</f>
        <v>The Ridge at Ralston AGP LLC</v>
      </c>
      <c r="BR97" s="1010">
        <f>Application!AH253</f>
        <v>0</v>
      </c>
    </row>
    <row r="98" spans="1:70" ht="15.75" customHeight="1">
      <c r="A98" s="974"/>
      <c r="B98" s="2098"/>
      <c r="C98" s="2099"/>
      <c r="D98" s="2099"/>
      <c r="E98" s="2099"/>
      <c r="F98" s="2099"/>
      <c r="G98" s="2099"/>
      <c r="H98" s="2099"/>
      <c r="I98" s="2099"/>
      <c r="J98" s="2099"/>
      <c r="K98" s="2099"/>
      <c r="L98" s="2099"/>
      <c r="M98" s="2099"/>
      <c r="N98" s="2099"/>
      <c r="O98" s="2099"/>
      <c r="P98" s="2099"/>
      <c r="Q98" s="2099"/>
      <c r="R98" s="2099"/>
      <c r="S98" s="2099"/>
      <c r="T98" s="2099"/>
      <c r="U98" s="2099"/>
      <c r="V98" s="2100"/>
      <c r="W98" s="2100"/>
      <c r="X98" s="2100"/>
      <c r="Y98" s="2100"/>
      <c r="Z98" s="2100"/>
      <c r="AA98" s="2100"/>
      <c r="AB98" s="2101"/>
      <c r="AC98" s="2101"/>
      <c r="AD98" s="2101"/>
      <c r="AE98" s="2101"/>
      <c r="AF98" s="2101"/>
      <c r="AG98" s="2101"/>
      <c r="AH98" s="2102"/>
      <c r="AI98" s="974"/>
      <c r="AJ98" s="2108"/>
      <c r="AK98" s="2109"/>
      <c r="AL98" s="2109"/>
      <c r="AM98" s="2109"/>
      <c r="AN98" s="2109"/>
      <c r="AO98" s="2109"/>
      <c r="AP98" s="2109"/>
      <c r="AQ98" s="2109"/>
      <c r="AR98" s="2109"/>
      <c r="AS98" s="2109"/>
      <c r="AT98" s="2109"/>
      <c r="AU98" s="2109"/>
      <c r="AV98" s="2109"/>
      <c r="AW98" s="2109"/>
      <c r="AX98" s="2109"/>
      <c r="AY98" s="2130"/>
      <c r="AZ98" s="2130"/>
      <c r="BA98" s="2130"/>
      <c r="BB98" s="2131"/>
      <c r="BC98" s="974"/>
      <c r="BD98" s="974"/>
      <c r="BE98" s="970"/>
      <c r="BQ98" s="1010">
        <f>Application!M259</f>
        <v>0</v>
      </c>
      <c r="BR98" s="1010">
        <f>Application!AH261</f>
        <v>0</v>
      </c>
    </row>
    <row r="99" spans="1:70" ht="15.75" customHeight="1">
      <c r="A99" s="974"/>
      <c r="B99" s="2098" t="s">
        <v>2564</v>
      </c>
      <c r="C99" s="2099"/>
      <c r="D99" s="2099"/>
      <c r="E99" s="2099"/>
      <c r="F99" s="2099"/>
      <c r="G99" s="2099"/>
      <c r="H99" s="2099"/>
      <c r="I99" s="2096">
        <v>0</v>
      </c>
      <c r="J99" s="2096"/>
      <c r="K99" s="2096"/>
      <c r="L99" s="2096"/>
      <c r="M99" s="2096"/>
      <c r="N99" s="2096"/>
      <c r="O99" s="2096">
        <v>0</v>
      </c>
      <c r="P99" s="2096"/>
      <c r="Q99" s="2096"/>
      <c r="R99" s="2096"/>
      <c r="S99" s="2096"/>
      <c r="T99" s="2096"/>
      <c r="U99" s="2096"/>
      <c r="V99" s="2096">
        <v>0</v>
      </c>
      <c r="W99" s="2096"/>
      <c r="X99" s="2096"/>
      <c r="Y99" s="2096"/>
      <c r="Z99" s="2096"/>
      <c r="AA99" s="2096"/>
      <c r="AB99" s="2096">
        <v>0</v>
      </c>
      <c r="AC99" s="2096"/>
      <c r="AD99" s="2096"/>
      <c r="AE99" s="2096"/>
      <c r="AF99" s="2096"/>
      <c r="AG99" s="2096"/>
      <c r="AH99" s="2097"/>
      <c r="AI99" s="974"/>
      <c r="AJ99" s="2108"/>
      <c r="AK99" s="2109"/>
      <c r="AL99" s="2109"/>
      <c r="AM99" s="2109"/>
      <c r="AN99" s="2109"/>
      <c r="AO99" s="2109"/>
      <c r="AP99" s="2109"/>
      <c r="AQ99" s="2109"/>
      <c r="AR99" s="2109"/>
      <c r="AS99" s="2109"/>
      <c r="AT99" s="2109"/>
      <c r="AU99" s="2109"/>
      <c r="AV99" s="2109"/>
      <c r="AW99" s="2109"/>
      <c r="AX99" s="2109"/>
      <c r="AY99" s="2130"/>
      <c r="AZ99" s="2130"/>
      <c r="BA99" s="2130"/>
      <c r="BB99" s="2131"/>
      <c r="BC99" s="974"/>
      <c r="BD99" s="974"/>
      <c r="BE99" s="970"/>
    </row>
    <row r="100" spans="1:70" ht="15.75" customHeight="1">
      <c r="A100" s="974"/>
      <c r="B100" s="2098" t="s">
        <v>2565</v>
      </c>
      <c r="C100" s="2099"/>
      <c r="D100" s="2099"/>
      <c r="E100" s="2099"/>
      <c r="F100" s="2099"/>
      <c r="G100" s="2099"/>
      <c r="H100" s="2099"/>
      <c r="I100" s="2096">
        <v>0</v>
      </c>
      <c r="J100" s="2096"/>
      <c r="K100" s="2096"/>
      <c r="L100" s="2096"/>
      <c r="M100" s="2096"/>
      <c r="N100" s="2096"/>
      <c r="O100" s="2096">
        <v>0</v>
      </c>
      <c r="P100" s="2096"/>
      <c r="Q100" s="2096"/>
      <c r="R100" s="2096"/>
      <c r="S100" s="2096"/>
      <c r="T100" s="2096"/>
      <c r="U100" s="2096"/>
      <c r="V100" s="2096">
        <v>0</v>
      </c>
      <c r="W100" s="2096"/>
      <c r="X100" s="2096"/>
      <c r="Y100" s="2096"/>
      <c r="Z100" s="2096"/>
      <c r="AA100" s="2096"/>
      <c r="AB100" s="2096">
        <v>0</v>
      </c>
      <c r="AC100" s="2096"/>
      <c r="AD100" s="2096"/>
      <c r="AE100" s="2096"/>
      <c r="AF100" s="2096"/>
      <c r="AG100" s="2096"/>
      <c r="AH100" s="2097"/>
      <c r="AI100" s="974"/>
      <c r="AJ100" s="2110" t="s">
        <v>2566</v>
      </c>
      <c r="AK100" s="2111"/>
      <c r="AL100" s="2111"/>
      <c r="AM100" s="2111"/>
      <c r="AN100" s="2111"/>
      <c r="AO100" s="2111"/>
      <c r="AP100" s="2111"/>
      <c r="AQ100" s="2111"/>
      <c r="AR100" s="2111"/>
      <c r="AS100" s="2111"/>
      <c r="AT100" s="2111"/>
      <c r="AU100" s="2111"/>
      <c r="AV100" s="2111"/>
      <c r="AW100" s="2111"/>
      <c r="AX100" s="2111"/>
      <c r="AY100" s="2111"/>
      <c r="AZ100" s="2111"/>
      <c r="BA100" s="2111"/>
      <c r="BB100" s="2112"/>
      <c r="BC100" s="974"/>
      <c r="BD100" s="974"/>
      <c r="BE100" s="970"/>
    </row>
    <row r="101" spans="1:70" ht="15.75" customHeight="1" thickBot="1">
      <c r="A101" s="974"/>
      <c r="B101" s="2092" t="s">
        <v>2567</v>
      </c>
      <c r="C101" s="2093"/>
      <c r="D101" s="2093"/>
      <c r="E101" s="2093"/>
      <c r="F101" s="2093"/>
      <c r="G101" s="2093"/>
      <c r="H101" s="2093"/>
      <c r="I101" s="2094">
        <v>0</v>
      </c>
      <c r="J101" s="2094"/>
      <c r="K101" s="2094"/>
      <c r="L101" s="2094"/>
      <c r="M101" s="2094"/>
      <c r="N101" s="2094"/>
      <c r="O101" s="2094">
        <v>0</v>
      </c>
      <c r="P101" s="2094"/>
      <c r="Q101" s="2094"/>
      <c r="R101" s="2094"/>
      <c r="S101" s="2094"/>
      <c r="T101" s="2094"/>
      <c r="U101" s="2094"/>
      <c r="V101" s="2094">
        <v>0</v>
      </c>
      <c r="W101" s="2094"/>
      <c r="X101" s="2094"/>
      <c r="Y101" s="2094"/>
      <c r="Z101" s="2094"/>
      <c r="AA101" s="2094"/>
      <c r="AB101" s="2094">
        <v>0</v>
      </c>
      <c r="AC101" s="2094"/>
      <c r="AD101" s="2094"/>
      <c r="AE101" s="2094"/>
      <c r="AF101" s="2094"/>
      <c r="AG101" s="2094"/>
      <c r="AH101" s="2095"/>
      <c r="AI101" s="974"/>
      <c r="AJ101" s="2113"/>
      <c r="AK101" s="2114"/>
      <c r="AL101" s="2114"/>
      <c r="AM101" s="2114"/>
      <c r="AN101" s="2114"/>
      <c r="AO101" s="2114"/>
      <c r="AP101" s="2114"/>
      <c r="AQ101" s="2114"/>
      <c r="AR101" s="2114"/>
      <c r="AS101" s="2114"/>
      <c r="AT101" s="2114"/>
      <c r="AU101" s="2114"/>
      <c r="AV101" s="2114"/>
      <c r="AW101" s="2114"/>
      <c r="AX101" s="2114"/>
      <c r="AY101" s="2114"/>
      <c r="AZ101" s="2114"/>
      <c r="BA101" s="2114"/>
      <c r="BB101" s="2115"/>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2572</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2555</v>
      </c>
      <c r="C104" s="999"/>
      <c r="D104" s="998"/>
      <c r="E104" s="997"/>
      <c r="F104" s="2122"/>
      <c r="G104" s="2123"/>
      <c r="H104" s="2123"/>
      <c r="I104" s="2123"/>
      <c r="J104" s="2123"/>
      <c r="K104" s="2123"/>
      <c r="L104" s="2123"/>
      <c r="M104" s="2123"/>
      <c r="N104" s="2123"/>
      <c r="O104" s="2123"/>
      <c r="P104" s="2123"/>
      <c r="Q104" s="2123"/>
      <c r="R104" s="212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2556</v>
      </c>
      <c r="C105" s="1005"/>
      <c r="D105" s="1004"/>
      <c r="E105" s="1004"/>
      <c r="F105" s="1004"/>
      <c r="G105" s="1004"/>
      <c r="H105" s="1004"/>
      <c r="I105" s="1004"/>
      <c r="J105" s="1004"/>
      <c r="K105" s="1004"/>
      <c r="L105" s="1003"/>
      <c r="M105" s="1004"/>
      <c r="N105" s="1003"/>
      <c r="O105" s="2116" t="e">
        <f>BR98/SUM(BR96:BR98)</f>
        <v>#DIV/0!</v>
      </c>
      <c r="P105" s="2117"/>
      <c r="Q105" s="2117"/>
      <c r="R105" s="2118"/>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103" t="s">
        <v>2573</v>
      </c>
      <c r="C107" s="2104"/>
      <c r="D107" s="2104"/>
      <c r="E107" s="2104"/>
      <c r="F107" s="2104"/>
      <c r="G107" s="2104"/>
      <c r="H107" s="2104"/>
      <c r="I107" s="2104"/>
      <c r="J107" s="2104"/>
      <c r="K107" s="2104"/>
      <c r="L107" s="2104"/>
      <c r="M107" s="2104"/>
      <c r="N107" s="2104"/>
      <c r="O107" s="2104"/>
      <c r="P107" s="2104"/>
      <c r="Q107" s="2104"/>
      <c r="R107" s="2104"/>
      <c r="S107" s="2104"/>
      <c r="T107" s="2104"/>
      <c r="U107" s="2104"/>
      <c r="V107" s="2104"/>
      <c r="W107" s="2104"/>
      <c r="X107" s="2104"/>
      <c r="Y107" s="2104"/>
      <c r="Z107" s="2104"/>
      <c r="AA107" s="2104"/>
      <c r="AB107" s="2104"/>
      <c r="AC107" s="2104"/>
      <c r="AD107" s="2104"/>
      <c r="AE107" s="2104"/>
      <c r="AF107" s="2104"/>
      <c r="AG107" s="2104"/>
      <c r="AH107" s="2105"/>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098"/>
      <c r="C108" s="2099"/>
      <c r="D108" s="2099"/>
      <c r="E108" s="2099"/>
      <c r="F108" s="2099"/>
      <c r="G108" s="2099"/>
      <c r="H108" s="2099"/>
      <c r="I108" s="2099" t="s">
        <v>2560</v>
      </c>
      <c r="J108" s="2099"/>
      <c r="K108" s="2099"/>
      <c r="L108" s="2099"/>
      <c r="M108" s="2099"/>
      <c r="N108" s="2099"/>
      <c r="O108" s="2099" t="s">
        <v>2561</v>
      </c>
      <c r="P108" s="2099"/>
      <c r="Q108" s="2099"/>
      <c r="R108" s="2099"/>
      <c r="S108" s="2099"/>
      <c r="T108" s="2099"/>
      <c r="U108" s="2099"/>
      <c r="V108" s="2100" t="s">
        <v>2562</v>
      </c>
      <c r="W108" s="2100"/>
      <c r="X108" s="2100"/>
      <c r="Y108" s="2100"/>
      <c r="Z108" s="2100"/>
      <c r="AA108" s="2100"/>
      <c r="AB108" s="2101" t="s">
        <v>2563</v>
      </c>
      <c r="AC108" s="2101"/>
      <c r="AD108" s="2101"/>
      <c r="AE108" s="2101"/>
      <c r="AF108" s="2101"/>
      <c r="AG108" s="2101"/>
      <c r="AH108" s="2102"/>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098"/>
      <c r="C109" s="2099"/>
      <c r="D109" s="2099"/>
      <c r="E109" s="2099"/>
      <c r="F109" s="2099"/>
      <c r="G109" s="2099"/>
      <c r="H109" s="2099"/>
      <c r="I109" s="2099"/>
      <c r="J109" s="2099"/>
      <c r="K109" s="2099"/>
      <c r="L109" s="2099"/>
      <c r="M109" s="2099"/>
      <c r="N109" s="2099"/>
      <c r="O109" s="2099"/>
      <c r="P109" s="2099"/>
      <c r="Q109" s="2099"/>
      <c r="R109" s="2099"/>
      <c r="S109" s="2099"/>
      <c r="T109" s="2099"/>
      <c r="U109" s="2099"/>
      <c r="V109" s="2100"/>
      <c r="W109" s="2100"/>
      <c r="X109" s="2100"/>
      <c r="Y109" s="2100"/>
      <c r="Z109" s="2100"/>
      <c r="AA109" s="2100"/>
      <c r="AB109" s="2101"/>
      <c r="AC109" s="2101"/>
      <c r="AD109" s="2101"/>
      <c r="AE109" s="2101"/>
      <c r="AF109" s="2101"/>
      <c r="AG109" s="2101"/>
      <c r="AH109" s="2102"/>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098" t="s">
        <v>2564</v>
      </c>
      <c r="C110" s="2099"/>
      <c r="D110" s="2099"/>
      <c r="E110" s="2099"/>
      <c r="F110" s="2099"/>
      <c r="G110" s="2099"/>
      <c r="H110" s="2099"/>
      <c r="I110" s="2096">
        <v>0</v>
      </c>
      <c r="J110" s="2096"/>
      <c r="K110" s="2096"/>
      <c r="L110" s="2096"/>
      <c r="M110" s="2096"/>
      <c r="N110" s="2096"/>
      <c r="O110" s="2096">
        <v>0</v>
      </c>
      <c r="P110" s="2096"/>
      <c r="Q110" s="2096"/>
      <c r="R110" s="2096"/>
      <c r="S110" s="2096"/>
      <c r="T110" s="2096"/>
      <c r="U110" s="2096"/>
      <c r="V110" s="2096">
        <v>0</v>
      </c>
      <c r="W110" s="2096"/>
      <c r="X110" s="2096"/>
      <c r="Y110" s="2096"/>
      <c r="Z110" s="2096"/>
      <c r="AA110" s="2096"/>
      <c r="AB110" s="2096">
        <v>0</v>
      </c>
      <c r="AC110" s="2096"/>
      <c r="AD110" s="2096"/>
      <c r="AE110" s="2096"/>
      <c r="AF110" s="2096"/>
      <c r="AG110" s="2096"/>
      <c r="AH110" s="2097"/>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098" t="s">
        <v>2565</v>
      </c>
      <c r="C111" s="2099"/>
      <c r="D111" s="2099"/>
      <c r="E111" s="2099"/>
      <c r="F111" s="2099"/>
      <c r="G111" s="2099"/>
      <c r="H111" s="2099"/>
      <c r="I111" s="2096">
        <v>0</v>
      </c>
      <c r="J111" s="2096"/>
      <c r="K111" s="2096"/>
      <c r="L111" s="2096"/>
      <c r="M111" s="2096"/>
      <c r="N111" s="2096"/>
      <c r="O111" s="2096">
        <v>0</v>
      </c>
      <c r="P111" s="2096"/>
      <c r="Q111" s="2096"/>
      <c r="R111" s="2096"/>
      <c r="S111" s="2096"/>
      <c r="T111" s="2096"/>
      <c r="U111" s="2096"/>
      <c r="V111" s="2096">
        <v>0</v>
      </c>
      <c r="W111" s="2096"/>
      <c r="X111" s="2096"/>
      <c r="Y111" s="2096"/>
      <c r="Z111" s="2096"/>
      <c r="AA111" s="2096"/>
      <c r="AB111" s="2096">
        <v>0</v>
      </c>
      <c r="AC111" s="2096"/>
      <c r="AD111" s="2096"/>
      <c r="AE111" s="2096"/>
      <c r="AF111" s="2096"/>
      <c r="AG111" s="2096"/>
      <c r="AH111" s="2097"/>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092" t="s">
        <v>2567</v>
      </c>
      <c r="C112" s="2093"/>
      <c r="D112" s="2093"/>
      <c r="E112" s="2093"/>
      <c r="F112" s="2093"/>
      <c r="G112" s="2093"/>
      <c r="H112" s="2093"/>
      <c r="I112" s="2094">
        <v>0</v>
      </c>
      <c r="J112" s="2094"/>
      <c r="K112" s="2094"/>
      <c r="L112" s="2094"/>
      <c r="M112" s="2094"/>
      <c r="N112" s="2094"/>
      <c r="O112" s="2094">
        <v>0</v>
      </c>
      <c r="P112" s="2094"/>
      <c r="Q112" s="2094"/>
      <c r="R112" s="2094"/>
      <c r="S112" s="2094"/>
      <c r="T112" s="2094"/>
      <c r="U112" s="2094"/>
      <c r="V112" s="2094">
        <v>0</v>
      </c>
      <c r="W112" s="2094"/>
      <c r="X112" s="2094"/>
      <c r="Y112" s="2094"/>
      <c r="Z112" s="2094"/>
      <c r="AA112" s="2094"/>
      <c r="AB112" s="2094">
        <v>0</v>
      </c>
      <c r="AC112" s="2094"/>
      <c r="AD112" s="2094"/>
      <c r="AE112" s="2094"/>
      <c r="AF112" s="2094"/>
      <c r="AG112" s="2094"/>
      <c r="AH112" s="2095"/>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2574</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2555</v>
      </c>
      <c r="C115" s="999"/>
      <c r="D115" s="998"/>
      <c r="E115" s="997"/>
      <c r="F115" s="2122"/>
      <c r="G115" s="2123"/>
      <c r="H115" s="2123"/>
      <c r="I115" s="2123"/>
      <c r="J115" s="2123"/>
      <c r="K115" s="2123"/>
      <c r="L115" s="2123"/>
      <c r="M115" s="2123"/>
      <c r="N115" s="2123"/>
      <c r="O115" s="2123"/>
      <c r="P115" s="2123"/>
      <c r="Q115" s="2123"/>
      <c r="R115" s="2124"/>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06" t="s">
        <v>2575</v>
      </c>
      <c r="C117" s="2107"/>
      <c r="D117" s="2107"/>
      <c r="E117" s="2107"/>
      <c r="F117" s="2107"/>
      <c r="G117" s="2107"/>
      <c r="H117" s="2107"/>
      <c r="I117" s="2107"/>
      <c r="J117" s="2107"/>
      <c r="K117" s="2107"/>
      <c r="L117" s="2107"/>
      <c r="M117" s="2107"/>
      <c r="N117" s="2107"/>
      <c r="O117" s="2107"/>
      <c r="P117" s="2107"/>
      <c r="Q117" s="2128" t="s">
        <v>837</v>
      </c>
      <c r="R117" s="2128"/>
      <c r="S117" s="2128"/>
      <c r="T117" s="2129"/>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08"/>
      <c r="C118" s="2109"/>
      <c r="D118" s="2109"/>
      <c r="E118" s="2109"/>
      <c r="F118" s="2109"/>
      <c r="G118" s="2109"/>
      <c r="H118" s="2109"/>
      <c r="I118" s="2109"/>
      <c r="J118" s="2109"/>
      <c r="K118" s="2109"/>
      <c r="L118" s="2109"/>
      <c r="M118" s="2109"/>
      <c r="N118" s="2109"/>
      <c r="O118" s="2109"/>
      <c r="P118" s="2109"/>
      <c r="Q118" s="2130"/>
      <c r="R118" s="2130"/>
      <c r="S118" s="2130"/>
      <c r="T118" s="2131"/>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08"/>
      <c r="C119" s="2109"/>
      <c r="D119" s="2109"/>
      <c r="E119" s="2109"/>
      <c r="F119" s="2109"/>
      <c r="G119" s="2109"/>
      <c r="H119" s="2109"/>
      <c r="I119" s="2109"/>
      <c r="J119" s="2109"/>
      <c r="K119" s="2109"/>
      <c r="L119" s="2109"/>
      <c r="M119" s="2109"/>
      <c r="N119" s="2109"/>
      <c r="O119" s="2109"/>
      <c r="P119" s="2109"/>
      <c r="Q119" s="2130"/>
      <c r="R119" s="2130"/>
      <c r="S119" s="2130"/>
      <c r="T119" s="2131"/>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08"/>
      <c r="C120" s="2109"/>
      <c r="D120" s="2109"/>
      <c r="E120" s="2109"/>
      <c r="F120" s="2109"/>
      <c r="G120" s="2109"/>
      <c r="H120" s="2109"/>
      <c r="I120" s="2109"/>
      <c r="J120" s="2109"/>
      <c r="K120" s="2109"/>
      <c r="L120" s="2109"/>
      <c r="M120" s="2109"/>
      <c r="N120" s="2109"/>
      <c r="O120" s="2109"/>
      <c r="P120" s="2109"/>
      <c r="Q120" s="2130"/>
      <c r="R120" s="2130"/>
      <c r="S120" s="2130"/>
      <c r="T120" s="2131"/>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10" t="s">
        <v>2576</v>
      </c>
      <c r="C121" s="2111"/>
      <c r="D121" s="2111"/>
      <c r="E121" s="2111"/>
      <c r="F121" s="2111"/>
      <c r="G121" s="2111"/>
      <c r="H121" s="2111"/>
      <c r="I121" s="2111"/>
      <c r="J121" s="2111"/>
      <c r="K121" s="2111"/>
      <c r="L121" s="2111"/>
      <c r="M121" s="2111"/>
      <c r="N121" s="2111"/>
      <c r="O121" s="2111"/>
      <c r="P121" s="2111"/>
      <c r="Q121" s="2111"/>
      <c r="R121" s="2111"/>
      <c r="S121" s="2111"/>
      <c r="T121" s="2112"/>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13"/>
      <c r="C122" s="2114"/>
      <c r="D122" s="2114"/>
      <c r="E122" s="2114"/>
      <c r="F122" s="2114"/>
      <c r="G122" s="2114"/>
      <c r="H122" s="2114"/>
      <c r="I122" s="2114"/>
      <c r="J122" s="2114"/>
      <c r="K122" s="2114"/>
      <c r="L122" s="2114"/>
      <c r="M122" s="2114"/>
      <c r="N122" s="2114"/>
      <c r="O122" s="2114"/>
      <c r="P122" s="2114"/>
      <c r="Q122" s="2114"/>
      <c r="R122" s="2114"/>
      <c r="S122" s="2114"/>
      <c r="T122" s="2115"/>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2577</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06" t="s">
        <v>2578</v>
      </c>
      <c r="Y125" s="2107"/>
      <c r="Z125" s="2107"/>
      <c r="AA125" s="2107"/>
      <c r="AB125" s="2107"/>
      <c r="AC125" s="2107"/>
      <c r="AD125" s="2107"/>
      <c r="AE125" s="2107"/>
      <c r="AF125" s="2107"/>
      <c r="AG125" s="2107"/>
      <c r="AH125" s="2107"/>
      <c r="AI125" s="2107"/>
      <c r="AJ125" s="2107"/>
      <c r="AK125" s="2107"/>
      <c r="AL125" s="2107"/>
      <c r="AM125" s="2107"/>
      <c r="AN125" s="2107"/>
      <c r="AO125" s="2107"/>
      <c r="AP125" s="2107"/>
      <c r="AQ125" s="2107"/>
      <c r="AR125" s="2107"/>
      <c r="AS125" s="2107"/>
      <c r="AT125" s="2107"/>
      <c r="AU125" s="2107"/>
      <c r="AV125" s="2107"/>
      <c r="AW125" s="2107"/>
      <c r="AX125" s="2107"/>
      <c r="AY125" s="2107"/>
      <c r="AZ125" s="2107"/>
      <c r="BA125" s="2107"/>
      <c r="BB125" s="2107"/>
      <c r="BC125" s="2107"/>
      <c r="BD125" s="2354"/>
      <c r="BE125" s="970"/>
    </row>
    <row r="126" spans="1:57" ht="15.75" customHeight="1">
      <c r="A126" s="974"/>
      <c r="B126" s="2356" t="s">
        <v>2387</v>
      </c>
      <c r="C126" s="2357"/>
      <c r="D126" s="2357"/>
      <c r="E126" s="2357"/>
      <c r="F126" s="2357"/>
      <c r="G126" s="2357"/>
      <c r="H126" s="2357"/>
      <c r="I126" s="2357"/>
      <c r="J126" s="2357"/>
      <c r="K126" s="2357"/>
      <c r="L126" s="2357"/>
      <c r="M126" s="2357"/>
      <c r="N126" s="2357"/>
      <c r="O126" s="2357"/>
      <c r="P126" s="2357"/>
      <c r="Q126" s="2357"/>
      <c r="R126" s="2357"/>
      <c r="S126" s="2357"/>
      <c r="T126" s="2357"/>
      <c r="U126" s="2358"/>
      <c r="V126" s="974"/>
      <c r="W126" s="974"/>
      <c r="X126" s="2108"/>
      <c r="Y126" s="2109"/>
      <c r="Z126" s="2109"/>
      <c r="AA126" s="2109"/>
      <c r="AB126" s="2109"/>
      <c r="AC126" s="2109"/>
      <c r="AD126" s="2109"/>
      <c r="AE126" s="2109"/>
      <c r="AF126" s="2109"/>
      <c r="AG126" s="2109"/>
      <c r="AH126" s="2109"/>
      <c r="AI126" s="2109"/>
      <c r="AJ126" s="2109"/>
      <c r="AK126" s="2109"/>
      <c r="AL126" s="2109"/>
      <c r="AM126" s="2109"/>
      <c r="AN126" s="2109"/>
      <c r="AO126" s="2109"/>
      <c r="AP126" s="2109"/>
      <c r="AQ126" s="2109"/>
      <c r="AR126" s="2109"/>
      <c r="AS126" s="2109"/>
      <c r="AT126" s="2109"/>
      <c r="AU126" s="2109"/>
      <c r="AV126" s="2109"/>
      <c r="AW126" s="2109"/>
      <c r="AX126" s="2109"/>
      <c r="AY126" s="2109"/>
      <c r="AZ126" s="2109"/>
      <c r="BA126" s="2109"/>
      <c r="BB126" s="2109"/>
      <c r="BC126" s="2109"/>
      <c r="BD126" s="2355"/>
      <c r="BE126" s="970"/>
    </row>
    <row r="127" spans="1:57" ht="15.75" customHeight="1">
      <c r="A127" s="974"/>
      <c r="B127" s="2319"/>
      <c r="C127" s="2320"/>
      <c r="D127" s="2320"/>
      <c r="E127" s="2320"/>
      <c r="F127" s="2320"/>
      <c r="G127" s="2320"/>
      <c r="H127" s="2320"/>
      <c r="I127" s="2099" t="s">
        <v>2579</v>
      </c>
      <c r="J127" s="2099"/>
      <c r="K127" s="2099"/>
      <c r="L127" s="2099"/>
      <c r="M127" s="2099"/>
      <c r="N127" s="2099"/>
      <c r="O127" s="2359" t="s">
        <v>2580</v>
      </c>
      <c r="P127" s="2359"/>
      <c r="Q127" s="2359"/>
      <c r="R127" s="2359"/>
      <c r="S127" s="2359"/>
      <c r="T127" s="2359"/>
      <c r="U127" s="2360"/>
      <c r="V127" s="974"/>
      <c r="W127" s="974"/>
      <c r="X127" s="2322" t="s">
        <v>2553</v>
      </c>
      <c r="Y127" s="2323"/>
      <c r="Z127" s="2323"/>
      <c r="AA127" s="2323"/>
      <c r="AB127" s="2323"/>
      <c r="AC127" s="2323"/>
      <c r="AD127" s="2323"/>
      <c r="AE127" s="2323"/>
      <c r="AF127" s="2323"/>
      <c r="AG127" s="2323"/>
      <c r="AH127" s="2323"/>
      <c r="AI127" s="2323"/>
      <c r="AJ127" s="2323"/>
      <c r="AK127" s="2323"/>
      <c r="AL127" s="2323"/>
      <c r="AM127" s="2323"/>
      <c r="AN127" s="2323"/>
      <c r="AO127" s="2323"/>
      <c r="AP127" s="2323"/>
      <c r="AQ127" s="2323"/>
      <c r="AR127" s="2323"/>
      <c r="AS127" s="2323"/>
      <c r="AT127" s="2323"/>
      <c r="AU127" s="2323"/>
      <c r="AV127" s="2323"/>
      <c r="AW127" s="2323"/>
      <c r="AX127" s="2323"/>
      <c r="AY127" s="2323"/>
      <c r="AZ127" s="2323"/>
      <c r="BA127" s="2323"/>
      <c r="BB127" s="2323"/>
      <c r="BC127" s="2323"/>
      <c r="BD127" s="2324"/>
      <c r="BE127" s="970"/>
    </row>
    <row r="128" spans="1:57" ht="15.75" customHeight="1">
      <c r="A128" s="974"/>
      <c r="B128" s="2336" t="s">
        <v>2581</v>
      </c>
      <c r="C128" s="2337"/>
      <c r="D128" s="2337"/>
      <c r="E128" s="2337"/>
      <c r="F128" s="2337"/>
      <c r="G128" s="2337"/>
      <c r="H128" s="2337"/>
      <c r="I128" s="2096">
        <v>0</v>
      </c>
      <c r="J128" s="2096"/>
      <c r="K128" s="2096"/>
      <c r="L128" s="2096"/>
      <c r="M128" s="2096"/>
      <c r="N128" s="2096"/>
      <c r="O128" s="2096">
        <v>0</v>
      </c>
      <c r="P128" s="2096"/>
      <c r="Q128" s="2096"/>
      <c r="R128" s="2096"/>
      <c r="S128" s="2096"/>
      <c r="T128" s="2096"/>
      <c r="U128" s="2097"/>
      <c r="V128" s="974"/>
      <c r="W128" s="974"/>
      <c r="X128" s="2322"/>
      <c r="Y128" s="2323"/>
      <c r="Z128" s="2323"/>
      <c r="AA128" s="2323"/>
      <c r="AB128" s="2323"/>
      <c r="AC128" s="2323"/>
      <c r="AD128" s="2323"/>
      <c r="AE128" s="2323"/>
      <c r="AF128" s="2323"/>
      <c r="AG128" s="2323"/>
      <c r="AH128" s="2323"/>
      <c r="AI128" s="2323"/>
      <c r="AJ128" s="2323"/>
      <c r="AK128" s="2323"/>
      <c r="AL128" s="2323"/>
      <c r="AM128" s="2323"/>
      <c r="AN128" s="2323"/>
      <c r="AO128" s="2323"/>
      <c r="AP128" s="2323"/>
      <c r="AQ128" s="2323"/>
      <c r="AR128" s="2323"/>
      <c r="AS128" s="2323"/>
      <c r="AT128" s="2323"/>
      <c r="AU128" s="2323"/>
      <c r="AV128" s="2323"/>
      <c r="AW128" s="2323"/>
      <c r="AX128" s="2323"/>
      <c r="AY128" s="2323"/>
      <c r="AZ128" s="2323"/>
      <c r="BA128" s="2323"/>
      <c r="BB128" s="2323"/>
      <c r="BC128" s="2323"/>
      <c r="BD128" s="2324"/>
      <c r="BE128" s="970"/>
    </row>
    <row r="129" spans="1:57" ht="15.75" customHeight="1" thickBot="1">
      <c r="A129" s="974"/>
      <c r="B129" s="2338" t="s">
        <v>2582</v>
      </c>
      <c r="C129" s="2339"/>
      <c r="D129" s="2339"/>
      <c r="E129" s="2339"/>
      <c r="F129" s="2339"/>
      <c r="G129" s="2339"/>
      <c r="H129" s="2339"/>
      <c r="I129" s="2094">
        <v>0</v>
      </c>
      <c r="J129" s="2094"/>
      <c r="K129" s="2094"/>
      <c r="L129" s="2094"/>
      <c r="M129" s="2094"/>
      <c r="N129" s="2094"/>
      <c r="O129" s="2361"/>
      <c r="P129" s="2361"/>
      <c r="Q129" s="2361"/>
      <c r="R129" s="2361"/>
      <c r="S129" s="2361"/>
      <c r="T129" s="2361"/>
      <c r="U129" s="2362"/>
      <c r="V129" s="974"/>
      <c r="W129" s="974"/>
      <c r="X129" s="2322"/>
      <c r="Y129" s="2323"/>
      <c r="Z129" s="2323"/>
      <c r="AA129" s="2323"/>
      <c r="AB129" s="2323"/>
      <c r="AC129" s="2323"/>
      <c r="AD129" s="2323"/>
      <c r="AE129" s="2323"/>
      <c r="AF129" s="2323"/>
      <c r="AG129" s="2323"/>
      <c r="AH129" s="2323"/>
      <c r="AI129" s="2323"/>
      <c r="AJ129" s="2323"/>
      <c r="AK129" s="2323"/>
      <c r="AL129" s="2323"/>
      <c r="AM129" s="2323"/>
      <c r="AN129" s="2323"/>
      <c r="AO129" s="2323"/>
      <c r="AP129" s="2323"/>
      <c r="AQ129" s="2323"/>
      <c r="AR129" s="2323"/>
      <c r="AS129" s="2323"/>
      <c r="AT129" s="2323"/>
      <c r="AU129" s="2323"/>
      <c r="AV129" s="2323"/>
      <c r="AW129" s="2323"/>
      <c r="AX129" s="2323"/>
      <c r="AY129" s="2323"/>
      <c r="AZ129" s="2323"/>
      <c r="BA129" s="2323"/>
      <c r="BB129" s="2323"/>
      <c r="BC129" s="2323"/>
      <c r="BD129" s="2324"/>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22"/>
      <c r="Y130" s="2323"/>
      <c r="Z130" s="2323"/>
      <c r="AA130" s="2323"/>
      <c r="AB130" s="2323"/>
      <c r="AC130" s="2323"/>
      <c r="AD130" s="2323"/>
      <c r="AE130" s="2323"/>
      <c r="AF130" s="2323"/>
      <c r="AG130" s="2323"/>
      <c r="AH130" s="2323"/>
      <c r="AI130" s="2323"/>
      <c r="AJ130" s="2323"/>
      <c r="AK130" s="2323"/>
      <c r="AL130" s="2323"/>
      <c r="AM130" s="2323"/>
      <c r="AN130" s="2323"/>
      <c r="AO130" s="2323"/>
      <c r="AP130" s="2323"/>
      <c r="AQ130" s="2323"/>
      <c r="AR130" s="2323"/>
      <c r="AS130" s="2323"/>
      <c r="AT130" s="2323"/>
      <c r="AU130" s="2323"/>
      <c r="AV130" s="2323"/>
      <c r="AW130" s="2323"/>
      <c r="AX130" s="2323"/>
      <c r="AY130" s="2323"/>
      <c r="AZ130" s="2323"/>
      <c r="BA130" s="2323"/>
      <c r="BB130" s="2323"/>
      <c r="BC130" s="2323"/>
      <c r="BD130" s="2324"/>
      <c r="BE130" s="970"/>
    </row>
    <row r="131" spans="1:57" ht="15.75" customHeight="1" thickBot="1">
      <c r="A131" s="974"/>
      <c r="B131" s="993" t="s">
        <v>2583</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22"/>
      <c r="Y131" s="2323"/>
      <c r="Z131" s="2323"/>
      <c r="AA131" s="2323"/>
      <c r="AB131" s="2323"/>
      <c r="AC131" s="2323"/>
      <c r="AD131" s="2323"/>
      <c r="AE131" s="2323"/>
      <c r="AF131" s="2323"/>
      <c r="AG131" s="2323"/>
      <c r="AH131" s="2323"/>
      <c r="AI131" s="2323"/>
      <c r="AJ131" s="2323"/>
      <c r="AK131" s="2323"/>
      <c r="AL131" s="2323"/>
      <c r="AM131" s="2323"/>
      <c r="AN131" s="2323"/>
      <c r="AO131" s="2323"/>
      <c r="AP131" s="2323"/>
      <c r="AQ131" s="2323"/>
      <c r="AR131" s="2323"/>
      <c r="AS131" s="2323"/>
      <c r="AT131" s="2323"/>
      <c r="AU131" s="2323"/>
      <c r="AV131" s="2323"/>
      <c r="AW131" s="2323"/>
      <c r="AX131" s="2323"/>
      <c r="AY131" s="2323"/>
      <c r="AZ131" s="2323"/>
      <c r="BA131" s="2323"/>
      <c r="BB131" s="2323"/>
      <c r="BC131" s="2323"/>
      <c r="BD131" s="2324"/>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22"/>
      <c r="Y132" s="2323"/>
      <c r="Z132" s="2323"/>
      <c r="AA132" s="2323"/>
      <c r="AB132" s="2323"/>
      <c r="AC132" s="2323"/>
      <c r="AD132" s="2323"/>
      <c r="AE132" s="2323"/>
      <c r="AF132" s="2323"/>
      <c r="AG132" s="2323"/>
      <c r="AH132" s="2323"/>
      <c r="AI132" s="2323"/>
      <c r="AJ132" s="2323"/>
      <c r="AK132" s="2323"/>
      <c r="AL132" s="2323"/>
      <c r="AM132" s="2323"/>
      <c r="AN132" s="2323"/>
      <c r="AO132" s="2323"/>
      <c r="AP132" s="2323"/>
      <c r="AQ132" s="2323"/>
      <c r="AR132" s="2323"/>
      <c r="AS132" s="2323"/>
      <c r="AT132" s="2323"/>
      <c r="AU132" s="2323"/>
      <c r="AV132" s="2323"/>
      <c r="AW132" s="2323"/>
      <c r="AX132" s="2323"/>
      <c r="AY132" s="2323"/>
      <c r="AZ132" s="2323"/>
      <c r="BA132" s="2323"/>
      <c r="BB132" s="2323"/>
      <c r="BC132" s="2323"/>
      <c r="BD132" s="2324"/>
      <c r="BE132" s="970"/>
    </row>
    <row r="133" spans="1:57" ht="15.75" customHeight="1">
      <c r="A133" s="974"/>
      <c r="B133" s="2351" t="s">
        <v>2584</v>
      </c>
      <c r="C133" s="2352"/>
      <c r="D133" s="2352"/>
      <c r="E133" s="2352"/>
      <c r="F133" s="2352"/>
      <c r="G133" s="2352"/>
      <c r="H133" s="2352"/>
      <c r="I133" s="2352"/>
      <c r="J133" s="2352"/>
      <c r="K133" s="2352"/>
      <c r="L133" s="2352"/>
      <c r="M133" s="2352"/>
      <c r="N133" s="2352"/>
      <c r="O133" s="2352"/>
      <c r="P133" s="2352"/>
      <c r="Q133" s="2352"/>
      <c r="R133" s="2352"/>
      <c r="S133" s="2352"/>
      <c r="T133" s="2352"/>
      <c r="U133" s="2353"/>
      <c r="V133" s="974"/>
      <c r="W133" s="974"/>
      <c r="X133" s="2322"/>
      <c r="Y133" s="2323"/>
      <c r="Z133" s="2323"/>
      <c r="AA133" s="2323"/>
      <c r="AB133" s="2323"/>
      <c r="AC133" s="2323"/>
      <c r="AD133" s="2323"/>
      <c r="AE133" s="2323"/>
      <c r="AF133" s="2323"/>
      <c r="AG133" s="2323"/>
      <c r="AH133" s="2323"/>
      <c r="AI133" s="2323"/>
      <c r="AJ133" s="2323"/>
      <c r="AK133" s="2323"/>
      <c r="AL133" s="2323"/>
      <c r="AM133" s="2323"/>
      <c r="AN133" s="2323"/>
      <c r="AO133" s="2323"/>
      <c r="AP133" s="2323"/>
      <c r="AQ133" s="2323"/>
      <c r="AR133" s="2323"/>
      <c r="AS133" s="2323"/>
      <c r="AT133" s="2323"/>
      <c r="AU133" s="2323"/>
      <c r="AV133" s="2323"/>
      <c r="AW133" s="2323"/>
      <c r="AX133" s="2323"/>
      <c r="AY133" s="2323"/>
      <c r="AZ133" s="2323"/>
      <c r="BA133" s="2323"/>
      <c r="BB133" s="2323"/>
      <c r="BC133" s="2323"/>
      <c r="BD133" s="2324"/>
      <c r="BE133" s="970"/>
    </row>
    <row r="134" spans="1:57" ht="15.75" customHeight="1">
      <c r="A134" s="974"/>
      <c r="B134" s="2319"/>
      <c r="C134" s="2320"/>
      <c r="D134" s="2320"/>
      <c r="E134" s="2320"/>
      <c r="F134" s="2320"/>
      <c r="G134" s="2320"/>
      <c r="H134" s="2320"/>
      <c r="I134" s="2334" t="s">
        <v>2561</v>
      </c>
      <c r="J134" s="2334"/>
      <c r="K134" s="2334"/>
      <c r="L134" s="2334"/>
      <c r="M134" s="2334"/>
      <c r="N134" s="2334"/>
      <c r="O134" s="2334"/>
      <c r="P134" s="2334" t="s">
        <v>2562</v>
      </c>
      <c r="Q134" s="2334"/>
      <c r="R134" s="2334"/>
      <c r="S134" s="2334"/>
      <c r="T134" s="2334"/>
      <c r="U134" s="2335"/>
      <c r="V134" s="974"/>
      <c r="W134" s="974"/>
      <c r="X134" s="2322"/>
      <c r="Y134" s="2323"/>
      <c r="Z134" s="2323"/>
      <c r="AA134" s="2323"/>
      <c r="AB134" s="2323"/>
      <c r="AC134" s="2323"/>
      <c r="AD134" s="2323"/>
      <c r="AE134" s="2323"/>
      <c r="AF134" s="2323"/>
      <c r="AG134" s="2323"/>
      <c r="AH134" s="2323"/>
      <c r="AI134" s="2323"/>
      <c r="AJ134" s="2323"/>
      <c r="AK134" s="2323"/>
      <c r="AL134" s="2323"/>
      <c r="AM134" s="2323"/>
      <c r="AN134" s="2323"/>
      <c r="AO134" s="2323"/>
      <c r="AP134" s="2323"/>
      <c r="AQ134" s="2323"/>
      <c r="AR134" s="2323"/>
      <c r="AS134" s="2323"/>
      <c r="AT134" s="2323"/>
      <c r="AU134" s="2323"/>
      <c r="AV134" s="2323"/>
      <c r="AW134" s="2323"/>
      <c r="AX134" s="2323"/>
      <c r="AY134" s="2323"/>
      <c r="AZ134" s="2323"/>
      <c r="BA134" s="2323"/>
      <c r="BB134" s="2323"/>
      <c r="BC134" s="2323"/>
      <c r="BD134" s="2324"/>
      <c r="BE134" s="970"/>
    </row>
    <row r="135" spans="1:57" ht="15.75" customHeight="1">
      <c r="A135" s="974"/>
      <c r="B135" s="2319"/>
      <c r="C135" s="2320"/>
      <c r="D135" s="2320"/>
      <c r="E135" s="2320"/>
      <c r="F135" s="2320"/>
      <c r="G135" s="2320"/>
      <c r="H135" s="2320"/>
      <c r="I135" s="2334"/>
      <c r="J135" s="2334"/>
      <c r="K135" s="2334"/>
      <c r="L135" s="2334"/>
      <c r="M135" s="2334"/>
      <c r="N135" s="2334"/>
      <c r="O135" s="2334"/>
      <c r="P135" s="2334"/>
      <c r="Q135" s="2334"/>
      <c r="R135" s="2334"/>
      <c r="S135" s="2334"/>
      <c r="T135" s="2334"/>
      <c r="U135" s="2335"/>
      <c r="V135" s="974"/>
      <c r="W135" s="974"/>
      <c r="X135" s="2322"/>
      <c r="Y135" s="2323"/>
      <c r="Z135" s="2323"/>
      <c r="AA135" s="2323"/>
      <c r="AB135" s="2323"/>
      <c r="AC135" s="2323"/>
      <c r="AD135" s="2323"/>
      <c r="AE135" s="2323"/>
      <c r="AF135" s="2323"/>
      <c r="AG135" s="2323"/>
      <c r="AH135" s="2323"/>
      <c r="AI135" s="2323"/>
      <c r="AJ135" s="2323"/>
      <c r="AK135" s="2323"/>
      <c r="AL135" s="2323"/>
      <c r="AM135" s="2323"/>
      <c r="AN135" s="2323"/>
      <c r="AO135" s="2323"/>
      <c r="AP135" s="2323"/>
      <c r="AQ135" s="2323"/>
      <c r="AR135" s="2323"/>
      <c r="AS135" s="2323"/>
      <c r="AT135" s="2323"/>
      <c r="AU135" s="2323"/>
      <c r="AV135" s="2323"/>
      <c r="AW135" s="2323"/>
      <c r="AX135" s="2323"/>
      <c r="AY135" s="2323"/>
      <c r="AZ135" s="2323"/>
      <c r="BA135" s="2323"/>
      <c r="BB135" s="2323"/>
      <c r="BC135" s="2323"/>
      <c r="BD135" s="2324"/>
      <c r="BE135" s="970"/>
    </row>
    <row r="136" spans="1:57" ht="15.75" customHeight="1">
      <c r="A136" s="974"/>
      <c r="B136" s="2336" t="s">
        <v>2581</v>
      </c>
      <c r="C136" s="2337"/>
      <c r="D136" s="2337"/>
      <c r="E136" s="2337"/>
      <c r="F136" s="2337"/>
      <c r="G136" s="2337"/>
      <c r="H136" s="2337"/>
      <c r="I136" s="2096">
        <v>0</v>
      </c>
      <c r="J136" s="2096"/>
      <c r="K136" s="2096"/>
      <c r="L136" s="2096"/>
      <c r="M136" s="2096"/>
      <c r="N136" s="2096"/>
      <c r="O136" s="2096"/>
      <c r="P136" s="2096">
        <v>0</v>
      </c>
      <c r="Q136" s="2096"/>
      <c r="R136" s="2096"/>
      <c r="S136" s="2096"/>
      <c r="T136" s="2096"/>
      <c r="U136" s="2097"/>
      <c r="V136" s="974"/>
      <c r="W136" s="974"/>
      <c r="X136" s="2322"/>
      <c r="Y136" s="2323"/>
      <c r="Z136" s="2323"/>
      <c r="AA136" s="2323"/>
      <c r="AB136" s="2323"/>
      <c r="AC136" s="2323"/>
      <c r="AD136" s="2323"/>
      <c r="AE136" s="2323"/>
      <c r="AF136" s="2323"/>
      <c r="AG136" s="2323"/>
      <c r="AH136" s="2323"/>
      <c r="AI136" s="2323"/>
      <c r="AJ136" s="2323"/>
      <c r="AK136" s="2323"/>
      <c r="AL136" s="2323"/>
      <c r="AM136" s="2323"/>
      <c r="AN136" s="2323"/>
      <c r="AO136" s="2323"/>
      <c r="AP136" s="2323"/>
      <c r="AQ136" s="2323"/>
      <c r="AR136" s="2323"/>
      <c r="AS136" s="2323"/>
      <c r="AT136" s="2323"/>
      <c r="AU136" s="2323"/>
      <c r="AV136" s="2323"/>
      <c r="AW136" s="2323"/>
      <c r="AX136" s="2323"/>
      <c r="AY136" s="2323"/>
      <c r="AZ136" s="2323"/>
      <c r="BA136" s="2323"/>
      <c r="BB136" s="2323"/>
      <c r="BC136" s="2323"/>
      <c r="BD136" s="2324"/>
      <c r="BE136" s="970"/>
    </row>
    <row r="137" spans="1:57" ht="15.75" customHeight="1" thickBot="1">
      <c r="A137" s="974"/>
      <c r="B137" s="2338" t="s">
        <v>2582</v>
      </c>
      <c r="C137" s="2339"/>
      <c r="D137" s="2339"/>
      <c r="E137" s="2339"/>
      <c r="F137" s="2339"/>
      <c r="G137" s="2339"/>
      <c r="H137" s="2339"/>
      <c r="I137" s="2094">
        <v>0</v>
      </c>
      <c r="J137" s="2094"/>
      <c r="K137" s="2094"/>
      <c r="L137" s="2094"/>
      <c r="M137" s="2094"/>
      <c r="N137" s="2094"/>
      <c r="O137" s="2094"/>
      <c r="P137" s="2094">
        <v>0</v>
      </c>
      <c r="Q137" s="2094"/>
      <c r="R137" s="2094"/>
      <c r="S137" s="2094"/>
      <c r="T137" s="2094"/>
      <c r="U137" s="2095"/>
      <c r="V137" s="974"/>
      <c r="W137" s="974"/>
      <c r="X137" s="2325"/>
      <c r="Y137" s="2326"/>
      <c r="Z137" s="2326"/>
      <c r="AA137" s="2326"/>
      <c r="AB137" s="2326"/>
      <c r="AC137" s="2326"/>
      <c r="AD137" s="2326"/>
      <c r="AE137" s="2326"/>
      <c r="AF137" s="2326"/>
      <c r="AG137" s="2326"/>
      <c r="AH137" s="2326"/>
      <c r="AI137" s="2326"/>
      <c r="AJ137" s="2326"/>
      <c r="AK137" s="2326"/>
      <c r="AL137" s="2326"/>
      <c r="AM137" s="2326"/>
      <c r="AN137" s="2326"/>
      <c r="AO137" s="2326"/>
      <c r="AP137" s="2326"/>
      <c r="AQ137" s="2326"/>
      <c r="AR137" s="2326"/>
      <c r="AS137" s="2326"/>
      <c r="AT137" s="2326"/>
      <c r="AU137" s="2326"/>
      <c r="AV137" s="2326"/>
      <c r="AW137" s="2326"/>
      <c r="AX137" s="2326"/>
      <c r="AY137" s="2326"/>
      <c r="AZ137" s="2326"/>
      <c r="BA137" s="2326"/>
      <c r="BB137" s="2326"/>
      <c r="BC137" s="2326"/>
      <c r="BD137" s="2327"/>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16" t="s">
        <v>2585</v>
      </c>
      <c r="C139" s="2317"/>
      <c r="D139" s="2317"/>
      <c r="E139" s="2317"/>
      <c r="F139" s="2317"/>
      <c r="G139" s="2317"/>
      <c r="H139" s="2317"/>
      <c r="I139" s="2317"/>
      <c r="J139" s="2317"/>
      <c r="K139" s="2317"/>
      <c r="L139" s="2317"/>
      <c r="M139" s="2317"/>
      <c r="N139" s="2317"/>
      <c r="O139" s="2317"/>
      <c r="P139" s="2317"/>
      <c r="Q139" s="2317"/>
      <c r="R139" s="2317"/>
      <c r="S139" s="2317"/>
      <c r="T139" s="2317"/>
      <c r="U139" s="2317"/>
      <c r="V139" s="2317"/>
      <c r="W139" s="2317"/>
      <c r="X139" s="2317"/>
      <c r="Y139" s="2317"/>
      <c r="Z139" s="2317"/>
      <c r="AA139" s="2317"/>
      <c r="AB139" s="2317"/>
      <c r="AC139" s="2317"/>
      <c r="AD139" s="2317"/>
      <c r="AE139" s="2317"/>
      <c r="AF139" s="2317"/>
      <c r="AG139" s="2317"/>
      <c r="AH139" s="2155" t="s">
        <v>837</v>
      </c>
      <c r="AI139" s="2155"/>
      <c r="AJ139" s="2155"/>
      <c r="AK139" s="2155"/>
      <c r="AL139" s="2155"/>
      <c r="AM139" s="2155"/>
      <c r="AN139" s="2155"/>
      <c r="AO139" s="2155"/>
      <c r="AP139" s="2155"/>
      <c r="AQ139" s="2155"/>
      <c r="AR139" s="2155"/>
      <c r="AS139" s="2155"/>
      <c r="AT139" s="2155"/>
      <c r="AU139" s="2155"/>
      <c r="AV139" s="2155"/>
      <c r="AW139" s="2155"/>
      <c r="AX139" s="2156"/>
      <c r="AY139" s="974"/>
      <c r="AZ139" s="974"/>
      <c r="BA139" s="974"/>
      <c r="BB139" s="974"/>
      <c r="BC139" s="974"/>
      <c r="BD139" s="974"/>
      <c r="BE139" s="970"/>
    </row>
    <row r="140" spans="1:57" ht="15.75" customHeight="1">
      <c r="A140" s="974"/>
      <c r="B140" s="2341" t="s">
        <v>2586</v>
      </c>
      <c r="C140" s="2342"/>
      <c r="D140" s="2342"/>
      <c r="E140" s="2342"/>
      <c r="F140" s="2342"/>
      <c r="G140" s="2342"/>
      <c r="H140" s="2342"/>
      <c r="I140" s="2342"/>
      <c r="J140" s="2342"/>
      <c r="K140" s="2342"/>
      <c r="L140" s="2342"/>
      <c r="M140" s="2342"/>
      <c r="N140" s="2342"/>
      <c r="O140" s="2342"/>
      <c r="P140" s="2342"/>
      <c r="Q140" s="2342"/>
      <c r="R140" s="2343" t="s">
        <v>2587</v>
      </c>
      <c r="S140" s="2343"/>
      <c r="T140" s="2343"/>
      <c r="U140" s="2343"/>
      <c r="V140" s="2343"/>
      <c r="W140" s="2343"/>
      <c r="X140" s="2343"/>
      <c r="Y140" s="2343"/>
      <c r="Z140" s="2343"/>
      <c r="AA140" s="2343"/>
      <c r="AB140" s="2343"/>
      <c r="AC140" s="2343"/>
      <c r="AD140" s="2343"/>
      <c r="AE140" s="2343"/>
      <c r="AF140" s="2343"/>
      <c r="AG140" s="2343"/>
      <c r="AH140" s="2343"/>
      <c r="AI140" s="2343"/>
      <c r="AJ140" s="2343"/>
      <c r="AK140" s="2343"/>
      <c r="AL140" s="2343"/>
      <c r="AM140" s="2343"/>
      <c r="AN140" s="2343"/>
      <c r="AO140" s="2343"/>
      <c r="AP140" s="2343"/>
      <c r="AQ140" s="2343"/>
      <c r="AR140" s="2343"/>
      <c r="AS140" s="2343"/>
      <c r="AT140" s="2343"/>
      <c r="AU140" s="2343"/>
      <c r="AV140" s="2343"/>
      <c r="AW140" s="2343"/>
      <c r="AX140" s="2344"/>
      <c r="AY140" s="974"/>
      <c r="AZ140" s="974"/>
      <c r="BA140" s="974"/>
      <c r="BB140" s="974"/>
      <c r="BC140" s="974" t="s">
        <v>253</v>
      </c>
      <c r="BD140" s="974"/>
      <c r="BE140" s="970"/>
    </row>
    <row r="141" spans="1:57" ht="15.75" customHeight="1">
      <c r="A141" s="974"/>
      <c r="B141" s="2345" t="s">
        <v>2588</v>
      </c>
      <c r="C141" s="2346"/>
      <c r="D141" s="2346"/>
      <c r="E141" s="2346"/>
      <c r="F141" s="2346"/>
      <c r="G141" s="2346"/>
      <c r="H141" s="2346"/>
      <c r="I141" s="2346"/>
      <c r="J141" s="2346"/>
      <c r="K141" s="2346"/>
      <c r="L141" s="2346"/>
      <c r="M141" s="2346"/>
      <c r="N141" s="2346"/>
      <c r="O141" s="2346"/>
      <c r="P141" s="2346"/>
      <c r="Q141" s="2346"/>
      <c r="R141" s="2346"/>
      <c r="S141" s="2346"/>
      <c r="T141" s="2346"/>
      <c r="U141" s="2346"/>
      <c r="V141" s="2346"/>
      <c r="W141" s="2346"/>
      <c r="X141" s="2346"/>
      <c r="Y141" s="2346"/>
      <c r="Z141" s="2346"/>
      <c r="AA141" s="2346"/>
      <c r="AB141" s="2346"/>
      <c r="AC141" s="2346"/>
      <c r="AD141" s="2346"/>
      <c r="AE141" s="2346"/>
      <c r="AF141" s="2346"/>
      <c r="AG141" s="2346"/>
      <c r="AH141" s="2346"/>
      <c r="AI141" s="2346"/>
      <c r="AJ141" s="2346"/>
      <c r="AK141" s="2346"/>
      <c r="AL141" s="2346"/>
      <c r="AM141" s="2346"/>
      <c r="AN141" s="2346"/>
      <c r="AO141" s="2346"/>
      <c r="AP141" s="2346"/>
      <c r="AQ141" s="2346"/>
      <c r="AR141" s="2346"/>
      <c r="AS141" s="2346"/>
      <c r="AT141" s="2346"/>
      <c r="AU141" s="2346"/>
      <c r="AV141" s="2346"/>
      <c r="AW141" s="2346"/>
      <c r="AX141" s="2347"/>
      <c r="AY141" s="974"/>
      <c r="AZ141" s="974"/>
      <c r="BA141" s="974"/>
      <c r="BB141" s="974"/>
      <c r="BC141" s="974"/>
      <c r="BD141" s="974"/>
      <c r="BE141" s="970"/>
    </row>
    <row r="142" spans="1:57" ht="15.75" customHeight="1">
      <c r="A142" s="974"/>
      <c r="B142" s="2345"/>
      <c r="C142" s="2346"/>
      <c r="D142" s="2346"/>
      <c r="E142" s="2346"/>
      <c r="F142" s="2346"/>
      <c r="G142" s="2346"/>
      <c r="H142" s="2346"/>
      <c r="I142" s="2346"/>
      <c r="J142" s="2346"/>
      <c r="K142" s="2346"/>
      <c r="L142" s="2346"/>
      <c r="M142" s="2346"/>
      <c r="N142" s="2346"/>
      <c r="O142" s="2346"/>
      <c r="P142" s="2346"/>
      <c r="Q142" s="2346"/>
      <c r="R142" s="2346"/>
      <c r="S142" s="2346"/>
      <c r="T142" s="2346"/>
      <c r="U142" s="2346"/>
      <c r="V142" s="2346"/>
      <c r="W142" s="2346"/>
      <c r="X142" s="2346"/>
      <c r="Y142" s="2346"/>
      <c r="Z142" s="2346"/>
      <c r="AA142" s="2346"/>
      <c r="AB142" s="2346"/>
      <c r="AC142" s="2346"/>
      <c r="AD142" s="2346"/>
      <c r="AE142" s="2346"/>
      <c r="AF142" s="2346"/>
      <c r="AG142" s="2346"/>
      <c r="AH142" s="2346"/>
      <c r="AI142" s="2346"/>
      <c r="AJ142" s="2346"/>
      <c r="AK142" s="2346"/>
      <c r="AL142" s="2346"/>
      <c r="AM142" s="2346"/>
      <c r="AN142" s="2346"/>
      <c r="AO142" s="2346"/>
      <c r="AP142" s="2346"/>
      <c r="AQ142" s="2346"/>
      <c r="AR142" s="2346"/>
      <c r="AS142" s="2346"/>
      <c r="AT142" s="2346"/>
      <c r="AU142" s="2346"/>
      <c r="AV142" s="2346"/>
      <c r="AW142" s="2346"/>
      <c r="AX142" s="2347"/>
      <c r="AY142" s="974"/>
      <c r="AZ142" s="974"/>
      <c r="BA142" s="974"/>
      <c r="BB142" s="974"/>
      <c r="BC142" s="974"/>
      <c r="BD142" s="974"/>
      <c r="BE142" s="970"/>
    </row>
    <row r="143" spans="1:57" ht="15.75" customHeight="1">
      <c r="A143" s="974"/>
      <c r="B143" s="2345"/>
      <c r="C143" s="2346"/>
      <c r="D143" s="2346"/>
      <c r="E143" s="2346"/>
      <c r="F143" s="2346"/>
      <c r="G143" s="2346"/>
      <c r="H143" s="2346"/>
      <c r="I143" s="2346"/>
      <c r="J143" s="2346"/>
      <c r="K143" s="2346"/>
      <c r="L143" s="2346"/>
      <c r="M143" s="2346"/>
      <c r="N143" s="2346"/>
      <c r="O143" s="2346"/>
      <c r="P143" s="2346"/>
      <c r="Q143" s="2346"/>
      <c r="R143" s="2346"/>
      <c r="S143" s="2346"/>
      <c r="T143" s="2346"/>
      <c r="U143" s="2346"/>
      <c r="V143" s="2346"/>
      <c r="W143" s="2346"/>
      <c r="X143" s="2346"/>
      <c r="Y143" s="2346"/>
      <c r="Z143" s="2346"/>
      <c r="AA143" s="2346"/>
      <c r="AB143" s="2346"/>
      <c r="AC143" s="2346"/>
      <c r="AD143" s="2346"/>
      <c r="AE143" s="2346"/>
      <c r="AF143" s="2346"/>
      <c r="AG143" s="2346"/>
      <c r="AH143" s="2346"/>
      <c r="AI143" s="2346"/>
      <c r="AJ143" s="2346"/>
      <c r="AK143" s="2346"/>
      <c r="AL143" s="2346"/>
      <c r="AM143" s="2346"/>
      <c r="AN143" s="2346"/>
      <c r="AO143" s="2346"/>
      <c r="AP143" s="2346"/>
      <c r="AQ143" s="2346"/>
      <c r="AR143" s="2346"/>
      <c r="AS143" s="2346"/>
      <c r="AT143" s="2346"/>
      <c r="AU143" s="2346"/>
      <c r="AV143" s="2346"/>
      <c r="AW143" s="2346"/>
      <c r="AX143" s="2347"/>
      <c r="AY143" s="974"/>
      <c r="AZ143" s="974"/>
      <c r="BA143" s="974"/>
      <c r="BB143" s="974"/>
      <c r="BC143" s="974"/>
      <c r="BD143" s="974"/>
      <c r="BE143" s="970"/>
    </row>
    <row r="144" spans="1:57" ht="15.75" customHeight="1">
      <c r="A144" s="974"/>
      <c r="B144" s="2345"/>
      <c r="C144" s="2346"/>
      <c r="D144" s="2346"/>
      <c r="E144" s="2346"/>
      <c r="F144" s="2346"/>
      <c r="G144" s="2346"/>
      <c r="H144" s="2346"/>
      <c r="I144" s="2346"/>
      <c r="J144" s="2346"/>
      <c r="K144" s="2346"/>
      <c r="L144" s="2346"/>
      <c r="M144" s="2346"/>
      <c r="N144" s="2346"/>
      <c r="O144" s="2346"/>
      <c r="P144" s="2346"/>
      <c r="Q144" s="2346"/>
      <c r="R144" s="2346"/>
      <c r="S144" s="2346"/>
      <c r="T144" s="2346"/>
      <c r="U144" s="2346"/>
      <c r="V144" s="2346"/>
      <c r="W144" s="2346"/>
      <c r="X144" s="2346"/>
      <c r="Y144" s="2346"/>
      <c r="Z144" s="2346"/>
      <c r="AA144" s="2346"/>
      <c r="AB144" s="2346"/>
      <c r="AC144" s="2346"/>
      <c r="AD144" s="2346"/>
      <c r="AE144" s="2346"/>
      <c r="AF144" s="2346"/>
      <c r="AG144" s="2346"/>
      <c r="AH144" s="2346"/>
      <c r="AI144" s="2346"/>
      <c r="AJ144" s="2346"/>
      <c r="AK144" s="2346"/>
      <c r="AL144" s="2346"/>
      <c r="AM144" s="2346"/>
      <c r="AN144" s="2346"/>
      <c r="AO144" s="2346"/>
      <c r="AP144" s="2346"/>
      <c r="AQ144" s="2346"/>
      <c r="AR144" s="2346"/>
      <c r="AS144" s="2346"/>
      <c r="AT144" s="2346"/>
      <c r="AU144" s="2346"/>
      <c r="AV144" s="2346"/>
      <c r="AW144" s="2346"/>
      <c r="AX144" s="2347"/>
      <c r="AY144" s="974"/>
      <c r="AZ144" s="974"/>
      <c r="BA144" s="974"/>
      <c r="BB144" s="974"/>
      <c r="BC144" s="974"/>
      <c r="BD144" s="974"/>
      <c r="BE144" s="970"/>
    </row>
    <row r="145" spans="1:57" ht="15.75" customHeight="1">
      <c r="A145" s="974"/>
      <c r="B145" s="2345"/>
      <c r="C145" s="2346"/>
      <c r="D145" s="2346"/>
      <c r="E145" s="2346"/>
      <c r="F145" s="2346"/>
      <c r="G145" s="2346"/>
      <c r="H145" s="2346"/>
      <c r="I145" s="2346"/>
      <c r="J145" s="2346"/>
      <c r="K145" s="2346"/>
      <c r="L145" s="2346"/>
      <c r="M145" s="2346"/>
      <c r="N145" s="2346"/>
      <c r="O145" s="2346"/>
      <c r="P145" s="2346"/>
      <c r="Q145" s="2346"/>
      <c r="R145" s="2346"/>
      <c r="S145" s="2346"/>
      <c r="T145" s="2346"/>
      <c r="U145" s="2346"/>
      <c r="V145" s="2346"/>
      <c r="W145" s="2346"/>
      <c r="X145" s="2346"/>
      <c r="Y145" s="2346"/>
      <c r="Z145" s="2346"/>
      <c r="AA145" s="2346"/>
      <c r="AB145" s="2346"/>
      <c r="AC145" s="2346"/>
      <c r="AD145" s="2346"/>
      <c r="AE145" s="2346"/>
      <c r="AF145" s="2346"/>
      <c r="AG145" s="2346"/>
      <c r="AH145" s="2346"/>
      <c r="AI145" s="2346"/>
      <c r="AJ145" s="2346"/>
      <c r="AK145" s="2346"/>
      <c r="AL145" s="2346"/>
      <c r="AM145" s="2346"/>
      <c r="AN145" s="2346"/>
      <c r="AO145" s="2346"/>
      <c r="AP145" s="2346"/>
      <c r="AQ145" s="2346"/>
      <c r="AR145" s="2346"/>
      <c r="AS145" s="2346"/>
      <c r="AT145" s="2346"/>
      <c r="AU145" s="2346"/>
      <c r="AV145" s="2346"/>
      <c r="AW145" s="2346"/>
      <c r="AX145" s="2347"/>
      <c r="AY145" s="974"/>
      <c r="AZ145" s="974"/>
      <c r="BA145" s="974"/>
      <c r="BB145" s="974"/>
      <c r="BC145" s="974"/>
      <c r="BD145" s="974"/>
      <c r="BE145" s="970"/>
    </row>
    <row r="146" spans="1:57" ht="15.75" customHeight="1">
      <c r="A146" s="974"/>
      <c r="B146" s="2345"/>
      <c r="C146" s="2346"/>
      <c r="D146" s="2346"/>
      <c r="E146" s="2346"/>
      <c r="F146" s="2346"/>
      <c r="G146" s="2346"/>
      <c r="H146" s="2346"/>
      <c r="I146" s="2346"/>
      <c r="J146" s="2346"/>
      <c r="K146" s="2346"/>
      <c r="L146" s="2346"/>
      <c r="M146" s="2346"/>
      <c r="N146" s="2346"/>
      <c r="O146" s="2346"/>
      <c r="P146" s="2346"/>
      <c r="Q146" s="2346"/>
      <c r="R146" s="2346"/>
      <c r="S146" s="2346"/>
      <c r="T146" s="2346"/>
      <c r="U146" s="2346"/>
      <c r="V146" s="2346"/>
      <c r="W146" s="2346"/>
      <c r="X146" s="2346"/>
      <c r="Y146" s="2346"/>
      <c r="Z146" s="2346"/>
      <c r="AA146" s="2346"/>
      <c r="AB146" s="2346"/>
      <c r="AC146" s="2346"/>
      <c r="AD146" s="2346"/>
      <c r="AE146" s="2346"/>
      <c r="AF146" s="2346"/>
      <c r="AG146" s="2346"/>
      <c r="AH146" s="2346"/>
      <c r="AI146" s="2346"/>
      <c r="AJ146" s="2346"/>
      <c r="AK146" s="2346"/>
      <c r="AL146" s="2346"/>
      <c r="AM146" s="2346"/>
      <c r="AN146" s="2346"/>
      <c r="AO146" s="2346"/>
      <c r="AP146" s="2346"/>
      <c r="AQ146" s="2346"/>
      <c r="AR146" s="2346"/>
      <c r="AS146" s="2346"/>
      <c r="AT146" s="2346"/>
      <c r="AU146" s="2346"/>
      <c r="AV146" s="2346"/>
      <c r="AW146" s="2346"/>
      <c r="AX146" s="2347"/>
      <c r="AY146" s="974"/>
      <c r="AZ146" s="974"/>
      <c r="BA146" s="974"/>
      <c r="BB146" s="974"/>
      <c r="BC146" s="974"/>
      <c r="BD146" s="974"/>
      <c r="BE146" s="970"/>
    </row>
    <row r="147" spans="1:57" ht="15.75" customHeight="1">
      <c r="A147" s="974"/>
      <c r="B147" s="2345"/>
      <c r="C147" s="2346"/>
      <c r="D147" s="2346"/>
      <c r="E147" s="2346"/>
      <c r="F147" s="2346"/>
      <c r="G147" s="2346"/>
      <c r="H147" s="2346"/>
      <c r="I147" s="2346"/>
      <c r="J147" s="2346"/>
      <c r="K147" s="2346"/>
      <c r="L147" s="2346"/>
      <c r="M147" s="2346"/>
      <c r="N147" s="2346"/>
      <c r="O147" s="2346"/>
      <c r="P147" s="2346"/>
      <c r="Q147" s="2346"/>
      <c r="R147" s="2346"/>
      <c r="S147" s="2346"/>
      <c r="T147" s="2346"/>
      <c r="U147" s="2346"/>
      <c r="V147" s="2346"/>
      <c r="W147" s="2346"/>
      <c r="X147" s="2346"/>
      <c r="Y147" s="2346"/>
      <c r="Z147" s="2346"/>
      <c r="AA147" s="2346"/>
      <c r="AB147" s="2346"/>
      <c r="AC147" s="2346"/>
      <c r="AD147" s="2346"/>
      <c r="AE147" s="2346"/>
      <c r="AF147" s="2346"/>
      <c r="AG147" s="2346"/>
      <c r="AH147" s="2346"/>
      <c r="AI147" s="2346"/>
      <c r="AJ147" s="2346"/>
      <c r="AK147" s="2346"/>
      <c r="AL147" s="2346"/>
      <c r="AM147" s="2346"/>
      <c r="AN147" s="2346"/>
      <c r="AO147" s="2346"/>
      <c r="AP147" s="2346"/>
      <c r="AQ147" s="2346"/>
      <c r="AR147" s="2346"/>
      <c r="AS147" s="2346"/>
      <c r="AT147" s="2346"/>
      <c r="AU147" s="2346"/>
      <c r="AV147" s="2346"/>
      <c r="AW147" s="2346"/>
      <c r="AX147" s="2347"/>
      <c r="AY147" s="974"/>
      <c r="AZ147" s="974"/>
      <c r="BA147" s="974"/>
      <c r="BB147" s="974"/>
      <c r="BC147" s="974"/>
      <c r="BD147" s="974"/>
      <c r="BE147" s="970"/>
    </row>
    <row r="148" spans="1:57" ht="15.75" customHeight="1">
      <c r="A148" s="974"/>
      <c r="B148" s="2345"/>
      <c r="C148" s="2346"/>
      <c r="D148" s="2346"/>
      <c r="E148" s="2346"/>
      <c r="F148" s="2346"/>
      <c r="G148" s="2346"/>
      <c r="H148" s="2346"/>
      <c r="I148" s="2346"/>
      <c r="J148" s="2346"/>
      <c r="K148" s="2346"/>
      <c r="L148" s="2346"/>
      <c r="M148" s="2346"/>
      <c r="N148" s="2346"/>
      <c r="O148" s="2346"/>
      <c r="P148" s="2346"/>
      <c r="Q148" s="2346"/>
      <c r="R148" s="2346"/>
      <c r="S148" s="2346"/>
      <c r="T148" s="2346"/>
      <c r="U148" s="2346"/>
      <c r="V148" s="2346"/>
      <c r="W148" s="2346"/>
      <c r="X148" s="2346"/>
      <c r="Y148" s="2346"/>
      <c r="Z148" s="2346"/>
      <c r="AA148" s="2346"/>
      <c r="AB148" s="2346"/>
      <c r="AC148" s="2346"/>
      <c r="AD148" s="2346"/>
      <c r="AE148" s="2346"/>
      <c r="AF148" s="2346"/>
      <c r="AG148" s="2346"/>
      <c r="AH148" s="2346"/>
      <c r="AI148" s="2346"/>
      <c r="AJ148" s="2346"/>
      <c r="AK148" s="2346"/>
      <c r="AL148" s="2346"/>
      <c r="AM148" s="2346"/>
      <c r="AN148" s="2346"/>
      <c r="AO148" s="2346"/>
      <c r="AP148" s="2346"/>
      <c r="AQ148" s="2346"/>
      <c r="AR148" s="2346"/>
      <c r="AS148" s="2346"/>
      <c r="AT148" s="2346"/>
      <c r="AU148" s="2346"/>
      <c r="AV148" s="2346"/>
      <c r="AW148" s="2346"/>
      <c r="AX148" s="2347"/>
      <c r="AY148" s="974"/>
      <c r="AZ148" s="974"/>
      <c r="BA148" s="974"/>
      <c r="BB148" s="974"/>
      <c r="BC148" s="974"/>
      <c r="BD148" s="974"/>
      <c r="BE148" s="970"/>
    </row>
    <row r="149" spans="1:57" ht="15.75" customHeight="1">
      <c r="A149" s="974"/>
      <c r="B149" s="2345"/>
      <c r="C149" s="2346"/>
      <c r="D149" s="2346"/>
      <c r="E149" s="2346"/>
      <c r="F149" s="2346"/>
      <c r="G149" s="2346"/>
      <c r="H149" s="2346"/>
      <c r="I149" s="2346"/>
      <c r="J149" s="2346"/>
      <c r="K149" s="2346"/>
      <c r="L149" s="2346"/>
      <c r="M149" s="2346"/>
      <c r="N149" s="2346"/>
      <c r="O149" s="2346"/>
      <c r="P149" s="2346"/>
      <c r="Q149" s="2346"/>
      <c r="R149" s="2346"/>
      <c r="S149" s="2346"/>
      <c r="T149" s="2346"/>
      <c r="U149" s="2346"/>
      <c r="V149" s="2346"/>
      <c r="W149" s="2346"/>
      <c r="X149" s="2346"/>
      <c r="Y149" s="2346"/>
      <c r="Z149" s="2346"/>
      <c r="AA149" s="2346"/>
      <c r="AB149" s="2346"/>
      <c r="AC149" s="2346"/>
      <c r="AD149" s="2346"/>
      <c r="AE149" s="2346"/>
      <c r="AF149" s="2346"/>
      <c r="AG149" s="2346"/>
      <c r="AH149" s="2346"/>
      <c r="AI149" s="2346"/>
      <c r="AJ149" s="2346"/>
      <c r="AK149" s="2346"/>
      <c r="AL149" s="2346"/>
      <c r="AM149" s="2346"/>
      <c r="AN149" s="2346"/>
      <c r="AO149" s="2346"/>
      <c r="AP149" s="2346"/>
      <c r="AQ149" s="2346"/>
      <c r="AR149" s="2346"/>
      <c r="AS149" s="2346"/>
      <c r="AT149" s="2346"/>
      <c r="AU149" s="2346"/>
      <c r="AV149" s="2346"/>
      <c r="AW149" s="2346"/>
      <c r="AX149" s="2347"/>
      <c r="AY149" s="974"/>
      <c r="AZ149" s="974"/>
      <c r="BA149" s="974"/>
      <c r="BB149" s="974"/>
      <c r="BC149" s="974"/>
      <c r="BD149" s="974"/>
      <c r="BE149" s="970"/>
    </row>
    <row r="150" spans="1:57" ht="15.75" customHeight="1" thickBot="1">
      <c r="A150" s="974"/>
      <c r="B150" s="2348"/>
      <c r="C150" s="2349"/>
      <c r="D150" s="2349"/>
      <c r="E150" s="2349"/>
      <c r="F150" s="2349"/>
      <c r="G150" s="2349"/>
      <c r="H150" s="2349"/>
      <c r="I150" s="2349"/>
      <c r="J150" s="2349"/>
      <c r="K150" s="2349"/>
      <c r="L150" s="2349"/>
      <c r="M150" s="2349"/>
      <c r="N150" s="2349"/>
      <c r="O150" s="2349"/>
      <c r="P150" s="2349"/>
      <c r="Q150" s="2349"/>
      <c r="R150" s="2349"/>
      <c r="S150" s="2349"/>
      <c r="T150" s="2349"/>
      <c r="U150" s="2349"/>
      <c r="V150" s="2349"/>
      <c r="W150" s="2349"/>
      <c r="X150" s="2349"/>
      <c r="Y150" s="2349"/>
      <c r="Z150" s="2349"/>
      <c r="AA150" s="2349"/>
      <c r="AB150" s="2349"/>
      <c r="AC150" s="2349"/>
      <c r="AD150" s="2349"/>
      <c r="AE150" s="2349"/>
      <c r="AF150" s="2349"/>
      <c r="AG150" s="2349"/>
      <c r="AH150" s="2349"/>
      <c r="AI150" s="2349"/>
      <c r="AJ150" s="2349"/>
      <c r="AK150" s="2349"/>
      <c r="AL150" s="2349"/>
      <c r="AM150" s="2349"/>
      <c r="AN150" s="2349"/>
      <c r="AO150" s="2349"/>
      <c r="AP150" s="2349"/>
      <c r="AQ150" s="2349"/>
      <c r="AR150" s="2349"/>
      <c r="AS150" s="2349"/>
      <c r="AT150" s="2349"/>
      <c r="AU150" s="2349"/>
      <c r="AV150" s="2349"/>
      <c r="AW150" s="2349"/>
      <c r="AX150" s="2350"/>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2589</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2590</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340" t="s">
        <v>2591</v>
      </c>
      <c r="C154" s="2136"/>
      <c r="D154" s="2136"/>
      <c r="E154" s="2136"/>
      <c r="F154" s="2136"/>
      <c r="G154" s="2136"/>
      <c r="H154" s="2136"/>
      <c r="I154" s="2136"/>
      <c r="J154" s="2136"/>
      <c r="K154" s="2136"/>
      <c r="L154" s="2136"/>
      <c r="M154" s="2136"/>
      <c r="N154" s="2136"/>
      <c r="O154" s="2136"/>
      <c r="P154" s="2136"/>
      <c r="Q154" s="2136"/>
      <c r="R154" s="2136"/>
      <c r="S154" s="2136"/>
      <c r="T154" s="2136"/>
      <c r="U154" s="2137"/>
      <c r="V154" s="974"/>
      <c r="W154" s="982"/>
      <c r="X154" s="2340" t="s">
        <v>2592</v>
      </c>
      <c r="Y154" s="2136"/>
      <c r="Z154" s="2136"/>
      <c r="AA154" s="2136"/>
      <c r="AB154" s="2136"/>
      <c r="AC154" s="2136"/>
      <c r="AD154" s="2136"/>
      <c r="AE154" s="2136"/>
      <c r="AF154" s="2136"/>
      <c r="AG154" s="2136"/>
      <c r="AH154" s="2136"/>
      <c r="AI154" s="2136"/>
      <c r="AJ154" s="2136"/>
      <c r="AK154" s="2136"/>
      <c r="AL154" s="2136"/>
      <c r="AM154" s="2136"/>
      <c r="AN154" s="2136"/>
      <c r="AO154" s="2136"/>
      <c r="AP154" s="2136"/>
      <c r="AQ154" s="2137"/>
      <c r="AR154" s="974"/>
      <c r="AS154" s="974"/>
      <c r="AT154" s="974"/>
      <c r="AU154" s="974"/>
      <c r="AV154" s="974"/>
      <c r="AW154" s="974"/>
      <c r="AX154" s="974"/>
      <c r="AY154" s="974"/>
      <c r="AZ154" s="974"/>
      <c r="BA154" s="974"/>
      <c r="BB154" s="974"/>
      <c r="BC154" s="974"/>
      <c r="BD154" s="974"/>
      <c r="BE154" s="970"/>
    </row>
    <row r="155" spans="1:57" ht="15.75" customHeight="1">
      <c r="A155" s="974"/>
      <c r="B155" s="2319"/>
      <c r="C155" s="2320"/>
      <c r="D155" s="2320"/>
      <c r="E155" s="2320"/>
      <c r="F155" s="2320"/>
      <c r="G155" s="2320"/>
      <c r="H155" s="2320"/>
      <c r="I155" s="2334" t="s">
        <v>2561</v>
      </c>
      <c r="J155" s="2334"/>
      <c r="K155" s="2334"/>
      <c r="L155" s="2334"/>
      <c r="M155" s="2334"/>
      <c r="N155" s="2334"/>
      <c r="O155" s="2334"/>
      <c r="P155" s="2334" t="s">
        <v>2593</v>
      </c>
      <c r="Q155" s="2334"/>
      <c r="R155" s="2334"/>
      <c r="S155" s="2334"/>
      <c r="T155" s="2334"/>
      <c r="U155" s="2335"/>
      <c r="V155" s="974"/>
      <c r="W155" s="974"/>
      <c r="X155" s="2319"/>
      <c r="Y155" s="2320"/>
      <c r="Z155" s="2320"/>
      <c r="AA155" s="2320"/>
      <c r="AB155" s="2320"/>
      <c r="AC155" s="2320"/>
      <c r="AD155" s="2320"/>
      <c r="AE155" s="2334" t="s">
        <v>2561</v>
      </c>
      <c r="AF155" s="2334"/>
      <c r="AG155" s="2334"/>
      <c r="AH155" s="2334"/>
      <c r="AI155" s="2334"/>
      <c r="AJ155" s="2334"/>
      <c r="AK155" s="2334"/>
      <c r="AL155" s="2334" t="s">
        <v>2562</v>
      </c>
      <c r="AM155" s="2334"/>
      <c r="AN155" s="2334"/>
      <c r="AO155" s="2334"/>
      <c r="AP155" s="2334"/>
      <c r="AQ155" s="2335"/>
      <c r="AR155" s="974"/>
      <c r="AS155" s="974"/>
      <c r="AT155" s="974"/>
      <c r="AU155" s="974"/>
      <c r="AV155" s="974"/>
      <c r="AW155" s="974"/>
      <c r="AX155" s="974"/>
      <c r="AY155" s="974"/>
      <c r="AZ155" s="974"/>
      <c r="BA155" s="974"/>
      <c r="BB155" s="974"/>
      <c r="BC155" s="974"/>
      <c r="BD155" s="974"/>
      <c r="BE155" s="970"/>
    </row>
    <row r="156" spans="1:57" ht="15.75" customHeight="1">
      <c r="A156" s="974"/>
      <c r="B156" s="2319"/>
      <c r="C156" s="2320"/>
      <c r="D156" s="2320"/>
      <c r="E156" s="2320"/>
      <c r="F156" s="2320"/>
      <c r="G156" s="2320"/>
      <c r="H156" s="2320"/>
      <c r="I156" s="2334"/>
      <c r="J156" s="2334"/>
      <c r="K156" s="2334"/>
      <c r="L156" s="2334"/>
      <c r="M156" s="2334"/>
      <c r="N156" s="2334"/>
      <c r="O156" s="2334"/>
      <c r="P156" s="2334"/>
      <c r="Q156" s="2334"/>
      <c r="R156" s="2334"/>
      <c r="S156" s="2334"/>
      <c r="T156" s="2334"/>
      <c r="U156" s="2335"/>
      <c r="V156" s="974"/>
      <c r="W156" s="974"/>
      <c r="X156" s="2319"/>
      <c r="Y156" s="2320"/>
      <c r="Z156" s="2320"/>
      <c r="AA156" s="2320"/>
      <c r="AB156" s="2320"/>
      <c r="AC156" s="2320"/>
      <c r="AD156" s="2320"/>
      <c r="AE156" s="2334"/>
      <c r="AF156" s="2334"/>
      <c r="AG156" s="2334"/>
      <c r="AH156" s="2334"/>
      <c r="AI156" s="2334"/>
      <c r="AJ156" s="2334"/>
      <c r="AK156" s="2334"/>
      <c r="AL156" s="2334"/>
      <c r="AM156" s="2334"/>
      <c r="AN156" s="2334"/>
      <c r="AO156" s="2334"/>
      <c r="AP156" s="2334"/>
      <c r="AQ156" s="2335"/>
      <c r="AR156" s="974"/>
      <c r="AS156" s="974"/>
      <c r="AT156" s="974"/>
      <c r="AU156" s="974"/>
      <c r="AV156" s="974"/>
      <c r="AW156" s="974"/>
      <c r="AX156" s="974"/>
      <c r="AY156" s="974"/>
      <c r="AZ156" s="974"/>
      <c r="BA156" s="974"/>
      <c r="BB156" s="974"/>
      <c r="BC156" s="974"/>
      <c r="BD156" s="974"/>
      <c r="BE156" s="970"/>
    </row>
    <row r="157" spans="1:57" ht="15.75" customHeight="1" thickBot="1">
      <c r="A157" s="974"/>
      <c r="B157" s="2336" t="s">
        <v>2581</v>
      </c>
      <c r="C157" s="2337"/>
      <c r="D157" s="2337"/>
      <c r="E157" s="2337"/>
      <c r="F157" s="2337"/>
      <c r="G157" s="2337"/>
      <c r="H157" s="2337"/>
      <c r="I157" s="2096">
        <v>0</v>
      </c>
      <c r="J157" s="2096"/>
      <c r="K157" s="2096"/>
      <c r="L157" s="2096"/>
      <c r="M157" s="2096"/>
      <c r="N157" s="2096"/>
      <c r="O157" s="2096"/>
      <c r="P157" s="2096">
        <v>0</v>
      </c>
      <c r="Q157" s="2096"/>
      <c r="R157" s="2096"/>
      <c r="S157" s="2096"/>
      <c r="T157" s="2096"/>
      <c r="U157" s="2097"/>
      <c r="V157" s="974"/>
      <c r="W157" s="974"/>
      <c r="X157" s="2338" t="s">
        <v>2581</v>
      </c>
      <c r="Y157" s="2339"/>
      <c r="Z157" s="2339"/>
      <c r="AA157" s="2339"/>
      <c r="AB157" s="2339"/>
      <c r="AC157" s="2339"/>
      <c r="AD157" s="2339"/>
      <c r="AE157" s="2094">
        <v>0</v>
      </c>
      <c r="AF157" s="2094"/>
      <c r="AG157" s="2094"/>
      <c r="AH157" s="2094"/>
      <c r="AI157" s="2094"/>
      <c r="AJ157" s="2094"/>
      <c r="AK157" s="2094"/>
      <c r="AL157" s="2094">
        <v>0</v>
      </c>
      <c r="AM157" s="2094"/>
      <c r="AN157" s="2094"/>
      <c r="AO157" s="2094"/>
      <c r="AP157" s="2094"/>
      <c r="AQ157" s="2095"/>
      <c r="AR157" s="974"/>
      <c r="AS157" s="974"/>
      <c r="AT157" s="974"/>
      <c r="AU157" s="974"/>
      <c r="AV157" s="974"/>
      <c r="AW157" s="974"/>
      <c r="AX157" s="974"/>
      <c r="AY157" s="974"/>
      <c r="AZ157" s="974"/>
      <c r="BA157" s="974"/>
      <c r="BB157" s="974"/>
      <c r="BC157" s="974"/>
      <c r="BD157" s="974"/>
      <c r="BE157" s="970"/>
    </row>
    <row r="158" spans="1:57" ht="15.75" customHeight="1" thickBot="1">
      <c r="A158" s="974"/>
      <c r="B158" s="2338" t="s">
        <v>2582</v>
      </c>
      <c r="C158" s="2339"/>
      <c r="D158" s="2339"/>
      <c r="E158" s="2339"/>
      <c r="F158" s="2339"/>
      <c r="G158" s="2339"/>
      <c r="H158" s="2339"/>
      <c r="I158" s="2094">
        <v>0</v>
      </c>
      <c r="J158" s="2094"/>
      <c r="K158" s="2094"/>
      <c r="L158" s="2094"/>
      <c r="M158" s="2094"/>
      <c r="N158" s="2094"/>
      <c r="O158" s="2094"/>
      <c r="P158" s="2094">
        <v>0</v>
      </c>
      <c r="Q158" s="2094"/>
      <c r="R158" s="2094"/>
      <c r="S158" s="2094"/>
      <c r="T158" s="2094"/>
      <c r="U158" s="2095"/>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340" t="s">
        <v>2594</v>
      </c>
      <c r="D160" s="2136"/>
      <c r="E160" s="2136"/>
      <c r="F160" s="2136"/>
      <c r="G160" s="2136"/>
      <c r="H160" s="2136"/>
      <c r="I160" s="2136"/>
      <c r="J160" s="2136"/>
      <c r="K160" s="2136"/>
      <c r="L160" s="2136"/>
      <c r="M160" s="2136"/>
      <c r="N160" s="2136"/>
      <c r="O160" s="2136"/>
      <c r="P160" s="2136"/>
      <c r="Q160" s="2136"/>
      <c r="R160" s="2136"/>
      <c r="S160" s="2136"/>
      <c r="T160" s="2136"/>
      <c r="U160" s="2136"/>
      <c r="V160" s="2136"/>
      <c r="W160" s="2136"/>
      <c r="X160" s="2136"/>
      <c r="Y160" s="2136"/>
      <c r="Z160" s="2136"/>
      <c r="AA160" s="2136"/>
      <c r="AB160" s="2136"/>
      <c r="AC160" s="2136"/>
      <c r="AD160" s="2136"/>
      <c r="AE160" s="2136"/>
      <c r="AF160" s="2136"/>
      <c r="AG160" s="2137"/>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19" t="s">
        <v>2595</v>
      </c>
      <c r="D161" s="2320"/>
      <c r="E161" s="2320"/>
      <c r="F161" s="2320"/>
      <c r="G161" s="2320"/>
      <c r="H161" s="2320"/>
      <c r="I161" s="2320"/>
      <c r="J161" s="2320"/>
      <c r="K161" s="2320"/>
      <c r="L161" s="2320"/>
      <c r="M161" s="2320"/>
      <c r="N161" s="2320"/>
      <c r="O161" s="2320"/>
      <c r="P161" s="2320"/>
      <c r="Q161" s="2320" t="s">
        <v>2596</v>
      </c>
      <c r="R161" s="2320"/>
      <c r="S161" s="2320"/>
      <c r="T161" s="2101" t="s">
        <v>2597</v>
      </c>
      <c r="U161" s="2101"/>
      <c r="V161" s="2101"/>
      <c r="W161" s="2101"/>
      <c r="X161" s="2101"/>
      <c r="Y161" s="2101"/>
      <c r="Z161" s="2101"/>
      <c r="AA161" s="2101"/>
      <c r="AB161" s="2320" t="s">
        <v>2598</v>
      </c>
      <c r="AC161" s="2320"/>
      <c r="AD161" s="2320"/>
      <c r="AE161" s="2320"/>
      <c r="AF161" s="2320"/>
      <c r="AG161" s="2321"/>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28" t="s">
        <v>2599</v>
      </c>
      <c r="D162" s="2329"/>
      <c r="E162" s="2329"/>
      <c r="F162" s="2329"/>
      <c r="G162" s="2329"/>
      <c r="H162" s="2329"/>
      <c r="I162" s="2329"/>
      <c r="J162" s="2329"/>
      <c r="K162" s="2329"/>
      <c r="L162" s="2329"/>
      <c r="M162" s="2329"/>
      <c r="N162" s="2329"/>
      <c r="O162" s="2329"/>
      <c r="P162" s="2329"/>
      <c r="Q162" s="2278">
        <v>55</v>
      </c>
      <c r="R162" s="2278"/>
      <c r="S162" s="2278"/>
      <c r="T162" s="2292"/>
      <c r="U162" s="2292"/>
      <c r="V162" s="2292"/>
      <c r="W162" s="2292"/>
      <c r="X162" s="2292"/>
      <c r="Y162" s="2292"/>
      <c r="Z162" s="2292"/>
      <c r="AA162" s="2292"/>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28" t="s">
        <v>2600</v>
      </c>
      <c r="D163" s="2329"/>
      <c r="E163" s="2329"/>
      <c r="F163" s="2329"/>
      <c r="G163" s="2329"/>
      <c r="H163" s="2329"/>
      <c r="I163" s="2329"/>
      <c r="J163" s="2329"/>
      <c r="K163" s="2329"/>
      <c r="L163" s="2329"/>
      <c r="M163" s="2329"/>
      <c r="N163" s="2329"/>
      <c r="O163" s="2329"/>
      <c r="P163" s="2329"/>
      <c r="Q163" s="2278">
        <v>55</v>
      </c>
      <c r="R163" s="2278"/>
      <c r="S163" s="2278"/>
      <c r="T163" s="2331"/>
      <c r="U163" s="2331"/>
      <c r="V163" s="2331"/>
      <c r="W163" s="2331"/>
      <c r="X163" s="2331"/>
      <c r="Y163" s="2331"/>
      <c r="Z163" s="2331"/>
      <c r="AA163" s="2331"/>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28" t="s">
        <v>2601</v>
      </c>
      <c r="D164" s="2329"/>
      <c r="E164" s="2329"/>
      <c r="F164" s="2329"/>
      <c r="G164" s="2329"/>
      <c r="H164" s="2329"/>
      <c r="I164" s="2329"/>
      <c r="J164" s="2329"/>
      <c r="K164" s="2329"/>
      <c r="L164" s="2329"/>
      <c r="M164" s="2329"/>
      <c r="N164" s="2329"/>
      <c r="O164" s="2329"/>
      <c r="P164" s="2329"/>
      <c r="Q164" s="2278">
        <v>55</v>
      </c>
      <c r="R164" s="2278"/>
      <c r="S164" s="2278"/>
      <c r="T164" s="2292"/>
      <c r="U164" s="2292"/>
      <c r="V164" s="2292"/>
      <c r="W164" s="2292"/>
      <c r="X164" s="2292"/>
      <c r="Y164" s="2292"/>
      <c r="Z164" s="2292"/>
      <c r="AA164" s="2292"/>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28" t="s">
        <v>2526</v>
      </c>
      <c r="D165" s="2329"/>
      <c r="E165" s="2329"/>
      <c r="F165" s="2329"/>
      <c r="G165" s="2329"/>
      <c r="H165" s="2329"/>
      <c r="I165" s="2329"/>
      <c r="J165" s="2329"/>
      <c r="K165" s="2329"/>
      <c r="L165" s="2329"/>
      <c r="M165" s="2329"/>
      <c r="N165" s="2329"/>
      <c r="O165" s="2329"/>
      <c r="P165" s="2329"/>
      <c r="Q165" s="2278">
        <v>55</v>
      </c>
      <c r="R165" s="2278"/>
      <c r="S165" s="2278"/>
      <c r="T165" s="2292"/>
      <c r="U165" s="2292"/>
      <c r="V165" s="2292"/>
      <c r="W165" s="2292"/>
      <c r="X165" s="2292"/>
      <c r="Y165" s="2292"/>
      <c r="Z165" s="2292"/>
      <c r="AA165" s="2292"/>
      <c r="AB165" s="2332">
        <v>0</v>
      </c>
      <c r="AC165" s="2332"/>
      <c r="AD165" s="2332"/>
      <c r="AE165" s="2332"/>
      <c r="AF165" s="2332"/>
      <c r="AG165" s="2333"/>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28" t="s">
        <v>232</v>
      </c>
      <c r="D166" s="2329"/>
      <c r="E166" s="2329"/>
      <c r="F166" s="2330" t="s">
        <v>2602</v>
      </c>
      <c r="G166" s="2330"/>
      <c r="H166" s="2330"/>
      <c r="I166" s="2330"/>
      <c r="J166" s="2330"/>
      <c r="K166" s="2330"/>
      <c r="L166" s="2330"/>
      <c r="M166" s="2330"/>
      <c r="N166" s="2330"/>
      <c r="O166" s="2330"/>
      <c r="P166" s="2330"/>
      <c r="Q166" s="2278">
        <v>55</v>
      </c>
      <c r="R166" s="2278"/>
      <c r="S166" s="2278"/>
      <c r="T166" s="2331"/>
      <c r="U166" s="2331"/>
      <c r="V166" s="2331"/>
      <c r="W166" s="2331"/>
      <c r="X166" s="2331"/>
      <c r="Y166" s="2331"/>
      <c r="Z166" s="2331"/>
      <c r="AA166" s="2331"/>
      <c r="AB166" s="2332">
        <v>0</v>
      </c>
      <c r="AC166" s="2332"/>
      <c r="AD166" s="2332"/>
      <c r="AE166" s="2332"/>
      <c r="AF166" s="2332"/>
      <c r="AG166" s="2333"/>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28" t="s">
        <v>232</v>
      </c>
      <c r="D167" s="2329"/>
      <c r="E167" s="2329"/>
      <c r="F167" s="2330" t="s">
        <v>2602</v>
      </c>
      <c r="G167" s="2330"/>
      <c r="H167" s="2330"/>
      <c r="I167" s="2330"/>
      <c r="J167" s="2330"/>
      <c r="K167" s="2330"/>
      <c r="L167" s="2330"/>
      <c r="M167" s="2330"/>
      <c r="N167" s="2330"/>
      <c r="O167" s="2330"/>
      <c r="P167" s="2330"/>
      <c r="Q167" s="2278">
        <v>55</v>
      </c>
      <c r="R167" s="2278"/>
      <c r="S167" s="2278"/>
      <c r="T167" s="2331"/>
      <c r="U167" s="2331"/>
      <c r="V167" s="2331"/>
      <c r="W167" s="2331"/>
      <c r="X167" s="2331"/>
      <c r="Y167" s="2331"/>
      <c r="Z167" s="2331"/>
      <c r="AA167" s="2331"/>
      <c r="AB167" s="2332">
        <v>0</v>
      </c>
      <c r="AC167" s="2332"/>
      <c r="AD167" s="2332"/>
      <c r="AE167" s="2332"/>
      <c r="AF167" s="2332"/>
      <c r="AG167" s="2333"/>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299" t="s">
        <v>232</v>
      </c>
      <c r="D168" s="2300"/>
      <c r="E168" s="2300"/>
      <c r="F168" s="2301" t="s">
        <v>2602</v>
      </c>
      <c r="G168" s="2301"/>
      <c r="H168" s="2301"/>
      <c r="I168" s="2301"/>
      <c r="J168" s="2301"/>
      <c r="K168" s="2301"/>
      <c r="L168" s="2301"/>
      <c r="M168" s="2301"/>
      <c r="N168" s="2301"/>
      <c r="O168" s="2301"/>
      <c r="P168" s="2301"/>
      <c r="Q168" s="2302">
        <v>55</v>
      </c>
      <c r="R168" s="2302"/>
      <c r="S168" s="2302"/>
      <c r="T168" s="2303"/>
      <c r="U168" s="2303"/>
      <c r="V168" s="2303"/>
      <c r="W168" s="2303"/>
      <c r="X168" s="2303"/>
      <c r="Y168" s="2303"/>
      <c r="Z168" s="2303"/>
      <c r="AA168" s="2303"/>
      <c r="AB168" s="2304">
        <v>0</v>
      </c>
      <c r="AC168" s="2304"/>
      <c r="AD168" s="2304"/>
      <c r="AE168" s="2304"/>
      <c r="AF168" s="2304"/>
      <c r="AG168" s="2305"/>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103" t="s">
        <v>2603</v>
      </c>
      <c r="D170" s="2104"/>
      <c r="E170" s="2104"/>
      <c r="F170" s="2104"/>
      <c r="G170" s="2104"/>
      <c r="H170" s="2104"/>
      <c r="I170" s="2104"/>
      <c r="J170" s="2104"/>
      <c r="K170" s="2104"/>
      <c r="L170" s="2104"/>
      <c r="M170" s="2104"/>
      <c r="N170" s="2105"/>
      <c r="O170" s="974"/>
      <c r="P170" s="2316" t="s">
        <v>2604</v>
      </c>
      <c r="Q170" s="2317"/>
      <c r="R170" s="2317"/>
      <c r="S170" s="2317"/>
      <c r="T170" s="2317"/>
      <c r="U170" s="2317"/>
      <c r="V170" s="2317"/>
      <c r="W170" s="2317"/>
      <c r="X170" s="2317"/>
      <c r="Y170" s="2317"/>
      <c r="Z170" s="2317"/>
      <c r="AA170" s="2317"/>
      <c r="AB170" s="2317"/>
      <c r="AC170" s="2317"/>
      <c r="AD170" s="2317"/>
      <c r="AE170" s="2317"/>
      <c r="AF170" s="2317"/>
      <c r="AG170" s="2317"/>
      <c r="AH170" s="2317"/>
      <c r="AI170" s="2317"/>
      <c r="AJ170" s="2317"/>
      <c r="AK170" s="2317"/>
      <c r="AL170" s="2317"/>
      <c r="AM170" s="2317"/>
      <c r="AN170" s="2317"/>
      <c r="AO170" s="2318"/>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19" t="s">
        <v>2605</v>
      </c>
      <c r="D171" s="2320"/>
      <c r="E171" s="2320"/>
      <c r="F171" s="2320"/>
      <c r="G171" s="2320"/>
      <c r="H171" s="2320"/>
      <c r="I171" s="2320" t="s">
        <v>2606</v>
      </c>
      <c r="J171" s="2320"/>
      <c r="K171" s="2320"/>
      <c r="L171" s="2320"/>
      <c r="M171" s="2320"/>
      <c r="N171" s="2321"/>
      <c r="O171" s="974"/>
      <c r="P171" s="2322" t="s">
        <v>2553</v>
      </c>
      <c r="Q171" s="2323"/>
      <c r="R171" s="2323"/>
      <c r="S171" s="2323"/>
      <c r="T171" s="2323"/>
      <c r="U171" s="2323"/>
      <c r="V171" s="2323"/>
      <c r="W171" s="2323"/>
      <c r="X171" s="2323"/>
      <c r="Y171" s="2323"/>
      <c r="Z171" s="2323"/>
      <c r="AA171" s="2323"/>
      <c r="AB171" s="2323"/>
      <c r="AC171" s="2323"/>
      <c r="AD171" s="2323"/>
      <c r="AE171" s="2323"/>
      <c r="AF171" s="2323"/>
      <c r="AG171" s="2323"/>
      <c r="AH171" s="2323"/>
      <c r="AI171" s="2323"/>
      <c r="AJ171" s="2323"/>
      <c r="AK171" s="2323"/>
      <c r="AL171" s="2323"/>
      <c r="AM171" s="2323"/>
      <c r="AN171" s="2323"/>
      <c r="AO171" s="2324"/>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271"/>
      <c r="D172" s="2272"/>
      <c r="E172" s="2272"/>
      <c r="F172" s="2272"/>
      <c r="G172" s="2272"/>
      <c r="H172" s="2272"/>
      <c r="I172" s="2292"/>
      <c r="J172" s="2292"/>
      <c r="K172" s="2292"/>
      <c r="L172" s="2292"/>
      <c r="M172" s="2292"/>
      <c r="N172" s="2293"/>
      <c r="O172" s="974"/>
      <c r="P172" s="2322"/>
      <c r="Q172" s="2323"/>
      <c r="R172" s="2323"/>
      <c r="S172" s="2323"/>
      <c r="T172" s="2323"/>
      <c r="U172" s="2323"/>
      <c r="V172" s="2323"/>
      <c r="W172" s="2323"/>
      <c r="X172" s="2323"/>
      <c r="Y172" s="2323"/>
      <c r="Z172" s="2323"/>
      <c r="AA172" s="2323"/>
      <c r="AB172" s="2323"/>
      <c r="AC172" s="2323"/>
      <c r="AD172" s="2323"/>
      <c r="AE172" s="2323"/>
      <c r="AF172" s="2323"/>
      <c r="AG172" s="2323"/>
      <c r="AH172" s="2323"/>
      <c r="AI172" s="2323"/>
      <c r="AJ172" s="2323"/>
      <c r="AK172" s="2323"/>
      <c r="AL172" s="2323"/>
      <c r="AM172" s="2323"/>
      <c r="AN172" s="2323"/>
      <c r="AO172" s="2324"/>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271"/>
      <c r="D173" s="2272"/>
      <c r="E173" s="2272"/>
      <c r="F173" s="2272"/>
      <c r="G173" s="2272"/>
      <c r="H173" s="2272"/>
      <c r="I173" s="2292"/>
      <c r="J173" s="2292"/>
      <c r="K173" s="2292"/>
      <c r="L173" s="2292"/>
      <c r="M173" s="2292"/>
      <c r="N173" s="2293"/>
      <c r="O173" s="974"/>
      <c r="P173" s="2322"/>
      <c r="Q173" s="2323"/>
      <c r="R173" s="2323"/>
      <c r="S173" s="2323"/>
      <c r="T173" s="2323"/>
      <c r="U173" s="2323"/>
      <c r="V173" s="2323"/>
      <c r="W173" s="2323"/>
      <c r="X173" s="2323"/>
      <c r="Y173" s="2323"/>
      <c r="Z173" s="2323"/>
      <c r="AA173" s="2323"/>
      <c r="AB173" s="2323"/>
      <c r="AC173" s="2323"/>
      <c r="AD173" s="2323"/>
      <c r="AE173" s="2323"/>
      <c r="AF173" s="2323"/>
      <c r="AG173" s="2323"/>
      <c r="AH173" s="2323"/>
      <c r="AI173" s="2323"/>
      <c r="AJ173" s="2323"/>
      <c r="AK173" s="2323"/>
      <c r="AL173" s="2323"/>
      <c r="AM173" s="2323"/>
      <c r="AN173" s="2323"/>
      <c r="AO173" s="2324"/>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271"/>
      <c r="D174" s="2272"/>
      <c r="E174" s="2272"/>
      <c r="F174" s="2272"/>
      <c r="G174" s="2272"/>
      <c r="H174" s="2272"/>
      <c r="I174" s="2292"/>
      <c r="J174" s="2292"/>
      <c r="K174" s="2292"/>
      <c r="L174" s="2292"/>
      <c r="M174" s="2292"/>
      <c r="N174" s="2293"/>
      <c r="O174" s="974"/>
      <c r="P174" s="2322"/>
      <c r="Q174" s="2323"/>
      <c r="R174" s="2323"/>
      <c r="S174" s="2323"/>
      <c r="T174" s="2323"/>
      <c r="U174" s="2323"/>
      <c r="V174" s="2323"/>
      <c r="W174" s="2323"/>
      <c r="X174" s="2323"/>
      <c r="Y174" s="2323"/>
      <c r="Z174" s="2323"/>
      <c r="AA174" s="2323"/>
      <c r="AB174" s="2323"/>
      <c r="AC174" s="2323"/>
      <c r="AD174" s="2323"/>
      <c r="AE174" s="2323"/>
      <c r="AF174" s="2323"/>
      <c r="AG174" s="2323"/>
      <c r="AH174" s="2323"/>
      <c r="AI174" s="2323"/>
      <c r="AJ174" s="2323"/>
      <c r="AK174" s="2323"/>
      <c r="AL174" s="2323"/>
      <c r="AM174" s="2323"/>
      <c r="AN174" s="2323"/>
      <c r="AO174" s="2324"/>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271"/>
      <c r="D175" s="2272"/>
      <c r="E175" s="2272"/>
      <c r="F175" s="2272"/>
      <c r="G175" s="2272"/>
      <c r="H175" s="2272"/>
      <c r="I175" s="2292"/>
      <c r="J175" s="2292"/>
      <c r="K175" s="2292"/>
      <c r="L175" s="2292"/>
      <c r="M175" s="2292"/>
      <c r="N175" s="2293"/>
      <c r="O175" s="974"/>
      <c r="P175" s="2322"/>
      <c r="Q175" s="2323"/>
      <c r="R175" s="2323"/>
      <c r="S175" s="2323"/>
      <c r="T175" s="2323"/>
      <c r="U175" s="2323"/>
      <c r="V175" s="2323"/>
      <c r="W175" s="2323"/>
      <c r="X175" s="2323"/>
      <c r="Y175" s="2323"/>
      <c r="Z175" s="2323"/>
      <c r="AA175" s="2323"/>
      <c r="AB175" s="2323"/>
      <c r="AC175" s="2323"/>
      <c r="AD175" s="2323"/>
      <c r="AE175" s="2323"/>
      <c r="AF175" s="2323"/>
      <c r="AG175" s="2323"/>
      <c r="AH175" s="2323"/>
      <c r="AI175" s="2323"/>
      <c r="AJ175" s="2323"/>
      <c r="AK175" s="2323"/>
      <c r="AL175" s="2323"/>
      <c r="AM175" s="2323"/>
      <c r="AN175" s="2323"/>
      <c r="AO175" s="2324"/>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271"/>
      <c r="D176" s="2272"/>
      <c r="E176" s="2272"/>
      <c r="F176" s="2272"/>
      <c r="G176" s="2272"/>
      <c r="H176" s="2272"/>
      <c r="I176" s="2292"/>
      <c r="J176" s="2292"/>
      <c r="K176" s="2292"/>
      <c r="L176" s="2292"/>
      <c r="M176" s="2292"/>
      <c r="N176" s="2293"/>
      <c r="O176" s="974"/>
      <c r="P176" s="2322"/>
      <c r="Q176" s="2323"/>
      <c r="R176" s="2323"/>
      <c r="S176" s="2323"/>
      <c r="T176" s="2323"/>
      <c r="U176" s="2323"/>
      <c r="V176" s="2323"/>
      <c r="W176" s="2323"/>
      <c r="X176" s="2323"/>
      <c r="Y176" s="2323"/>
      <c r="Z176" s="2323"/>
      <c r="AA176" s="2323"/>
      <c r="AB176" s="2323"/>
      <c r="AC176" s="2323"/>
      <c r="AD176" s="2323"/>
      <c r="AE176" s="2323"/>
      <c r="AF176" s="2323"/>
      <c r="AG176" s="2323"/>
      <c r="AH176" s="2323"/>
      <c r="AI176" s="2323"/>
      <c r="AJ176" s="2323"/>
      <c r="AK176" s="2323"/>
      <c r="AL176" s="2323"/>
      <c r="AM176" s="2323"/>
      <c r="AN176" s="2323"/>
      <c r="AO176" s="2324"/>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271"/>
      <c r="D177" s="2272"/>
      <c r="E177" s="2272"/>
      <c r="F177" s="2272"/>
      <c r="G177" s="2272"/>
      <c r="H177" s="2272"/>
      <c r="I177" s="2292"/>
      <c r="J177" s="2292"/>
      <c r="K177" s="2292"/>
      <c r="L177" s="2292"/>
      <c r="M177" s="2292"/>
      <c r="N177" s="2293"/>
      <c r="O177" s="974"/>
      <c r="P177" s="2322"/>
      <c r="Q177" s="2323"/>
      <c r="R177" s="2323"/>
      <c r="S177" s="2323"/>
      <c r="T177" s="2323"/>
      <c r="U177" s="2323"/>
      <c r="V177" s="2323"/>
      <c r="W177" s="2323"/>
      <c r="X177" s="2323"/>
      <c r="Y177" s="2323"/>
      <c r="Z177" s="2323"/>
      <c r="AA177" s="2323"/>
      <c r="AB177" s="2323"/>
      <c r="AC177" s="2323"/>
      <c r="AD177" s="2323"/>
      <c r="AE177" s="2323"/>
      <c r="AF177" s="2323"/>
      <c r="AG177" s="2323"/>
      <c r="AH177" s="2323"/>
      <c r="AI177" s="2323"/>
      <c r="AJ177" s="2323"/>
      <c r="AK177" s="2323"/>
      <c r="AL177" s="2323"/>
      <c r="AM177" s="2323"/>
      <c r="AN177" s="2323"/>
      <c r="AO177" s="2324"/>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06"/>
      <c r="D178" s="2307"/>
      <c r="E178" s="2307"/>
      <c r="F178" s="2307"/>
      <c r="G178" s="2307"/>
      <c r="H178" s="2307"/>
      <c r="I178" s="2308"/>
      <c r="J178" s="2308"/>
      <c r="K178" s="2308"/>
      <c r="L178" s="2308"/>
      <c r="M178" s="2308"/>
      <c r="N178" s="2309"/>
      <c r="O178" s="974"/>
      <c r="P178" s="2325"/>
      <c r="Q178" s="2326"/>
      <c r="R178" s="2326"/>
      <c r="S178" s="2326"/>
      <c r="T178" s="2326"/>
      <c r="U178" s="2326"/>
      <c r="V178" s="2326"/>
      <c r="W178" s="2326"/>
      <c r="X178" s="2326"/>
      <c r="Y178" s="2326"/>
      <c r="Z178" s="2326"/>
      <c r="AA178" s="2326"/>
      <c r="AB178" s="2326"/>
      <c r="AC178" s="2326"/>
      <c r="AD178" s="2326"/>
      <c r="AE178" s="2326"/>
      <c r="AF178" s="2326"/>
      <c r="AG178" s="2326"/>
      <c r="AH178" s="2326"/>
      <c r="AI178" s="2326"/>
      <c r="AJ178" s="2326"/>
      <c r="AK178" s="2326"/>
      <c r="AL178" s="2326"/>
      <c r="AM178" s="2326"/>
      <c r="AN178" s="2326"/>
      <c r="AO178" s="2327"/>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10" t="s">
        <v>2607</v>
      </c>
      <c r="D180" s="2311"/>
      <c r="E180" s="2311"/>
      <c r="F180" s="2311"/>
      <c r="G180" s="2311"/>
      <c r="H180" s="2311"/>
      <c r="I180" s="2311"/>
      <c r="J180" s="2311"/>
      <c r="K180" s="2311"/>
      <c r="L180" s="2311"/>
      <c r="M180" s="2311"/>
      <c r="N180" s="2311"/>
      <c r="O180" s="2311"/>
      <c r="P180" s="2311"/>
      <c r="Q180" s="2311"/>
      <c r="R180" s="2311"/>
      <c r="S180" s="2311"/>
      <c r="T180" s="2311"/>
      <c r="U180" s="2311"/>
      <c r="V180" s="2311"/>
      <c r="W180" s="2311"/>
      <c r="X180" s="2311"/>
      <c r="Y180" s="2311"/>
      <c r="Z180" s="2311"/>
      <c r="AA180" s="2311"/>
      <c r="AB180" s="2311"/>
      <c r="AC180" s="2311"/>
      <c r="AD180" s="2311"/>
      <c r="AE180" s="2312"/>
      <c r="AF180" s="974"/>
      <c r="AG180" s="974"/>
      <c r="AH180" s="2505" t="s">
        <v>2608</v>
      </c>
      <c r="AI180" s="2506"/>
      <c r="AJ180" s="2506"/>
      <c r="AK180" s="2506"/>
      <c r="AL180" s="2506"/>
      <c r="AM180" s="2506"/>
      <c r="AN180" s="2506"/>
      <c r="AO180" s="2506"/>
      <c r="AP180" s="2506"/>
      <c r="AQ180" s="2506"/>
      <c r="AR180" s="2506"/>
      <c r="AS180" s="2506"/>
      <c r="AT180" s="2506"/>
      <c r="AU180" s="2506"/>
      <c r="AV180" s="2506"/>
      <c r="AW180" s="2506"/>
      <c r="AX180" s="2506"/>
      <c r="AY180" s="2506"/>
      <c r="AZ180" s="2506"/>
      <c r="BA180" s="2506"/>
      <c r="BB180" s="2506"/>
      <c r="BC180" s="2506"/>
      <c r="BD180" s="2506"/>
      <c r="BE180" s="2507"/>
    </row>
    <row r="181" spans="1:57" ht="15.75" customHeight="1" thickBot="1">
      <c r="A181" s="974"/>
      <c r="B181" s="974"/>
      <c r="C181" s="2313"/>
      <c r="D181" s="2314"/>
      <c r="E181" s="2314"/>
      <c r="F181" s="2314"/>
      <c r="G181" s="2314"/>
      <c r="H181" s="2314"/>
      <c r="I181" s="2314"/>
      <c r="J181" s="2314"/>
      <c r="K181" s="2314"/>
      <c r="L181" s="2314"/>
      <c r="M181" s="2314"/>
      <c r="N181" s="2314"/>
      <c r="O181" s="2314"/>
      <c r="P181" s="2314"/>
      <c r="Q181" s="2314"/>
      <c r="R181" s="2314"/>
      <c r="S181" s="2314"/>
      <c r="T181" s="2314"/>
      <c r="U181" s="2314"/>
      <c r="V181" s="2314"/>
      <c r="W181" s="2314"/>
      <c r="X181" s="2314"/>
      <c r="Y181" s="2314"/>
      <c r="Z181" s="2314"/>
      <c r="AA181" s="2314"/>
      <c r="AB181" s="2314"/>
      <c r="AC181" s="2314"/>
      <c r="AD181" s="2314"/>
      <c r="AE181" s="2315"/>
      <c r="AF181" s="974"/>
      <c r="AG181" s="974"/>
      <c r="AH181" s="2508" t="s">
        <v>2609</v>
      </c>
      <c r="AI181" s="2508"/>
      <c r="AJ181" s="2508"/>
      <c r="AK181" s="2508"/>
      <c r="AL181" s="2508"/>
      <c r="AM181" s="2508"/>
      <c r="AN181" s="2508"/>
      <c r="AO181" s="2508"/>
      <c r="AP181" s="2508"/>
      <c r="AQ181" s="2508"/>
      <c r="AR181" s="2508"/>
      <c r="AS181" s="2508"/>
      <c r="AT181" s="2508"/>
      <c r="AU181" s="2508"/>
      <c r="AV181" s="2508"/>
      <c r="AW181" s="2508"/>
      <c r="AX181" s="2508"/>
      <c r="AY181" s="2508"/>
      <c r="AZ181" s="2508"/>
      <c r="BA181" s="2508"/>
      <c r="BB181" s="2508"/>
      <c r="BC181" s="2508"/>
      <c r="BD181" s="2508"/>
      <c r="BE181" s="2508"/>
    </row>
    <row r="182" spans="1:57" ht="15.75" customHeight="1">
      <c r="A182" s="974"/>
      <c r="B182" s="974"/>
      <c r="C182" s="2103" t="s">
        <v>2595</v>
      </c>
      <c r="D182" s="2104"/>
      <c r="E182" s="2104"/>
      <c r="F182" s="2104"/>
      <c r="G182" s="2104"/>
      <c r="H182" s="2104"/>
      <c r="I182" s="2104"/>
      <c r="J182" s="2104"/>
      <c r="K182" s="2104"/>
      <c r="L182" s="2104"/>
      <c r="M182" s="2104"/>
      <c r="N182" s="2104" t="s">
        <v>2610</v>
      </c>
      <c r="O182" s="2104"/>
      <c r="P182" s="2104"/>
      <c r="Q182" s="2104"/>
      <c r="R182" s="2104"/>
      <c r="S182" s="2104"/>
      <c r="T182" s="2104"/>
      <c r="U182" s="2136" t="s">
        <v>2595</v>
      </c>
      <c r="V182" s="2136"/>
      <c r="W182" s="2136"/>
      <c r="X182" s="2136"/>
      <c r="Y182" s="2136"/>
      <c r="Z182" s="2136"/>
      <c r="AA182" s="2136"/>
      <c r="AB182" s="2136"/>
      <c r="AC182" s="2136"/>
      <c r="AD182" s="2136"/>
      <c r="AE182" s="2137"/>
      <c r="AF182" s="974"/>
      <c r="AG182" s="974"/>
      <c r="AH182" s="2291" t="s">
        <v>2611</v>
      </c>
      <c r="AI182" s="2291"/>
      <c r="AJ182" s="2291"/>
      <c r="AK182" s="2291"/>
      <c r="AL182" s="2291"/>
      <c r="AM182" s="2291"/>
      <c r="AN182" s="2291"/>
      <c r="AO182" s="2291"/>
      <c r="AP182" s="2291"/>
      <c r="AQ182" s="2291"/>
      <c r="AR182" s="2291"/>
      <c r="AS182" s="2291"/>
      <c r="AT182" s="2291"/>
      <c r="AU182" s="2516">
        <v>2500000</v>
      </c>
      <c r="AV182" s="2516"/>
      <c r="AW182" s="2516"/>
      <c r="AX182" s="2516"/>
      <c r="AY182" s="2516"/>
      <c r="AZ182" s="2516"/>
      <c r="BA182" s="2516"/>
      <c r="BB182" s="2516"/>
      <c r="BC182" s="2520"/>
      <c r="BD182" s="2521"/>
      <c r="BE182" s="2522"/>
    </row>
    <row r="183" spans="1:57" ht="15.75" customHeight="1">
      <c r="A183" s="974"/>
      <c r="B183" s="974"/>
      <c r="C183" s="2280" t="s">
        <v>2612</v>
      </c>
      <c r="D183" s="2281"/>
      <c r="E183" s="2281"/>
      <c r="F183" s="2281"/>
      <c r="G183" s="2281"/>
      <c r="H183" s="2281"/>
      <c r="I183" s="2281"/>
      <c r="J183" s="2281"/>
      <c r="K183" s="2281"/>
      <c r="L183" s="2281"/>
      <c r="M183" s="2281"/>
      <c r="N183" s="2294">
        <f>'Sources and Uses Budget'!B105</f>
        <v>55233895</v>
      </c>
      <c r="O183" s="2294"/>
      <c r="P183" s="2294"/>
      <c r="Q183" s="2294"/>
      <c r="R183" s="2294"/>
      <c r="S183" s="2294"/>
      <c r="T183" s="2294"/>
      <c r="U183" s="2295"/>
      <c r="V183" s="2295"/>
      <c r="W183" s="2295"/>
      <c r="X183" s="2295"/>
      <c r="Y183" s="2295"/>
      <c r="Z183" s="2295"/>
      <c r="AA183" s="2295"/>
      <c r="AB183" s="2295"/>
      <c r="AC183" s="2295"/>
      <c r="AD183" s="2295"/>
      <c r="AE183" s="2296"/>
      <c r="AF183" s="974"/>
      <c r="AG183" s="974"/>
      <c r="AH183" s="2291" t="s">
        <v>2613</v>
      </c>
      <c r="AI183" s="2291"/>
      <c r="AJ183" s="2291"/>
      <c r="AK183" s="2291"/>
      <c r="AL183" s="2291"/>
      <c r="AM183" s="2291"/>
      <c r="AN183" s="2291"/>
      <c r="AO183" s="2291"/>
      <c r="AP183" s="2291"/>
      <c r="AQ183" s="2291"/>
      <c r="AR183" s="2291"/>
      <c r="AS183" s="2291"/>
      <c r="AT183" s="2291"/>
      <c r="AU183" s="2517">
        <f>MAX(0,Application!AG439-100)*20000</f>
        <v>0</v>
      </c>
      <c r="AV183" s="2517"/>
      <c r="AW183" s="2517"/>
      <c r="AX183" s="2517"/>
      <c r="AY183" s="2517"/>
      <c r="AZ183" s="2517"/>
      <c r="BA183" s="2517"/>
      <c r="BB183" s="2517"/>
      <c r="BC183" s="2250"/>
      <c r="BD183" s="2251"/>
      <c r="BE183" s="2252"/>
    </row>
    <row r="184" spans="1:57" ht="15.75" customHeight="1">
      <c r="A184" s="974"/>
      <c r="B184" s="974"/>
      <c r="C184" s="2280" t="s">
        <v>2614</v>
      </c>
      <c r="D184" s="2281"/>
      <c r="E184" s="2281"/>
      <c r="F184" s="2281"/>
      <c r="G184" s="2281"/>
      <c r="H184" s="2281"/>
      <c r="I184" s="2281"/>
      <c r="J184" s="2281"/>
      <c r="K184" s="2281"/>
      <c r="L184" s="2281"/>
      <c r="M184" s="2281"/>
      <c r="N184" s="2294">
        <f>N183/J29</f>
        <v>863029.609375</v>
      </c>
      <c r="O184" s="2294"/>
      <c r="P184" s="2294"/>
      <c r="Q184" s="2294"/>
      <c r="R184" s="2294"/>
      <c r="S184" s="2294"/>
      <c r="T184" s="2294"/>
      <c r="U184" s="1217"/>
      <c r="V184" s="1217"/>
      <c r="W184" s="1217"/>
      <c r="X184" s="1217"/>
      <c r="Y184" s="1217"/>
      <c r="Z184" s="1217"/>
      <c r="AA184" s="1217"/>
      <c r="AB184" s="1217"/>
      <c r="AC184" s="1217"/>
      <c r="AD184" s="1217"/>
      <c r="AE184" s="1218"/>
      <c r="AF184" s="974"/>
      <c r="AG184" s="974"/>
      <c r="AH184" s="2509" t="s">
        <v>2615</v>
      </c>
      <c r="AI184" s="2509"/>
      <c r="AJ184" s="2509"/>
      <c r="AK184" s="2509"/>
      <c r="AL184" s="2509"/>
      <c r="AM184" s="2509"/>
      <c r="AN184" s="2509"/>
      <c r="AO184" s="2509"/>
      <c r="AP184" s="2509"/>
      <c r="AQ184" s="2509"/>
      <c r="AR184" s="2509"/>
      <c r="AS184" s="2509"/>
      <c r="AT184" s="2509"/>
      <c r="AU184" s="2249">
        <f>AU182+AU183</f>
        <v>2500000</v>
      </c>
      <c r="AV184" s="2249"/>
      <c r="AW184" s="2249"/>
      <c r="AX184" s="2249"/>
      <c r="AY184" s="2249"/>
      <c r="AZ184" s="2249"/>
      <c r="BA184" s="2249"/>
      <c r="BB184" s="2249"/>
      <c r="BC184" s="2250"/>
      <c r="BD184" s="2251"/>
      <c r="BE184" s="2252"/>
    </row>
    <row r="185" spans="1:57" ht="15.75" customHeight="1">
      <c r="A185" s="974"/>
      <c r="B185" s="974"/>
      <c r="C185" s="2297" t="s">
        <v>2616</v>
      </c>
      <c r="D185" s="2298"/>
      <c r="E185" s="2298"/>
      <c r="F185" s="2298"/>
      <c r="G185" s="2298"/>
      <c r="H185" s="2298"/>
      <c r="I185" s="2298"/>
      <c r="J185" s="2298"/>
      <c r="K185" s="2298"/>
      <c r="L185" s="2298"/>
      <c r="M185" s="2298"/>
      <c r="N185" s="2132">
        <v>0</v>
      </c>
      <c r="O185" s="2132"/>
      <c r="P185" s="2132"/>
      <c r="Q185" s="2132"/>
      <c r="R185" s="2132"/>
      <c r="S185" s="2132"/>
      <c r="T185" s="2132"/>
      <c r="U185" s="2275"/>
      <c r="V185" s="2275"/>
      <c r="W185" s="2275"/>
      <c r="X185" s="2275"/>
      <c r="Y185" s="2275"/>
      <c r="Z185" s="2275"/>
      <c r="AA185" s="2275"/>
      <c r="AB185" s="2275"/>
      <c r="AC185" s="2275"/>
      <c r="AD185" s="2275"/>
      <c r="AE185" s="2276"/>
      <c r="AF185" s="974"/>
      <c r="AG185" s="974"/>
      <c r="AH185" s="2519" t="s">
        <v>2617</v>
      </c>
      <c r="AI185" s="2519"/>
      <c r="AJ185" s="2519"/>
      <c r="AK185" s="2519"/>
      <c r="AL185" s="2519"/>
      <c r="AM185" s="2519"/>
      <c r="AN185" s="2519"/>
      <c r="AO185" s="2519"/>
      <c r="AP185" s="2519"/>
      <c r="AQ185" s="2519"/>
      <c r="AR185" s="2519"/>
      <c r="AS185" s="2519"/>
      <c r="AT185" s="2519"/>
      <c r="AU185" s="2518" t="str">
        <f>IF(AU189-AU192&lt;=AU184,"Y","N")</f>
        <v>Y</v>
      </c>
      <c r="AV185" s="2518"/>
      <c r="AW185" s="2518"/>
      <c r="AX185" s="2518"/>
      <c r="AY185" s="2518"/>
      <c r="AZ185" s="2518"/>
      <c r="BA185" s="2518"/>
      <c r="BB185" s="2518"/>
      <c r="BC185" s="2250"/>
      <c r="BD185" s="2251"/>
      <c r="BE185" s="2252"/>
    </row>
    <row r="186" spans="1:57" ht="15.75" customHeight="1" thickBot="1">
      <c r="A186" s="974"/>
      <c r="B186" s="974"/>
      <c r="C186" s="2280" t="s">
        <v>2618</v>
      </c>
      <c r="D186" s="2281"/>
      <c r="E186" s="2281"/>
      <c r="F186" s="2281"/>
      <c r="G186" s="2281"/>
      <c r="H186" s="2281"/>
      <c r="I186" s="2281"/>
      <c r="J186" s="2281"/>
      <c r="K186" s="2281"/>
      <c r="L186" s="2281"/>
      <c r="M186" s="2281"/>
      <c r="N186" s="2282">
        <f>SUM('Sources and Uses Budget'!B85:B86)</f>
        <v>2275000</v>
      </c>
      <c r="O186" s="2282"/>
      <c r="P186" s="2282"/>
      <c r="Q186" s="2282"/>
      <c r="R186" s="2282"/>
      <c r="S186" s="2282"/>
      <c r="T186" s="2282"/>
      <c r="U186" s="2275"/>
      <c r="V186" s="2275"/>
      <c r="W186" s="2275"/>
      <c r="X186" s="2275"/>
      <c r="Y186" s="2275"/>
      <c r="Z186" s="2275"/>
      <c r="AA186" s="2275"/>
      <c r="AB186" s="2275"/>
      <c r="AC186" s="2275"/>
      <c r="AD186" s="2275"/>
      <c r="AE186" s="2276"/>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280" t="s">
        <v>2619</v>
      </c>
      <c r="D187" s="2281"/>
      <c r="E187" s="2281"/>
      <c r="F187" s="2281"/>
      <c r="G187" s="2281"/>
      <c r="H187" s="2281"/>
      <c r="I187" s="2281"/>
      <c r="J187" s="2281"/>
      <c r="K187" s="2281"/>
      <c r="L187" s="2281"/>
      <c r="M187" s="2281"/>
      <c r="N187" s="2282">
        <f>'Sources and Uses Budget'!B8</f>
        <v>4650000</v>
      </c>
      <c r="O187" s="2282"/>
      <c r="P187" s="2282"/>
      <c r="Q187" s="2282"/>
      <c r="R187" s="2282"/>
      <c r="S187" s="2282"/>
      <c r="T187" s="2282"/>
      <c r="U187" s="2275"/>
      <c r="V187" s="2275"/>
      <c r="W187" s="2275"/>
      <c r="X187" s="2275"/>
      <c r="Y187" s="2275"/>
      <c r="Z187" s="2275"/>
      <c r="AA187" s="2275"/>
      <c r="AB187" s="2275"/>
      <c r="AC187" s="2275"/>
      <c r="AD187" s="2275"/>
      <c r="AE187" s="2276"/>
      <c r="AF187" s="974"/>
      <c r="AG187" s="974"/>
      <c r="AH187" s="2283" t="s">
        <v>1500</v>
      </c>
      <c r="AI187" s="2284"/>
      <c r="AJ187" s="2284"/>
      <c r="AK187" s="2284"/>
      <c r="AL187" s="2284"/>
      <c r="AM187" s="2284"/>
      <c r="AN187" s="2284"/>
      <c r="AO187" s="2284"/>
      <c r="AP187" s="2284"/>
      <c r="AQ187" s="2284"/>
      <c r="AR187" s="2284"/>
      <c r="AS187" s="2284"/>
      <c r="AT187" s="2284"/>
      <c r="AU187" s="2284"/>
      <c r="AV187" s="2284"/>
      <c r="AW187" s="2284"/>
      <c r="AX187" s="2284"/>
      <c r="AY187" s="2284"/>
      <c r="AZ187" s="2284"/>
      <c r="BA187" s="2284"/>
      <c r="BB187" s="2284"/>
      <c r="BC187" s="2284"/>
      <c r="BD187" s="2284"/>
      <c r="BE187" s="2285"/>
    </row>
    <row r="188" spans="1:57" ht="15.75" customHeight="1">
      <c r="A188" s="974"/>
      <c r="B188" s="974"/>
      <c r="C188" s="2280" t="s">
        <v>2620</v>
      </c>
      <c r="D188" s="2281"/>
      <c r="E188" s="2281"/>
      <c r="F188" s="2281"/>
      <c r="G188" s="2281"/>
      <c r="H188" s="2281"/>
      <c r="I188" s="2281"/>
      <c r="J188" s="2281"/>
      <c r="K188" s="2281"/>
      <c r="L188" s="2281"/>
      <c r="M188" s="2281"/>
      <c r="N188" s="2274">
        <v>0</v>
      </c>
      <c r="O188" s="2274"/>
      <c r="P188" s="2274"/>
      <c r="Q188" s="2274"/>
      <c r="R188" s="2274"/>
      <c r="S188" s="2274"/>
      <c r="T188" s="2274"/>
      <c r="U188" s="2275"/>
      <c r="V188" s="2275"/>
      <c r="W188" s="2275"/>
      <c r="X188" s="2275"/>
      <c r="Y188" s="2275"/>
      <c r="Z188" s="2275"/>
      <c r="AA188" s="2275"/>
      <c r="AB188" s="2275"/>
      <c r="AC188" s="2275"/>
      <c r="AD188" s="2275"/>
      <c r="AE188" s="2276"/>
      <c r="AF188" s="974"/>
      <c r="AG188" s="974"/>
      <c r="AH188" s="2286" t="s">
        <v>1500</v>
      </c>
      <c r="AI188" s="2286"/>
      <c r="AJ188" s="2286"/>
      <c r="AK188" s="2286"/>
      <c r="AL188" s="2286"/>
      <c r="AM188" s="2286"/>
      <c r="AN188" s="2286"/>
      <c r="AO188" s="2286"/>
      <c r="AP188" s="2286"/>
      <c r="AQ188" s="2286"/>
      <c r="AR188" s="2286"/>
      <c r="AS188" s="2286"/>
      <c r="AT188" s="2286"/>
      <c r="AU188" s="2287">
        <v>0</v>
      </c>
      <c r="AV188" s="2287"/>
      <c r="AW188" s="2287"/>
      <c r="AX188" s="2287"/>
      <c r="AY188" s="2287"/>
      <c r="AZ188" s="2287"/>
      <c r="BA188" s="2287"/>
      <c r="BB188" s="2287"/>
      <c r="BC188" s="2288"/>
      <c r="BD188" s="2289"/>
      <c r="BE188" s="2290"/>
    </row>
    <row r="189" spans="1:57" ht="15.75" customHeight="1">
      <c r="A189" s="974"/>
      <c r="B189" s="974"/>
      <c r="C189" s="2280" t="s">
        <v>2621</v>
      </c>
      <c r="D189" s="2281"/>
      <c r="E189" s="2281"/>
      <c r="F189" s="2281"/>
      <c r="G189" s="2281"/>
      <c r="H189" s="2281"/>
      <c r="I189" s="2281"/>
      <c r="J189" s="2281"/>
      <c r="K189" s="2281"/>
      <c r="L189" s="2281"/>
      <c r="M189" s="2281"/>
      <c r="N189" s="2274">
        <v>0</v>
      </c>
      <c r="O189" s="2274"/>
      <c r="P189" s="2274"/>
      <c r="Q189" s="2274"/>
      <c r="R189" s="2274"/>
      <c r="S189" s="2274"/>
      <c r="T189" s="2274"/>
      <c r="U189" s="2275"/>
      <c r="V189" s="2275"/>
      <c r="W189" s="2275"/>
      <c r="X189" s="2275"/>
      <c r="Y189" s="2275"/>
      <c r="Z189" s="2275"/>
      <c r="AA189" s="2275"/>
      <c r="AB189" s="2275"/>
      <c r="AC189" s="2275"/>
      <c r="AD189" s="2275"/>
      <c r="AE189" s="2276"/>
      <c r="AF189" s="974"/>
      <c r="AG189" s="974"/>
      <c r="AH189" s="2291" t="s">
        <v>2622</v>
      </c>
      <c r="AI189" s="2291"/>
      <c r="AJ189" s="2291"/>
      <c r="AK189" s="2291"/>
      <c r="AL189" s="2291"/>
      <c r="AM189" s="2291"/>
      <c r="AN189" s="2291"/>
      <c r="AO189" s="2291"/>
      <c r="AP189" s="2291"/>
      <c r="AQ189" s="2291"/>
      <c r="AR189" s="2291"/>
      <c r="AS189" s="2291"/>
      <c r="AT189" s="2291"/>
      <c r="AU189" s="2279"/>
      <c r="AV189" s="2279"/>
      <c r="AW189" s="2279"/>
      <c r="AX189" s="2279"/>
      <c r="AY189" s="2279"/>
      <c r="AZ189" s="2279"/>
      <c r="BA189" s="2279"/>
      <c r="BB189" s="2279"/>
      <c r="BC189" s="2250"/>
      <c r="BD189" s="2251"/>
      <c r="BE189" s="2252"/>
    </row>
    <row r="190" spans="1:57" ht="15.75" customHeight="1">
      <c r="A190" s="974"/>
      <c r="B190" s="974"/>
      <c r="C190" s="2277" t="s">
        <v>1101</v>
      </c>
      <c r="D190" s="2278"/>
      <c r="E190" s="2273" t="s">
        <v>2602</v>
      </c>
      <c r="F190" s="2273"/>
      <c r="G190" s="2273"/>
      <c r="H190" s="2273"/>
      <c r="I190" s="2273"/>
      <c r="J190" s="2273"/>
      <c r="K190" s="2273"/>
      <c r="L190" s="2273"/>
      <c r="M190" s="2273"/>
      <c r="N190" s="2274">
        <v>0</v>
      </c>
      <c r="O190" s="2274"/>
      <c r="P190" s="2274"/>
      <c r="Q190" s="2274"/>
      <c r="R190" s="2274"/>
      <c r="S190" s="2274"/>
      <c r="T190" s="2274"/>
      <c r="U190" s="2275"/>
      <c r="V190" s="2275"/>
      <c r="W190" s="2275"/>
      <c r="X190" s="2275"/>
      <c r="Y190" s="2275"/>
      <c r="Z190" s="2275"/>
      <c r="AA190" s="2275"/>
      <c r="AB190" s="2275"/>
      <c r="AC190" s="2275"/>
      <c r="AD190" s="2275"/>
      <c r="AE190" s="2276"/>
      <c r="AF190" s="974"/>
      <c r="AG190" s="974"/>
      <c r="AH190" s="2509" t="s">
        <v>2608</v>
      </c>
      <c r="AI190" s="2509"/>
      <c r="AJ190" s="2509"/>
      <c r="AK190" s="2509"/>
      <c r="AL190" s="2509"/>
      <c r="AM190" s="2509"/>
      <c r="AN190" s="2509"/>
      <c r="AO190" s="2509"/>
      <c r="AP190" s="2509"/>
      <c r="AQ190" s="2509"/>
      <c r="AR190" s="2509"/>
      <c r="AS190" s="2509"/>
      <c r="AT190" s="2509"/>
      <c r="AU190" s="2249">
        <f>SUM(AU188:BB189)</f>
        <v>0</v>
      </c>
      <c r="AV190" s="2249"/>
      <c r="AW190" s="2249"/>
      <c r="AX190" s="2249"/>
      <c r="AY190" s="2249"/>
      <c r="AZ190" s="2249"/>
      <c r="BA190" s="2249"/>
      <c r="BB190" s="2249"/>
      <c r="BC190" s="2250"/>
      <c r="BD190" s="2251"/>
      <c r="BE190" s="2252"/>
    </row>
    <row r="191" spans="1:57" ht="15.75" customHeight="1" thickBot="1">
      <c r="A191" s="974"/>
      <c r="B191" s="974"/>
      <c r="C191" s="2271" t="s">
        <v>1101</v>
      </c>
      <c r="D191" s="2272"/>
      <c r="E191" s="2273" t="s">
        <v>2602</v>
      </c>
      <c r="F191" s="2273"/>
      <c r="G191" s="2273"/>
      <c r="H191" s="2273"/>
      <c r="I191" s="2273"/>
      <c r="J191" s="2273"/>
      <c r="K191" s="2273"/>
      <c r="L191" s="2273"/>
      <c r="M191" s="2273"/>
      <c r="N191" s="2274">
        <v>0</v>
      </c>
      <c r="O191" s="2274"/>
      <c r="P191" s="2274"/>
      <c r="Q191" s="2274"/>
      <c r="R191" s="2274"/>
      <c r="S191" s="2274"/>
      <c r="T191" s="2274"/>
      <c r="U191" s="2275"/>
      <c r="V191" s="2275"/>
      <c r="W191" s="2275"/>
      <c r="X191" s="2275"/>
      <c r="Y191" s="2275"/>
      <c r="Z191" s="2275"/>
      <c r="AA191" s="2275"/>
      <c r="AB191" s="2275"/>
      <c r="AC191" s="2275"/>
      <c r="AD191" s="2275"/>
      <c r="AE191" s="2276"/>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253"/>
      <c r="BD191" s="2254"/>
      <c r="BE191" s="2255"/>
    </row>
    <row r="192" spans="1:57" ht="15.75" customHeight="1" thickBot="1">
      <c r="A192" s="974"/>
      <c r="B192" s="974"/>
      <c r="C192" s="2260" t="s">
        <v>1101</v>
      </c>
      <c r="D192" s="2261"/>
      <c r="E192" s="2262" t="s">
        <v>2602</v>
      </c>
      <c r="F192" s="2262"/>
      <c r="G192" s="2262"/>
      <c r="H192" s="2262"/>
      <c r="I192" s="2262"/>
      <c r="J192" s="2262"/>
      <c r="K192" s="2262"/>
      <c r="L192" s="2262"/>
      <c r="M192" s="2263"/>
      <c r="N192" s="2264">
        <v>0</v>
      </c>
      <c r="O192" s="2264"/>
      <c r="P192" s="2264"/>
      <c r="Q192" s="2264"/>
      <c r="R192" s="2264"/>
      <c r="S192" s="2264"/>
      <c r="T192" s="2265"/>
      <c r="U192" s="2266"/>
      <c r="V192" s="2267"/>
      <c r="W192" s="2267"/>
      <c r="X192" s="2267"/>
      <c r="Y192" s="2267"/>
      <c r="Z192" s="2267"/>
      <c r="AA192" s="2267"/>
      <c r="AB192" s="2267"/>
      <c r="AC192" s="2267"/>
      <c r="AD192" s="2267"/>
      <c r="AE192" s="2268"/>
      <c r="AF192" s="974"/>
      <c r="AG192" s="974"/>
      <c r="AH192" s="2234" t="s">
        <v>2623</v>
      </c>
      <c r="AI192" s="2235"/>
      <c r="AJ192" s="2235"/>
      <c r="AK192" s="2235"/>
      <c r="AL192" s="2235"/>
      <c r="AM192" s="2235"/>
      <c r="AN192" s="2235"/>
      <c r="AO192" s="2235"/>
      <c r="AP192" s="2235"/>
      <c r="AQ192" s="2235"/>
      <c r="AR192" s="2235"/>
      <c r="AS192" s="2235"/>
      <c r="AT192" s="2235"/>
      <c r="AU192" s="2244"/>
      <c r="AV192" s="2244"/>
      <c r="AW192" s="2244"/>
      <c r="AX192" s="2244"/>
      <c r="AY192" s="2244"/>
      <c r="AZ192" s="2244"/>
      <c r="BA192" s="2244"/>
      <c r="BB192" s="2244"/>
      <c r="BC192" s="986"/>
      <c r="BD192" s="986"/>
      <c r="BE192" s="985"/>
    </row>
    <row r="193" spans="1:57" ht="15.75" customHeight="1">
      <c r="A193" s="974"/>
      <c r="B193" s="974"/>
      <c r="C193" s="2256" t="s">
        <v>2624</v>
      </c>
      <c r="D193" s="2257"/>
      <c r="E193" s="2257"/>
      <c r="F193" s="2257"/>
      <c r="G193" s="2257"/>
      <c r="H193" s="2257"/>
      <c r="I193" s="2257"/>
      <c r="J193" s="2257"/>
      <c r="K193" s="2257"/>
      <c r="L193" s="2257"/>
      <c r="M193" s="2257"/>
      <c r="N193" s="2258">
        <f>SUM(N185:T192)</f>
        <v>6925000</v>
      </c>
      <c r="O193" s="2258"/>
      <c r="P193" s="2258"/>
      <c r="Q193" s="2258"/>
      <c r="R193" s="2258"/>
      <c r="S193" s="2258"/>
      <c r="T193" s="2259"/>
      <c r="U193" s="974"/>
      <c r="V193" s="974"/>
      <c r="W193" s="974"/>
      <c r="X193" s="974"/>
      <c r="Y193" s="974"/>
      <c r="Z193" s="974"/>
      <c r="AA193" s="974"/>
      <c r="AB193" s="974"/>
      <c r="AC193" s="974"/>
      <c r="AD193" s="974"/>
      <c r="AE193" s="974"/>
      <c r="AF193" s="974"/>
      <c r="AG193" s="974"/>
      <c r="AH193" s="2269" t="s">
        <v>2625</v>
      </c>
      <c r="AI193" s="2269"/>
      <c r="AJ193" s="2269"/>
      <c r="AK193" s="2269"/>
      <c r="AL193" s="2269"/>
      <c r="AM193" s="2269"/>
      <c r="AN193" s="2269"/>
      <c r="AO193" s="2269"/>
      <c r="AP193" s="2269"/>
      <c r="AQ193" s="2269"/>
      <c r="AR193" s="2269"/>
      <c r="AS193" s="2269"/>
      <c r="AT193" s="2269"/>
      <c r="AU193" s="2269"/>
      <c r="AV193" s="2269"/>
      <c r="AW193" s="2269"/>
      <c r="AX193" s="2269"/>
      <c r="AY193" s="2269"/>
      <c r="AZ193" s="2269"/>
      <c r="BA193" s="2269"/>
      <c r="BB193" s="2269"/>
      <c r="BC193" s="2269"/>
      <c r="BD193" s="2269"/>
      <c r="BE193" s="2270"/>
    </row>
    <row r="194" spans="1:57" ht="15.75" customHeight="1" thickBot="1">
      <c r="A194" s="974"/>
      <c r="B194" s="974"/>
      <c r="C194" s="2236" t="s">
        <v>2626</v>
      </c>
      <c r="D194" s="2237"/>
      <c r="E194" s="2237"/>
      <c r="F194" s="2237"/>
      <c r="G194" s="2237"/>
      <c r="H194" s="2237"/>
      <c r="I194" s="2237"/>
      <c r="J194" s="2237"/>
      <c r="K194" s="2237"/>
      <c r="L194" s="2237"/>
      <c r="M194" s="2237"/>
      <c r="N194" s="2238">
        <f>(N183-N193)/J29</f>
        <v>754826.484375</v>
      </c>
      <c r="O194" s="2239"/>
      <c r="P194" s="2239"/>
      <c r="Q194" s="2239"/>
      <c r="R194" s="2239"/>
      <c r="S194" s="2239"/>
      <c r="T194" s="2240"/>
      <c r="U194" s="984"/>
      <c r="V194" s="974"/>
      <c r="W194" s="974"/>
      <c r="X194" s="974"/>
      <c r="Y194" s="974"/>
      <c r="Z194" s="974"/>
      <c r="AA194" s="974"/>
      <c r="AB194" s="974"/>
      <c r="AC194" s="974"/>
      <c r="AD194" s="974"/>
      <c r="AE194" s="974"/>
      <c r="AF194" s="974"/>
      <c r="AG194" s="974"/>
      <c r="AH194" s="2269"/>
      <c r="AI194" s="2269"/>
      <c r="AJ194" s="2269"/>
      <c r="AK194" s="2269"/>
      <c r="AL194" s="2269"/>
      <c r="AM194" s="2269"/>
      <c r="AN194" s="2269"/>
      <c r="AO194" s="2269"/>
      <c r="AP194" s="2269"/>
      <c r="AQ194" s="2269"/>
      <c r="AR194" s="2269"/>
      <c r="AS194" s="2269"/>
      <c r="AT194" s="2269"/>
      <c r="AU194" s="2269"/>
      <c r="AV194" s="2269"/>
      <c r="AW194" s="2269"/>
      <c r="AX194" s="2269"/>
      <c r="AY194" s="2269"/>
      <c r="AZ194" s="2269"/>
      <c r="BA194" s="2269"/>
      <c r="BB194" s="2269"/>
      <c r="BC194" s="2269"/>
      <c r="BD194" s="2269"/>
      <c r="BE194" s="2270"/>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241"/>
      <c r="AI195" s="2241"/>
      <c r="AJ195" s="2241"/>
      <c r="AK195" s="2241"/>
      <c r="AL195" s="2241"/>
      <c r="AM195" s="2241"/>
      <c r="AN195" s="2241"/>
      <c r="AO195" s="2241"/>
      <c r="AP195" s="2241"/>
      <c r="AQ195" s="2241"/>
      <c r="AR195" s="2241"/>
      <c r="AS195" s="2245"/>
      <c r="AT195" s="2245"/>
      <c r="AU195" s="2245"/>
      <c r="AV195" s="2245"/>
      <c r="AW195" s="2245"/>
      <c r="AX195" s="2245"/>
      <c r="AY195" s="2245"/>
      <c r="AZ195" s="2245"/>
      <c r="BA195" s="2245"/>
      <c r="BB195" s="2245"/>
      <c r="BC195" s="2245"/>
      <c r="BD195" s="2245"/>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246" t="s">
        <v>2627</v>
      </c>
      <c r="D197" s="2247"/>
      <c r="E197" s="2247"/>
      <c r="F197" s="2247"/>
      <c r="G197" s="2247"/>
      <c r="H197" s="2247"/>
      <c r="I197" s="2247"/>
      <c r="J197" s="2247"/>
      <c r="K197" s="2247"/>
      <c r="L197" s="2247"/>
      <c r="M197" s="2247"/>
      <c r="N197" s="2247"/>
      <c r="O197" s="2247"/>
      <c r="P197" s="2247"/>
      <c r="Q197" s="2247"/>
      <c r="R197" s="2247"/>
      <c r="S197" s="2247"/>
      <c r="T197" s="2247"/>
      <c r="U197" s="2247"/>
      <c r="V197" s="2247"/>
      <c r="W197" s="2247"/>
      <c r="X197" s="2247"/>
      <c r="Y197" s="2247"/>
      <c r="Z197" s="2247"/>
      <c r="AA197" s="2247"/>
      <c r="AB197" s="2247"/>
      <c r="AC197" s="2247"/>
      <c r="AD197" s="2247"/>
      <c r="AE197" s="2248"/>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512" t="s">
        <v>2628</v>
      </c>
      <c r="D198" s="2512"/>
      <c r="E198" s="2512"/>
      <c r="F198" s="2512"/>
      <c r="G198" s="2512"/>
      <c r="H198" s="2512"/>
      <c r="I198" s="2512"/>
      <c r="J198" s="2512"/>
      <c r="K198" s="2512"/>
      <c r="L198" s="2512"/>
      <c r="M198" s="2512"/>
      <c r="N198" s="2512"/>
      <c r="O198" s="2513" t="s">
        <v>2629</v>
      </c>
      <c r="P198" s="2513"/>
      <c r="Q198" s="2513"/>
      <c r="R198" s="2513"/>
      <c r="S198" s="2513"/>
      <c r="T198" s="2513"/>
      <c r="U198" s="2513"/>
      <c r="V198" s="2513"/>
      <c r="W198" s="2513"/>
      <c r="X198" s="2513" t="s">
        <v>2630</v>
      </c>
      <c r="Y198" s="2513"/>
      <c r="Z198" s="2513"/>
      <c r="AA198" s="2513"/>
      <c r="AB198" s="2513"/>
      <c r="AC198" s="2513"/>
      <c r="AD198" s="2513"/>
      <c r="AE198" s="2513"/>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510" t="s">
        <v>2631</v>
      </c>
      <c r="D199" s="2510"/>
      <c r="E199" s="2510"/>
      <c r="F199" s="2510"/>
      <c r="G199" s="2510"/>
      <c r="H199" s="2510"/>
      <c r="I199" s="2510"/>
      <c r="J199" s="2510"/>
      <c r="K199" s="2510"/>
      <c r="L199" s="2510"/>
      <c r="M199" s="2510"/>
      <c r="N199" s="2510"/>
      <c r="O199" s="2242" t="s">
        <v>2632</v>
      </c>
      <c r="P199" s="2242"/>
      <c r="Q199" s="2242"/>
      <c r="R199" s="2242"/>
      <c r="S199" s="2242"/>
      <c r="T199" s="2242"/>
      <c r="U199" s="2242"/>
      <c r="V199" s="2242"/>
      <c r="W199" s="2242"/>
      <c r="X199" s="2243">
        <v>0.03</v>
      </c>
      <c r="Y199" s="2243"/>
      <c r="Z199" s="2243"/>
      <c r="AA199" s="2243"/>
      <c r="AB199" s="2243"/>
      <c r="AC199" s="2243"/>
      <c r="AD199" s="2243"/>
      <c r="AE199" s="2243"/>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510" t="s">
        <v>2633</v>
      </c>
      <c r="D200" s="2510"/>
      <c r="E200" s="2510"/>
      <c r="F200" s="2510"/>
      <c r="G200" s="2510"/>
      <c r="H200" s="2510"/>
      <c r="I200" s="2510"/>
      <c r="J200" s="2510"/>
      <c r="K200" s="2510"/>
      <c r="L200" s="2510"/>
      <c r="M200" s="2510"/>
      <c r="N200" s="2510"/>
      <c r="O200" s="2242" t="s">
        <v>2632</v>
      </c>
      <c r="P200" s="2242"/>
      <c r="Q200" s="2242"/>
      <c r="R200" s="2242"/>
      <c r="S200" s="2242"/>
      <c r="T200" s="2242"/>
      <c r="U200" s="2242"/>
      <c r="V200" s="2242"/>
      <c r="W200" s="2242"/>
      <c r="X200" s="2243">
        <v>0.03</v>
      </c>
      <c r="Y200" s="2243"/>
      <c r="Z200" s="2243"/>
      <c r="AA200" s="2243"/>
      <c r="AB200" s="2243"/>
      <c r="AC200" s="2243"/>
      <c r="AD200" s="2243"/>
      <c r="AE200" s="2243"/>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510" t="s">
        <v>2634</v>
      </c>
      <c r="D201" s="2510"/>
      <c r="E201" s="2510"/>
      <c r="F201" s="2510"/>
      <c r="G201" s="2510"/>
      <c r="H201" s="2510"/>
      <c r="I201" s="2510"/>
      <c r="J201" s="2510"/>
      <c r="K201" s="2510"/>
      <c r="L201" s="2510"/>
      <c r="M201" s="2510"/>
      <c r="N201" s="2510"/>
      <c r="O201" s="2514">
        <f>SUM(O199:W200)</f>
        <v>0</v>
      </c>
      <c r="P201" s="2515"/>
      <c r="Q201" s="2515"/>
      <c r="R201" s="2515"/>
      <c r="S201" s="2515"/>
      <c r="T201" s="2515"/>
      <c r="U201" s="2515"/>
      <c r="V201" s="2515"/>
      <c r="W201" s="2515"/>
      <c r="X201" s="2515" t="s">
        <v>2635</v>
      </c>
      <c r="Y201" s="2515"/>
      <c r="Z201" s="2515"/>
      <c r="AA201" s="2515"/>
      <c r="AB201" s="2515"/>
      <c r="AC201" s="2515"/>
      <c r="AD201" s="2515"/>
      <c r="AE201" s="2515"/>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511" t="s">
        <v>2636</v>
      </c>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221" t="s">
        <v>2637</v>
      </c>
      <c r="D204" s="2222"/>
      <c r="E204" s="2222"/>
      <c r="F204" s="2222"/>
      <c r="G204" s="2222"/>
      <c r="H204" s="2222"/>
      <c r="I204" s="2222"/>
      <c r="J204" s="2222"/>
      <c r="K204" s="2222"/>
      <c r="L204" s="2222"/>
      <c r="M204" s="2222"/>
      <c r="N204" s="2222"/>
      <c r="O204" s="2222"/>
      <c r="P204" s="2222"/>
      <c r="Q204" s="2222"/>
      <c r="R204" s="2222"/>
      <c r="S204" s="2222"/>
      <c r="T204" s="2222"/>
      <c r="U204" s="2222"/>
      <c r="V204" s="2222"/>
      <c r="W204" s="2222"/>
      <c r="X204" s="2222"/>
      <c r="Y204" s="2222"/>
      <c r="Z204" s="2222"/>
      <c r="AA204" s="2222"/>
      <c r="AB204" s="2222"/>
      <c r="AC204" s="2222"/>
      <c r="AD204" s="2222"/>
      <c r="AE204" s="2222"/>
      <c r="AF204" s="2222"/>
      <c r="AG204" s="2222"/>
      <c r="AH204" s="2222"/>
      <c r="AI204" s="2222"/>
      <c r="AJ204" s="2222"/>
      <c r="AK204" s="2223"/>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224" t="s">
        <v>2638</v>
      </c>
      <c r="D205" s="2182"/>
      <c r="E205" s="2182"/>
      <c r="F205" s="2225"/>
      <c r="G205" s="2181" t="s">
        <v>2639</v>
      </c>
      <c r="H205" s="2182"/>
      <c r="I205" s="2182"/>
      <c r="J205" s="2182"/>
      <c r="K205" s="2182"/>
      <c r="L205" s="2182"/>
      <c r="M205" s="2182"/>
      <c r="N205" s="2182"/>
      <c r="O205" s="2225"/>
      <c r="P205" s="2228" t="s">
        <v>2640</v>
      </c>
      <c r="Q205" s="2229"/>
      <c r="R205" s="2229"/>
      <c r="S205" s="2229"/>
      <c r="T205" s="2230"/>
      <c r="U205" s="2175" t="s">
        <v>2641</v>
      </c>
      <c r="V205" s="2176"/>
      <c r="W205" s="2176"/>
      <c r="X205" s="2177"/>
      <c r="Y205" s="2175" t="s">
        <v>2642</v>
      </c>
      <c r="Z205" s="2176"/>
      <c r="AA205" s="2176"/>
      <c r="AB205" s="2177"/>
      <c r="AC205" s="2175" t="s">
        <v>2643</v>
      </c>
      <c r="AD205" s="2176"/>
      <c r="AE205" s="2176"/>
      <c r="AF205" s="2177"/>
      <c r="AG205" s="2181" t="s">
        <v>2644</v>
      </c>
      <c r="AH205" s="2182"/>
      <c r="AI205" s="2182"/>
      <c r="AJ205" s="2182"/>
      <c r="AK205" s="2183"/>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226"/>
      <c r="D206" s="2185"/>
      <c r="E206" s="2185"/>
      <c r="F206" s="2227"/>
      <c r="G206" s="2184"/>
      <c r="H206" s="2185"/>
      <c r="I206" s="2185"/>
      <c r="J206" s="2185"/>
      <c r="K206" s="2185"/>
      <c r="L206" s="2185"/>
      <c r="M206" s="2185"/>
      <c r="N206" s="2185"/>
      <c r="O206" s="2227"/>
      <c r="P206" s="2231"/>
      <c r="Q206" s="2232"/>
      <c r="R206" s="2232"/>
      <c r="S206" s="2232"/>
      <c r="T206" s="2233"/>
      <c r="U206" s="2178"/>
      <c r="V206" s="2179"/>
      <c r="W206" s="2179"/>
      <c r="X206" s="2180"/>
      <c r="Y206" s="2178"/>
      <c r="Z206" s="2179"/>
      <c r="AA206" s="2179"/>
      <c r="AB206" s="2180"/>
      <c r="AC206" s="2178"/>
      <c r="AD206" s="2179"/>
      <c r="AE206" s="2179"/>
      <c r="AF206" s="2180"/>
      <c r="AG206" s="2184"/>
      <c r="AH206" s="2185"/>
      <c r="AI206" s="2185"/>
      <c r="AJ206" s="2185"/>
      <c r="AK206" s="2186"/>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187">
        <v>1</v>
      </c>
      <c r="D207" s="2188"/>
      <c r="E207" s="2188"/>
      <c r="F207" s="2188"/>
      <c r="G207" s="2189" t="s">
        <v>663</v>
      </c>
      <c r="H207" s="2189"/>
      <c r="I207" s="2189"/>
      <c r="J207" s="2189"/>
      <c r="K207" s="2189"/>
      <c r="L207" s="2189"/>
      <c r="M207" s="2189"/>
      <c r="N207" s="2189"/>
      <c r="O207" s="2189"/>
      <c r="P207" s="2190"/>
      <c r="Q207" s="2191"/>
      <c r="R207" s="2191"/>
      <c r="S207" s="2191"/>
      <c r="T207" s="2191"/>
      <c r="U207" s="2192" t="s">
        <v>663</v>
      </c>
      <c r="V207" s="2192"/>
      <c r="W207" s="2192"/>
      <c r="X207" s="2192"/>
      <c r="Y207" s="2192" t="s">
        <v>663</v>
      </c>
      <c r="Z207" s="2192"/>
      <c r="AA207" s="2192"/>
      <c r="AB207" s="2192"/>
      <c r="AC207" s="2193" t="s">
        <v>663</v>
      </c>
      <c r="AD207" s="2193"/>
      <c r="AE207" s="2193"/>
      <c r="AF207" s="2193"/>
      <c r="AG207" s="2172"/>
      <c r="AH207" s="2173"/>
      <c r="AI207" s="2173"/>
      <c r="AJ207" s="2173"/>
      <c r="AK207" s="2174"/>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187">
        <v>2</v>
      </c>
      <c r="D208" s="2188"/>
      <c r="E208" s="2188"/>
      <c r="F208" s="2188"/>
      <c r="G208" s="2189" t="s">
        <v>663</v>
      </c>
      <c r="H208" s="2189"/>
      <c r="I208" s="2189"/>
      <c r="J208" s="2189"/>
      <c r="K208" s="2189"/>
      <c r="L208" s="2189"/>
      <c r="M208" s="2189"/>
      <c r="N208" s="2189"/>
      <c r="O208" s="2189"/>
      <c r="P208" s="2190"/>
      <c r="Q208" s="2190"/>
      <c r="R208" s="2190"/>
      <c r="S208" s="2190"/>
      <c r="T208" s="2190"/>
      <c r="U208" s="2192" t="s">
        <v>663</v>
      </c>
      <c r="V208" s="2192"/>
      <c r="W208" s="2192"/>
      <c r="X208" s="2192"/>
      <c r="Y208" s="2192" t="s">
        <v>663</v>
      </c>
      <c r="Z208" s="2192"/>
      <c r="AA208" s="2192"/>
      <c r="AB208" s="2192"/>
      <c r="AC208" s="2193" t="s">
        <v>663</v>
      </c>
      <c r="AD208" s="2193"/>
      <c r="AE208" s="2193"/>
      <c r="AF208" s="2193"/>
      <c r="AG208" s="2172"/>
      <c r="AH208" s="2173"/>
      <c r="AI208" s="2173"/>
      <c r="AJ208" s="2173"/>
      <c r="AK208" s="2174"/>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187">
        <v>3</v>
      </c>
      <c r="D209" s="2188"/>
      <c r="E209" s="2188"/>
      <c r="F209" s="2188"/>
      <c r="G209" s="2189" t="s">
        <v>663</v>
      </c>
      <c r="H209" s="2189"/>
      <c r="I209" s="2189"/>
      <c r="J209" s="2189"/>
      <c r="K209" s="2189"/>
      <c r="L209" s="2189"/>
      <c r="M209" s="2189"/>
      <c r="N209" s="2189"/>
      <c r="O209" s="2189"/>
      <c r="P209" s="2190"/>
      <c r="Q209" s="2190"/>
      <c r="R209" s="2190"/>
      <c r="S209" s="2190"/>
      <c r="T209" s="2190"/>
      <c r="U209" s="2192" t="s">
        <v>663</v>
      </c>
      <c r="V209" s="2192"/>
      <c r="W209" s="2192"/>
      <c r="X209" s="2192"/>
      <c r="Y209" s="2192" t="s">
        <v>663</v>
      </c>
      <c r="Z209" s="2192"/>
      <c r="AA209" s="2192"/>
      <c r="AB209" s="2192"/>
      <c r="AC209" s="2193" t="s">
        <v>663</v>
      </c>
      <c r="AD209" s="2193"/>
      <c r="AE209" s="2193"/>
      <c r="AF209" s="2193"/>
      <c r="AG209" s="2172"/>
      <c r="AH209" s="2173"/>
      <c r="AI209" s="2173"/>
      <c r="AJ209" s="2173"/>
      <c r="AK209" s="2174"/>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187">
        <v>4</v>
      </c>
      <c r="D210" s="2188"/>
      <c r="E210" s="2188"/>
      <c r="F210" s="2188"/>
      <c r="G210" s="2189" t="s">
        <v>663</v>
      </c>
      <c r="H210" s="2189"/>
      <c r="I210" s="2189"/>
      <c r="J210" s="2189"/>
      <c r="K210" s="2189"/>
      <c r="L210" s="2189"/>
      <c r="M210" s="2189"/>
      <c r="N210" s="2189"/>
      <c r="O210" s="2189"/>
      <c r="P210" s="2190"/>
      <c r="Q210" s="2190"/>
      <c r="R210" s="2190"/>
      <c r="S210" s="2190"/>
      <c r="T210" s="2190"/>
      <c r="U210" s="2192" t="s">
        <v>663</v>
      </c>
      <c r="V210" s="2192"/>
      <c r="W210" s="2192"/>
      <c r="X210" s="2192"/>
      <c r="Y210" s="2192" t="s">
        <v>663</v>
      </c>
      <c r="Z210" s="2192"/>
      <c r="AA210" s="2192"/>
      <c r="AB210" s="2192"/>
      <c r="AC210" s="2193" t="s">
        <v>663</v>
      </c>
      <c r="AD210" s="2193"/>
      <c r="AE210" s="2193"/>
      <c r="AF210" s="2193"/>
      <c r="AG210" s="2172"/>
      <c r="AH210" s="2173"/>
      <c r="AI210" s="2173"/>
      <c r="AJ210" s="2173"/>
      <c r="AK210" s="2174"/>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187">
        <v>5</v>
      </c>
      <c r="D211" s="2188"/>
      <c r="E211" s="2188"/>
      <c r="F211" s="2188"/>
      <c r="G211" s="2189"/>
      <c r="H211" s="2189"/>
      <c r="I211" s="2189"/>
      <c r="J211" s="2189"/>
      <c r="K211" s="2189"/>
      <c r="L211" s="2189"/>
      <c r="M211" s="2189"/>
      <c r="N211" s="2189"/>
      <c r="O211" s="2189"/>
      <c r="P211" s="2190"/>
      <c r="Q211" s="2190"/>
      <c r="R211" s="2190"/>
      <c r="S211" s="2190"/>
      <c r="T211" s="2190"/>
      <c r="U211" s="2192" t="s">
        <v>663</v>
      </c>
      <c r="V211" s="2192"/>
      <c r="W211" s="2192"/>
      <c r="X211" s="2192"/>
      <c r="Y211" s="2192" t="s">
        <v>663</v>
      </c>
      <c r="Z211" s="2192"/>
      <c r="AA211" s="2192"/>
      <c r="AB211" s="2192"/>
      <c r="AC211" s="2193" t="s">
        <v>663</v>
      </c>
      <c r="AD211" s="2193"/>
      <c r="AE211" s="2193"/>
      <c r="AF211" s="2193"/>
      <c r="AG211" s="2172"/>
      <c r="AH211" s="2173"/>
      <c r="AI211" s="2173"/>
      <c r="AJ211" s="2173"/>
      <c r="AK211" s="2174"/>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187">
        <v>6</v>
      </c>
      <c r="D212" s="2188"/>
      <c r="E212" s="2188"/>
      <c r="F212" s="2188"/>
      <c r="G212" s="2189" t="s">
        <v>663</v>
      </c>
      <c r="H212" s="2189"/>
      <c r="I212" s="2189"/>
      <c r="J212" s="2189"/>
      <c r="K212" s="2189"/>
      <c r="L212" s="2189"/>
      <c r="M212" s="2189"/>
      <c r="N212" s="2189"/>
      <c r="O212" s="2189"/>
      <c r="P212" s="2190"/>
      <c r="Q212" s="2190"/>
      <c r="R212" s="2190"/>
      <c r="S212" s="2190"/>
      <c r="T212" s="2190"/>
      <c r="U212" s="2192"/>
      <c r="V212" s="2192"/>
      <c r="W212" s="2192"/>
      <c r="X212" s="2192"/>
      <c r="Y212" s="2192"/>
      <c r="Z212" s="2192"/>
      <c r="AA212" s="2192"/>
      <c r="AB212" s="2192"/>
      <c r="AC212" s="2193" t="s">
        <v>663</v>
      </c>
      <c r="AD212" s="2193"/>
      <c r="AE212" s="2193"/>
      <c r="AF212" s="2193"/>
      <c r="AG212" s="2172"/>
      <c r="AH212" s="2173"/>
      <c r="AI212" s="2173"/>
      <c r="AJ212" s="2173"/>
      <c r="AK212" s="2174"/>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187">
        <v>7</v>
      </c>
      <c r="D213" s="2188"/>
      <c r="E213" s="2188"/>
      <c r="F213" s="2188"/>
      <c r="G213" s="2523"/>
      <c r="H213" s="2524"/>
      <c r="I213" s="2524"/>
      <c r="J213" s="2524"/>
      <c r="K213" s="2524"/>
      <c r="L213" s="2524"/>
      <c r="M213" s="2524"/>
      <c r="N213" s="2524"/>
      <c r="O213" s="2525"/>
      <c r="P213" s="2190"/>
      <c r="Q213" s="2190"/>
      <c r="R213" s="2190"/>
      <c r="S213" s="2190"/>
      <c r="T213" s="2190"/>
      <c r="U213" s="2192"/>
      <c r="V213" s="2192"/>
      <c r="W213" s="2192"/>
      <c r="X213" s="2192"/>
      <c r="Y213" s="2192"/>
      <c r="Z213" s="2192"/>
      <c r="AA213" s="2192"/>
      <c r="AB213" s="2192"/>
      <c r="AC213" s="2193" t="s">
        <v>663</v>
      </c>
      <c r="AD213" s="2193"/>
      <c r="AE213" s="2193"/>
      <c r="AF213" s="2193"/>
      <c r="AG213" s="2172"/>
      <c r="AH213" s="2173"/>
      <c r="AI213" s="2173"/>
      <c r="AJ213" s="2173"/>
      <c r="AK213" s="2174"/>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526" t="s">
        <v>2645</v>
      </c>
      <c r="D214" s="2527"/>
      <c r="E214" s="2527"/>
      <c r="F214" s="2527"/>
      <c r="G214" s="2527"/>
      <c r="H214" s="2527"/>
      <c r="I214" s="2527"/>
      <c r="J214" s="2527"/>
      <c r="K214" s="2527"/>
      <c r="L214" s="2527"/>
      <c r="M214" s="2527"/>
      <c r="N214" s="2527"/>
      <c r="O214" s="2527"/>
      <c r="P214" s="2528"/>
      <c r="Q214" s="2528"/>
      <c r="R214" s="2528"/>
      <c r="S214" s="2528"/>
      <c r="T214" s="2528"/>
      <c r="U214" s="2529">
        <v>0</v>
      </c>
      <c r="V214" s="2529"/>
      <c r="W214" s="2529"/>
      <c r="X214" s="2529"/>
      <c r="Y214" s="2529">
        <v>0</v>
      </c>
      <c r="Z214" s="2529"/>
      <c r="AA214" s="2529"/>
      <c r="AB214" s="2529"/>
      <c r="AC214" s="2530">
        <v>0</v>
      </c>
      <c r="AD214" s="2530"/>
      <c r="AE214" s="2530"/>
      <c r="AF214" s="2530"/>
      <c r="AG214" s="2169"/>
      <c r="AH214" s="2170"/>
      <c r="AI214" s="2170"/>
      <c r="AJ214" s="2170"/>
      <c r="AK214" s="2171"/>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2646</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197" t="s">
        <v>2647</v>
      </c>
      <c r="C219" s="2198"/>
      <c r="D219" s="2198"/>
      <c r="E219" s="2198"/>
      <c r="F219" s="2198"/>
      <c r="G219" s="2198"/>
      <c r="H219" s="2198"/>
      <c r="I219" s="2198"/>
      <c r="J219" s="2198"/>
      <c r="K219" s="2198"/>
      <c r="L219" s="2198"/>
      <c r="M219" s="2198"/>
      <c r="N219" s="2198"/>
      <c r="O219" s="2198"/>
      <c r="P219" s="2198"/>
      <c r="Q219" s="2198"/>
      <c r="R219" s="2198"/>
      <c r="S219" s="2198"/>
      <c r="T219" s="2198"/>
      <c r="U219" s="2198"/>
      <c r="V219" s="2198"/>
      <c r="W219" s="2198"/>
      <c r="X219" s="2198"/>
      <c r="Y219" s="2198"/>
      <c r="Z219" s="2198"/>
      <c r="AA219" s="2198"/>
      <c r="AB219" s="2198"/>
      <c r="AC219" s="2198"/>
      <c r="AD219" s="2198"/>
      <c r="AE219" s="2198"/>
      <c r="AF219" s="2198"/>
      <c r="AG219" s="2198"/>
      <c r="AH219" s="2198"/>
      <c r="AI219" s="2198"/>
      <c r="AJ219" s="2198"/>
      <c r="AK219" s="2198"/>
      <c r="AL219" s="2198"/>
      <c r="AM219" s="2198"/>
      <c r="AN219" s="2198"/>
      <c r="AO219" s="2198"/>
      <c r="AP219" s="2198"/>
      <c r="AQ219" s="2198"/>
      <c r="AR219" s="2198"/>
      <c r="AS219" s="2198"/>
      <c r="AT219" s="2198"/>
      <c r="AU219" s="2198"/>
      <c r="AV219" s="2198"/>
      <c r="AW219" s="2198"/>
      <c r="AX219" s="2198"/>
      <c r="AY219" s="2198"/>
      <c r="AZ219" s="2198"/>
      <c r="BA219" s="2198"/>
      <c r="BB219" s="2198"/>
      <c r="BC219" s="2198"/>
      <c r="BD219" s="2199"/>
      <c r="BE219" s="970"/>
    </row>
    <row r="220" spans="1:57" ht="15.75" customHeight="1">
      <c r="A220" s="974"/>
      <c r="B220" s="2200"/>
      <c r="C220" s="2201"/>
      <c r="D220" s="2201"/>
      <c r="E220" s="2201"/>
      <c r="F220" s="2201"/>
      <c r="G220" s="2201"/>
      <c r="H220" s="2201"/>
      <c r="I220" s="2201"/>
      <c r="J220" s="2201"/>
      <c r="K220" s="2201"/>
      <c r="L220" s="2201"/>
      <c r="M220" s="2201"/>
      <c r="N220" s="2201"/>
      <c r="O220" s="2201"/>
      <c r="P220" s="2201"/>
      <c r="Q220" s="2201"/>
      <c r="R220" s="2201"/>
      <c r="S220" s="2201"/>
      <c r="T220" s="2201"/>
      <c r="U220" s="2201"/>
      <c r="V220" s="2201"/>
      <c r="W220" s="2201"/>
      <c r="X220" s="2201"/>
      <c r="Y220" s="2201"/>
      <c r="Z220" s="2201"/>
      <c r="AA220" s="2201"/>
      <c r="AB220" s="2201"/>
      <c r="AC220" s="2201"/>
      <c r="AD220" s="2201"/>
      <c r="AE220" s="2201"/>
      <c r="AF220" s="2201"/>
      <c r="AG220" s="2201"/>
      <c r="AH220" s="2201"/>
      <c r="AI220" s="2201"/>
      <c r="AJ220" s="2201"/>
      <c r="AK220" s="2201"/>
      <c r="AL220" s="2201"/>
      <c r="AM220" s="2201"/>
      <c r="AN220" s="2201"/>
      <c r="AO220" s="2201"/>
      <c r="AP220" s="2201"/>
      <c r="AQ220" s="2201"/>
      <c r="AR220" s="2201"/>
      <c r="AS220" s="2201"/>
      <c r="AT220" s="2201"/>
      <c r="AU220" s="2201"/>
      <c r="AV220" s="2201"/>
      <c r="AW220" s="2201"/>
      <c r="AX220" s="2201"/>
      <c r="AY220" s="2201"/>
      <c r="AZ220" s="2201"/>
      <c r="BA220" s="2201"/>
      <c r="BB220" s="2201"/>
      <c r="BC220" s="2201"/>
      <c r="BD220" s="2202"/>
      <c r="BE220" s="970"/>
    </row>
    <row r="221" spans="1:57" ht="15.75" customHeight="1">
      <c r="A221" s="974"/>
      <c r="B221" s="2203" t="s">
        <v>2648</v>
      </c>
      <c r="C221" s="2204"/>
      <c r="D221" s="2204"/>
      <c r="E221" s="2204"/>
      <c r="F221" s="2204"/>
      <c r="G221" s="2204"/>
      <c r="H221" s="2204"/>
      <c r="I221" s="2204"/>
      <c r="J221" s="2204"/>
      <c r="K221" s="2204"/>
      <c r="L221" s="2204"/>
      <c r="M221" s="2204"/>
      <c r="N221" s="2204"/>
      <c r="O221" s="2204"/>
      <c r="P221" s="2204"/>
      <c r="Q221" s="2204"/>
      <c r="R221" s="2204"/>
      <c r="S221" s="2204"/>
      <c r="T221" s="2204"/>
      <c r="U221" s="2204"/>
      <c r="V221" s="2204"/>
      <c r="W221" s="2204"/>
      <c r="X221" s="2204"/>
      <c r="Y221" s="2204"/>
      <c r="Z221" s="2204"/>
      <c r="AA221" s="2204"/>
      <c r="AB221" s="2204"/>
      <c r="AC221" s="2204"/>
      <c r="AD221" s="2204"/>
      <c r="AE221" s="2204"/>
      <c r="AF221" s="2204"/>
      <c r="AG221" s="2204"/>
      <c r="AH221" s="2204"/>
      <c r="AI221" s="2204"/>
      <c r="AJ221" s="2204"/>
      <c r="AK221" s="2204"/>
      <c r="AL221" s="2204"/>
      <c r="AM221" s="2204"/>
      <c r="AN221" s="2204"/>
      <c r="AO221" s="2204"/>
      <c r="AP221" s="2204"/>
      <c r="AQ221" s="2204"/>
      <c r="AR221" s="2204"/>
      <c r="AS221" s="2204"/>
      <c r="AT221" s="2204"/>
      <c r="AU221" s="2204"/>
      <c r="AV221" s="2204"/>
      <c r="AW221" s="2204"/>
      <c r="AX221" s="2204"/>
      <c r="AY221" s="2204"/>
      <c r="AZ221" s="2204"/>
      <c r="BA221" s="2204"/>
      <c r="BB221" s="2204"/>
      <c r="BC221" s="2204"/>
      <c r="BD221" s="2205"/>
      <c r="BE221" s="970"/>
    </row>
    <row r="222" spans="1:57" ht="15.75" customHeight="1">
      <c r="A222" s="974"/>
      <c r="B222" s="2203" t="s">
        <v>2649</v>
      </c>
      <c r="C222" s="2204"/>
      <c r="D222" s="2204"/>
      <c r="E222" s="2204"/>
      <c r="F222" s="2204"/>
      <c r="G222" s="2204"/>
      <c r="H222" s="2204"/>
      <c r="I222" s="2204"/>
      <c r="J222" s="2204"/>
      <c r="K222" s="2204"/>
      <c r="L222" s="2204"/>
      <c r="M222" s="2204"/>
      <c r="N222" s="2204"/>
      <c r="O222" s="2204"/>
      <c r="P222" s="2204"/>
      <c r="Q222" s="2204"/>
      <c r="R222" s="2204"/>
      <c r="S222" s="2204"/>
      <c r="T222" s="2204"/>
      <c r="U222" s="2204"/>
      <c r="V222" s="2204"/>
      <c r="W222" s="2204"/>
      <c r="X222" s="2204"/>
      <c r="Y222" s="2204"/>
      <c r="Z222" s="2204"/>
      <c r="AA222" s="2204"/>
      <c r="AB222" s="2204"/>
      <c r="AC222" s="2204"/>
      <c r="AD222" s="2204"/>
      <c r="AE222" s="2204"/>
      <c r="AF222" s="2204"/>
      <c r="AG222" s="2204"/>
      <c r="AH222" s="2204"/>
      <c r="AI222" s="2204"/>
      <c r="AJ222" s="2204"/>
      <c r="AK222" s="2204"/>
      <c r="AL222" s="2204"/>
      <c r="AM222" s="2204"/>
      <c r="AN222" s="2204"/>
      <c r="AO222" s="2204"/>
      <c r="AP222" s="2204"/>
      <c r="AQ222" s="2204"/>
      <c r="AR222" s="2204"/>
      <c r="AS222" s="2204"/>
      <c r="AT222" s="2204"/>
      <c r="AU222" s="2204"/>
      <c r="AV222" s="2204"/>
      <c r="AW222" s="2204"/>
      <c r="AX222" s="2204"/>
      <c r="AY222" s="2204"/>
      <c r="AZ222" s="2204"/>
      <c r="BA222" s="2204"/>
      <c r="BB222" s="2204"/>
      <c r="BC222" s="2204"/>
      <c r="BD222" s="2205"/>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206" t="s">
        <v>2650</v>
      </c>
      <c r="C224" s="2207"/>
      <c r="D224" s="2207"/>
      <c r="E224" s="2207"/>
      <c r="F224" s="2207"/>
      <c r="G224" s="2207"/>
      <c r="H224" s="2207"/>
      <c r="I224" s="2207"/>
      <c r="J224" s="2207"/>
      <c r="K224" s="2207"/>
      <c r="L224" s="2207"/>
      <c r="M224" s="2207"/>
      <c r="N224" s="2207"/>
      <c r="O224" s="2207"/>
      <c r="P224" s="2207"/>
      <c r="Q224" s="2207"/>
      <c r="R224" s="2207"/>
      <c r="S224" s="2207"/>
      <c r="T224" s="2207"/>
      <c r="U224" s="2207"/>
      <c r="V224" s="2207"/>
      <c r="W224" s="2207"/>
      <c r="X224" s="2207"/>
      <c r="Y224" s="2207"/>
      <c r="Z224" s="2207"/>
      <c r="AA224" s="2207"/>
      <c r="AB224" s="2207"/>
      <c r="AC224" s="2207"/>
      <c r="AD224" s="2207"/>
      <c r="AE224" s="2207"/>
      <c r="AF224" s="2207"/>
      <c r="AG224" s="2207"/>
      <c r="AH224" s="2207"/>
      <c r="AI224" s="2207"/>
      <c r="AJ224" s="2207"/>
      <c r="AK224" s="2207"/>
      <c r="AL224" s="2207"/>
      <c r="AM224" s="2207"/>
      <c r="AN224" s="2207"/>
      <c r="AO224" s="2207"/>
      <c r="AP224" s="2207"/>
      <c r="AQ224" s="2207"/>
      <c r="AR224" s="2207"/>
      <c r="AS224" s="2207"/>
      <c r="AT224" s="2207"/>
      <c r="AU224" s="2207"/>
      <c r="AV224" s="2207"/>
      <c r="AW224" s="2207"/>
      <c r="AX224" s="2207"/>
      <c r="AY224" s="2207"/>
      <c r="AZ224" s="2207"/>
      <c r="BA224" s="2207"/>
      <c r="BB224" s="2207"/>
      <c r="BC224" s="2207"/>
      <c r="BD224" s="2208"/>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2651</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220" t="s">
        <v>2652</v>
      </c>
      <c r="I228" s="2220"/>
      <c r="J228" s="2220"/>
      <c r="K228" s="2220"/>
      <c r="L228" s="2220"/>
      <c r="M228" s="2220"/>
      <c r="N228" s="2220"/>
      <c r="O228" s="2220"/>
      <c r="P228" s="2220"/>
      <c r="Q228" s="2220"/>
      <c r="R228" s="2220"/>
      <c r="S228" s="2220"/>
      <c r="T228" s="2220"/>
      <c r="U228" s="2220"/>
      <c r="V228" s="2220"/>
      <c r="W228" s="2220"/>
      <c r="X228" s="2220"/>
      <c r="Y228" s="2220"/>
      <c r="Z228" s="2220"/>
      <c r="AA228" s="2220"/>
      <c r="AB228" s="2220"/>
      <c r="AC228" s="2220"/>
      <c r="AD228" s="2220"/>
      <c r="AE228" s="2220"/>
      <c r="AF228" s="2220"/>
      <c r="AG228" s="2220"/>
      <c r="AH228" s="2220"/>
      <c r="AI228" s="2220"/>
      <c r="AJ228" s="2220"/>
      <c r="AK228" s="2220"/>
      <c r="AL228" s="2220"/>
      <c r="AM228" s="2220"/>
      <c r="AN228" s="2220"/>
      <c r="AO228" s="2220"/>
      <c r="AP228" s="2220"/>
      <c r="AQ228" s="2220"/>
      <c r="AR228" s="2220"/>
      <c r="AS228" s="2220"/>
      <c r="AT228" s="2220"/>
      <c r="AU228" s="2220"/>
      <c r="AV228" s="2220"/>
      <c r="AW228" s="2220"/>
      <c r="AX228" s="2220"/>
      <c r="AY228" s="2220"/>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219" t="s">
        <v>2653</v>
      </c>
      <c r="I230" s="2219"/>
      <c r="J230" s="2219"/>
      <c r="K230" s="2219"/>
      <c r="L230" s="2219"/>
      <c r="M230" s="2219"/>
      <c r="N230" s="2219"/>
      <c r="O230" s="2219"/>
      <c r="P230" s="2219"/>
      <c r="Q230" s="2219"/>
      <c r="R230" s="2219"/>
      <c r="S230" s="2219"/>
      <c r="T230" s="2219"/>
      <c r="U230" s="2219"/>
      <c r="V230" s="2219"/>
      <c r="W230" s="2219"/>
      <c r="X230" s="2219"/>
      <c r="Y230" s="2219"/>
      <c r="Z230" s="2219"/>
      <c r="AA230" s="2219"/>
      <c r="AB230" s="2219"/>
      <c r="AC230" s="2219"/>
      <c r="AD230" s="2219"/>
      <c r="AE230" s="2219"/>
      <c r="AF230" s="2219"/>
      <c r="AG230" s="2219"/>
      <c r="AH230" s="2219"/>
      <c r="AI230" s="2219"/>
      <c r="AJ230" s="2219"/>
      <c r="AK230" s="2219"/>
      <c r="AL230" s="2219"/>
      <c r="AM230" s="2219"/>
      <c r="AN230" s="2219"/>
      <c r="AO230" s="2219"/>
      <c r="AP230" s="2219"/>
      <c r="AQ230" s="2219"/>
      <c r="AR230" s="2219"/>
      <c r="AS230" s="2219"/>
      <c r="AT230" s="2219"/>
      <c r="AU230" s="2219"/>
      <c r="AV230" s="2219"/>
      <c r="AW230" s="2219"/>
      <c r="AX230" s="2219"/>
      <c r="AY230" s="2219"/>
      <c r="AZ230" s="2219"/>
      <c r="BA230" s="974"/>
      <c r="BB230" s="974"/>
      <c r="BC230" s="974"/>
      <c r="BD230" s="970"/>
      <c r="BE230" s="970"/>
    </row>
    <row r="231" spans="1:57" ht="15.75" customHeight="1">
      <c r="A231" s="974"/>
      <c r="B231" s="980"/>
      <c r="C231" s="974"/>
      <c r="D231" s="974"/>
      <c r="E231" s="974"/>
      <c r="F231" s="974"/>
      <c r="G231" s="974"/>
      <c r="H231" s="2219"/>
      <c r="I231" s="2219"/>
      <c r="J231" s="2219"/>
      <c r="K231" s="2219"/>
      <c r="L231" s="2219"/>
      <c r="M231" s="2219"/>
      <c r="N231" s="2219"/>
      <c r="O231" s="2219"/>
      <c r="P231" s="2219"/>
      <c r="Q231" s="2219"/>
      <c r="R231" s="2219"/>
      <c r="S231" s="2219"/>
      <c r="T231" s="2219"/>
      <c r="U231" s="2219"/>
      <c r="V231" s="2219"/>
      <c r="W231" s="2219"/>
      <c r="X231" s="2219"/>
      <c r="Y231" s="2219"/>
      <c r="Z231" s="2219"/>
      <c r="AA231" s="2219"/>
      <c r="AB231" s="2219"/>
      <c r="AC231" s="2219"/>
      <c r="AD231" s="2219"/>
      <c r="AE231" s="2219"/>
      <c r="AF231" s="2219"/>
      <c r="AG231" s="2219"/>
      <c r="AH231" s="2219"/>
      <c r="AI231" s="2219"/>
      <c r="AJ231" s="2219"/>
      <c r="AK231" s="2219"/>
      <c r="AL231" s="2219"/>
      <c r="AM231" s="2219"/>
      <c r="AN231" s="2219"/>
      <c r="AO231" s="2219"/>
      <c r="AP231" s="2219"/>
      <c r="AQ231" s="2219"/>
      <c r="AR231" s="2219"/>
      <c r="AS231" s="2219"/>
      <c r="AT231" s="2219"/>
      <c r="AU231" s="2219"/>
      <c r="AV231" s="2219"/>
      <c r="AW231" s="2219"/>
      <c r="AX231" s="2219"/>
      <c r="AY231" s="2219"/>
      <c r="AZ231" s="2219"/>
      <c r="BA231" s="974"/>
      <c r="BB231" s="974"/>
      <c r="BC231" s="974"/>
      <c r="BD231" s="970"/>
      <c r="BE231" s="970"/>
    </row>
    <row r="232" spans="1:57" ht="15.75" customHeight="1">
      <c r="A232" s="974"/>
      <c r="B232" s="980"/>
      <c r="C232" s="974"/>
      <c r="D232" s="974"/>
      <c r="E232" s="974"/>
      <c r="F232" s="974"/>
      <c r="G232" s="974"/>
      <c r="H232" s="2219"/>
      <c r="I232" s="2219"/>
      <c r="J232" s="2219"/>
      <c r="K232" s="2219"/>
      <c r="L232" s="2219"/>
      <c r="M232" s="2219"/>
      <c r="N232" s="2219"/>
      <c r="O232" s="2219"/>
      <c r="P232" s="2219"/>
      <c r="Q232" s="2219"/>
      <c r="R232" s="2219"/>
      <c r="S232" s="2219"/>
      <c r="T232" s="2219"/>
      <c r="U232" s="2219"/>
      <c r="V232" s="2219"/>
      <c r="W232" s="2219"/>
      <c r="X232" s="2219"/>
      <c r="Y232" s="2219"/>
      <c r="Z232" s="2219"/>
      <c r="AA232" s="2219"/>
      <c r="AB232" s="2219"/>
      <c r="AC232" s="2219"/>
      <c r="AD232" s="2219"/>
      <c r="AE232" s="2219"/>
      <c r="AF232" s="2219"/>
      <c r="AG232" s="2219"/>
      <c r="AH232" s="2219"/>
      <c r="AI232" s="2219"/>
      <c r="AJ232" s="2219"/>
      <c r="AK232" s="2219"/>
      <c r="AL232" s="2219"/>
      <c r="AM232" s="2219"/>
      <c r="AN232" s="2219"/>
      <c r="AO232" s="2219"/>
      <c r="AP232" s="2219"/>
      <c r="AQ232" s="2219"/>
      <c r="AR232" s="2219"/>
      <c r="AS232" s="2219"/>
      <c r="AT232" s="2219"/>
      <c r="AU232" s="2219"/>
      <c r="AV232" s="2219"/>
      <c r="AW232" s="2219"/>
      <c r="AX232" s="2219"/>
      <c r="AY232" s="2219"/>
      <c r="AZ232" s="2219"/>
      <c r="BA232" s="974"/>
      <c r="BB232" s="974"/>
      <c r="BC232" s="974"/>
      <c r="BD232" s="970"/>
      <c r="BE232" s="970"/>
    </row>
    <row r="233" spans="1:57" ht="15.75" customHeight="1">
      <c r="A233" s="974"/>
      <c r="B233" s="980"/>
      <c r="C233" s="974"/>
      <c r="D233" s="974"/>
      <c r="E233" s="974"/>
      <c r="F233" s="974"/>
      <c r="G233" s="974"/>
      <c r="H233" s="2219"/>
      <c r="I233" s="2219"/>
      <c r="J233" s="2219"/>
      <c r="K233" s="2219"/>
      <c r="L233" s="2219"/>
      <c r="M233" s="2219"/>
      <c r="N233" s="2219"/>
      <c r="O233" s="2219"/>
      <c r="P233" s="2219"/>
      <c r="Q233" s="2219"/>
      <c r="R233" s="2219"/>
      <c r="S233" s="2219"/>
      <c r="T233" s="2219"/>
      <c r="U233" s="2219"/>
      <c r="V233" s="2219"/>
      <c r="W233" s="2219"/>
      <c r="X233" s="2219"/>
      <c r="Y233" s="2219"/>
      <c r="Z233" s="2219"/>
      <c r="AA233" s="2219"/>
      <c r="AB233" s="2219"/>
      <c r="AC233" s="2219"/>
      <c r="AD233" s="2219"/>
      <c r="AE233" s="2219"/>
      <c r="AF233" s="2219"/>
      <c r="AG233" s="2219"/>
      <c r="AH233" s="2219"/>
      <c r="AI233" s="2219"/>
      <c r="AJ233" s="2219"/>
      <c r="AK233" s="2219"/>
      <c r="AL233" s="2219"/>
      <c r="AM233" s="2219"/>
      <c r="AN233" s="2219"/>
      <c r="AO233" s="2219"/>
      <c r="AP233" s="2219"/>
      <c r="AQ233" s="2219"/>
      <c r="AR233" s="2219"/>
      <c r="AS233" s="2219"/>
      <c r="AT233" s="2219"/>
      <c r="AU233" s="2219"/>
      <c r="AV233" s="2219"/>
      <c r="AW233" s="2219"/>
      <c r="AX233" s="2219"/>
      <c r="AY233" s="2219"/>
      <c r="AZ233" s="2219"/>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218" t="s">
        <v>2654</v>
      </c>
      <c r="I235" s="2218"/>
      <c r="J235" s="2218"/>
      <c r="K235" s="2218"/>
      <c r="L235" s="2218"/>
      <c r="M235" s="2218"/>
      <c r="N235" s="2218"/>
      <c r="O235" s="2218"/>
      <c r="P235" s="2218"/>
      <c r="Q235" s="2218"/>
      <c r="R235" s="2218"/>
      <c r="S235" s="2218"/>
      <c r="T235" s="2218"/>
      <c r="U235" s="2218"/>
      <c r="V235" s="2218"/>
      <c r="W235" s="2218"/>
      <c r="X235" s="2218"/>
      <c r="Y235" s="2218"/>
      <c r="Z235" s="2218"/>
      <c r="AA235" s="2218"/>
      <c r="AB235" s="2218"/>
      <c r="AC235" s="2218"/>
      <c r="AD235" s="2218"/>
      <c r="AE235" s="2218"/>
      <c r="AF235" s="2218"/>
      <c r="AG235" s="2218"/>
      <c r="AH235" s="2218"/>
      <c r="AI235" s="2218"/>
      <c r="AJ235" s="2218"/>
      <c r="AK235" s="2218"/>
      <c r="AL235" s="2218"/>
      <c r="AM235" s="2218"/>
      <c r="AN235" s="2218"/>
      <c r="AO235" s="2218"/>
      <c r="AP235" s="2218"/>
      <c r="AQ235" s="2218"/>
      <c r="AR235" s="2218"/>
      <c r="AS235" s="2218"/>
      <c r="AT235" s="2218"/>
      <c r="AU235" s="2218"/>
      <c r="AV235" s="2218"/>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194" t="s">
        <v>2655</v>
      </c>
      <c r="I237" s="2194"/>
      <c r="J237" s="2194"/>
      <c r="K237" s="2194"/>
      <c r="L237" s="976"/>
      <c r="M237" s="976"/>
      <c r="N237" s="976"/>
      <c r="O237" s="976"/>
      <c r="P237" s="976"/>
      <c r="Q237" s="976"/>
      <c r="R237" s="976"/>
      <c r="S237" s="2215"/>
      <c r="T237" s="2216"/>
      <c r="U237" s="2216"/>
      <c r="V237" s="2216"/>
      <c r="W237" s="2216"/>
      <c r="X237" s="2216"/>
      <c r="Y237" s="2216"/>
      <c r="Z237" s="2216"/>
      <c r="AA237" s="2216"/>
      <c r="AB237" s="2216"/>
      <c r="AC237" s="2216"/>
      <c r="AD237" s="2216"/>
      <c r="AE237" s="2216"/>
      <c r="AF237" s="2216"/>
      <c r="AG237" s="2216"/>
      <c r="AH237" s="2216"/>
      <c r="AI237" s="2216"/>
      <c r="AJ237" s="2217"/>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194" t="s">
        <v>2555</v>
      </c>
      <c r="I239" s="2194"/>
      <c r="J239" s="2194"/>
      <c r="K239" s="978"/>
      <c r="L239" s="976"/>
      <c r="M239" s="976"/>
      <c r="N239" s="976"/>
      <c r="O239" s="976"/>
      <c r="P239" s="976"/>
      <c r="Q239" s="976"/>
      <c r="R239" s="976"/>
      <c r="S239" s="2212"/>
      <c r="T239" s="2213"/>
      <c r="U239" s="2213"/>
      <c r="V239" s="2213"/>
      <c r="W239" s="2213"/>
      <c r="X239" s="2213"/>
      <c r="Y239" s="2213"/>
      <c r="Z239" s="2213"/>
      <c r="AA239" s="2213"/>
      <c r="AB239" s="2213"/>
      <c r="AC239" s="2213"/>
      <c r="AD239" s="2213"/>
      <c r="AE239" s="2213"/>
      <c r="AF239" s="2213"/>
      <c r="AG239" s="2213"/>
      <c r="AH239" s="2213"/>
      <c r="AI239" s="2213"/>
      <c r="AJ239" s="2214"/>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194" t="s">
        <v>872</v>
      </c>
      <c r="I241" s="2194"/>
      <c r="J241" s="978"/>
      <c r="K241" s="978"/>
      <c r="L241" s="976"/>
      <c r="M241" s="976"/>
      <c r="N241" s="976"/>
      <c r="O241" s="976"/>
      <c r="P241" s="976"/>
      <c r="Q241" s="976"/>
      <c r="R241" s="976"/>
      <c r="S241" s="2212"/>
      <c r="T241" s="2213"/>
      <c r="U241" s="2213"/>
      <c r="V241" s="2213"/>
      <c r="W241" s="2213"/>
      <c r="X241" s="2213"/>
      <c r="Y241" s="2213"/>
      <c r="Z241" s="2213"/>
      <c r="AA241" s="2213"/>
      <c r="AB241" s="2213"/>
      <c r="AC241" s="2213"/>
      <c r="AD241" s="2213"/>
      <c r="AE241" s="2213"/>
      <c r="AF241" s="2213"/>
      <c r="AG241" s="2213"/>
      <c r="AH241" s="2213"/>
      <c r="AI241" s="2213"/>
      <c r="AJ241" s="2214"/>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195" t="s">
        <v>2656</v>
      </c>
      <c r="I243" s="2195"/>
      <c r="J243" s="2195"/>
      <c r="K243" s="2195"/>
      <c r="L243" s="2195"/>
      <c r="M243" s="2195"/>
      <c r="N243" s="2195"/>
      <c r="O243" s="2195"/>
      <c r="P243" s="976"/>
      <c r="Q243" s="976"/>
      <c r="R243" s="976"/>
      <c r="S243" s="2212"/>
      <c r="T243" s="2213"/>
      <c r="U243" s="2213"/>
      <c r="V243" s="2213"/>
      <c r="W243" s="2213"/>
      <c r="X243" s="2213"/>
      <c r="Y243" s="2213"/>
      <c r="Z243" s="2213"/>
      <c r="AA243" s="2213"/>
      <c r="AB243" s="2213"/>
      <c r="AC243" s="2213"/>
      <c r="AD243" s="2213"/>
      <c r="AE243" s="2213"/>
      <c r="AF243" s="2213"/>
      <c r="AG243" s="2213"/>
      <c r="AH243" s="2213"/>
      <c r="AI243" s="2213"/>
      <c r="AJ243" s="2214"/>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196" t="s">
        <v>2657</v>
      </c>
      <c r="I245" s="2196"/>
      <c r="J245" s="976"/>
      <c r="K245" s="976"/>
      <c r="L245" s="976"/>
      <c r="M245" s="976"/>
      <c r="N245" s="976"/>
      <c r="O245" s="976"/>
      <c r="P245" s="976"/>
      <c r="Q245" s="976"/>
      <c r="R245" s="976"/>
      <c r="S245" s="2209"/>
      <c r="T245" s="2210"/>
      <c r="U245" s="2210"/>
      <c r="V245" s="2210"/>
      <c r="W245" s="2210"/>
      <c r="X245" s="2210"/>
      <c r="Y245" s="2210"/>
      <c r="Z245" s="2210"/>
      <c r="AA245" s="2210"/>
      <c r="AB245" s="2210"/>
      <c r="AC245" s="2210"/>
      <c r="AD245" s="2210"/>
      <c r="AE245" s="2210"/>
      <c r="AF245" s="2210"/>
      <c r="AG245" s="2210"/>
      <c r="AH245" s="2210"/>
      <c r="AI245" s="2210"/>
      <c r="AJ245" s="2211"/>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abSelected="1" topLeftCell="A52" workbookViewId="0">
      <selection activeCell="AB72" sqref="AB72:AF72"/>
    </sheetView>
  </sheetViews>
  <sheetFormatPr baseColWidth="10" defaultColWidth="0" defaultRowHeight="13" customHeight="1"/>
  <cols>
    <col min="1" max="1" width="1.5" style="291" customWidth="1"/>
    <col min="2" max="2" width="0.83203125" style="291" customWidth="1"/>
    <col min="3" max="18" width="2.5" style="291" customWidth="1"/>
    <col min="19" max="19" width="6.5" style="291" customWidth="1"/>
    <col min="20" max="39" width="2.5" style="291" customWidth="1"/>
    <col min="40" max="40" width="1.5" style="291" customWidth="1"/>
    <col min="41" max="256" width="2.5" style="291" hidden="1"/>
    <col min="257" max="257" width="1.5" style="291" hidden="1" customWidth="1"/>
    <col min="258" max="258" width="0.83203125" style="291" hidden="1" customWidth="1"/>
    <col min="259" max="274" width="2.5" style="291" hidden="1" customWidth="1"/>
    <col min="275" max="275" width="4" style="291" hidden="1" customWidth="1"/>
    <col min="276" max="295" width="2.5" style="291" hidden="1" customWidth="1"/>
    <col min="296" max="296" width="1.5" style="291" hidden="1" customWidth="1"/>
    <col min="297" max="512" width="2.5" style="291" hidden="1"/>
    <col min="513" max="513" width="1.5" style="291" hidden="1" customWidth="1"/>
    <col min="514" max="514" width="0.83203125" style="291" hidden="1" customWidth="1"/>
    <col min="515" max="530" width="2.5" style="291" hidden="1" customWidth="1"/>
    <col min="531" max="531" width="4" style="291" hidden="1" customWidth="1"/>
    <col min="532" max="551" width="2.5" style="291" hidden="1" customWidth="1"/>
    <col min="552" max="552" width="1.5" style="291" hidden="1" customWidth="1"/>
    <col min="553" max="768" width="2.5" style="291" hidden="1"/>
    <col min="769" max="769" width="1.5" style="291" hidden="1" customWidth="1"/>
    <col min="770" max="770" width="0.83203125" style="291" hidden="1" customWidth="1"/>
    <col min="771" max="786" width="2.5" style="291" hidden="1" customWidth="1"/>
    <col min="787" max="787" width="4" style="291" hidden="1" customWidth="1"/>
    <col min="788" max="807" width="2.5" style="291" hidden="1" customWidth="1"/>
    <col min="808" max="808" width="1.5" style="291" hidden="1" customWidth="1"/>
    <col min="809" max="1024" width="2.5" style="291" hidden="1"/>
    <col min="1025" max="1025" width="1.5" style="291" hidden="1" customWidth="1"/>
    <col min="1026" max="1026" width="0.83203125" style="291" hidden="1" customWidth="1"/>
    <col min="1027" max="1042" width="2.5" style="291" hidden="1" customWidth="1"/>
    <col min="1043" max="1043" width="4" style="291" hidden="1" customWidth="1"/>
    <col min="1044" max="1063" width="2.5" style="291" hidden="1" customWidth="1"/>
    <col min="1064" max="1064" width="1.5" style="291" hidden="1" customWidth="1"/>
    <col min="1065" max="1280" width="2.5" style="291" hidden="1"/>
    <col min="1281" max="1281" width="1.5" style="291" hidden="1" customWidth="1"/>
    <col min="1282" max="1282" width="0.83203125" style="291" hidden="1" customWidth="1"/>
    <col min="1283" max="1298" width="2.5" style="291" hidden="1" customWidth="1"/>
    <col min="1299" max="1299" width="4" style="291" hidden="1" customWidth="1"/>
    <col min="1300" max="1319" width="2.5" style="291" hidden="1" customWidth="1"/>
    <col min="1320" max="1320" width="1.5" style="291" hidden="1" customWidth="1"/>
    <col min="1321" max="1536" width="2.5" style="291" hidden="1"/>
    <col min="1537" max="1537" width="1.5" style="291" hidden="1" customWidth="1"/>
    <col min="1538" max="1538" width="0.83203125" style="291" hidden="1" customWidth="1"/>
    <col min="1539" max="1554" width="2.5" style="291" hidden="1" customWidth="1"/>
    <col min="1555" max="1555" width="4" style="291" hidden="1" customWidth="1"/>
    <col min="1556" max="1575" width="2.5" style="291" hidden="1" customWidth="1"/>
    <col min="1576" max="1576" width="1.5" style="291" hidden="1" customWidth="1"/>
    <col min="1577" max="1792" width="2.5" style="291" hidden="1"/>
    <col min="1793" max="1793" width="1.5" style="291" hidden="1" customWidth="1"/>
    <col min="1794" max="1794" width="0.83203125" style="291" hidden="1" customWidth="1"/>
    <col min="1795" max="1810" width="2.5" style="291" hidden="1" customWidth="1"/>
    <col min="1811" max="1811" width="4" style="291" hidden="1" customWidth="1"/>
    <col min="1812" max="1831" width="2.5" style="291" hidden="1" customWidth="1"/>
    <col min="1832" max="1832" width="1.5" style="291" hidden="1" customWidth="1"/>
    <col min="1833" max="2048" width="2.5" style="291" hidden="1"/>
    <col min="2049" max="2049" width="1.5" style="291" hidden="1" customWidth="1"/>
    <col min="2050" max="2050" width="0.83203125" style="291" hidden="1" customWidth="1"/>
    <col min="2051" max="2066" width="2.5" style="291" hidden="1" customWidth="1"/>
    <col min="2067" max="2067" width="4" style="291" hidden="1" customWidth="1"/>
    <col min="2068" max="2087" width="2.5" style="291" hidden="1" customWidth="1"/>
    <col min="2088" max="2088" width="1.5" style="291" hidden="1" customWidth="1"/>
    <col min="2089" max="2304" width="2.5" style="291" hidden="1"/>
    <col min="2305" max="2305" width="1.5" style="291" hidden="1" customWidth="1"/>
    <col min="2306" max="2306" width="0.83203125" style="291" hidden="1" customWidth="1"/>
    <col min="2307" max="2322" width="2.5" style="291" hidden="1" customWidth="1"/>
    <col min="2323" max="2323" width="4" style="291" hidden="1" customWidth="1"/>
    <col min="2324" max="2343" width="2.5" style="291" hidden="1" customWidth="1"/>
    <col min="2344" max="2344" width="1.5" style="291" hidden="1" customWidth="1"/>
    <col min="2345" max="2560" width="2.5" style="291" hidden="1"/>
    <col min="2561" max="2561" width="1.5" style="291" hidden="1" customWidth="1"/>
    <col min="2562" max="2562" width="0.83203125" style="291" hidden="1" customWidth="1"/>
    <col min="2563" max="2578" width="2.5" style="291" hidden="1" customWidth="1"/>
    <col min="2579" max="2579" width="4" style="291" hidden="1" customWidth="1"/>
    <col min="2580" max="2599" width="2.5" style="291" hidden="1" customWidth="1"/>
    <col min="2600" max="2600" width="1.5" style="291" hidden="1" customWidth="1"/>
    <col min="2601" max="2816" width="2.5" style="291" hidden="1"/>
    <col min="2817" max="2817" width="1.5" style="291" hidden="1" customWidth="1"/>
    <col min="2818" max="2818" width="0.83203125" style="291" hidden="1" customWidth="1"/>
    <col min="2819" max="2834" width="2.5" style="291" hidden="1" customWidth="1"/>
    <col min="2835" max="2835" width="4" style="291" hidden="1" customWidth="1"/>
    <col min="2836" max="2855" width="2.5" style="291" hidden="1" customWidth="1"/>
    <col min="2856" max="2856" width="1.5" style="291" hidden="1" customWidth="1"/>
    <col min="2857" max="3072" width="2.5" style="291" hidden="1"/>
    <col min="3073" max="3073" width="1.5" style="291" hidden="1" customWidth="1"/>
    <col min="3074" max="3074" width="0.83203125" style="291" hidden="1" customWidth="1"/>
    <col min="3075" max="3090" width="2.5" style="291" hidden="1" customWidth="1"/>
    <col min="3091" max="3091" width="4" style="291" hidden="1" customWidth="1"/>
    <col min="3092" max="3111" width="2.5" style="291" hidden="1" customWidth="1"/>
    <col min="3112" max="3112" width="1.5" style="291" hidden="1" customWidth="1"/>
    <col min="3113" max="3328" width="2.5" style="291" hidden="1"/>
    <col min="3329" max="3329" width="1.5" style="291" hidden="1" customWidth="1"/>
    <col min="3330" max="3330" width="0.83203125" style="291" hidden="1" customWidth="1"/>
    <col min="3331" max="3346" width="2.5" style="291" hidden="1" customWidth="1"/>
    <col min="3347" max="3347" width="4" style="291" hidden="1" customWidth="1"/>
    <col min="3348" max="3367" width="2.5" style="291" hidden="1" customWidth="1"/>
    <col min="3368" max="3368" width="1.5" style="291" hidden="1" customWidth="1"/>
    <col min="3369" max="3584" width="2.5" style="291" hidden="1"/>
    <col min="3585" max="3585" width="1.5" style="291" hidden="1" customWidth="1"/>
    <col min="3586" max="3586" width="0.83203125" style="291" hidden="1" customWidth="1"/>
    <col min="3587" max="3602" width="2.5" style="291" hidden="1" customWidth="1"/>
    <col min="3603" max="3603" width="4" style="291" hidden="1" customWidth="1"/>
    <col min="3604" max="3623" width="2.5" style="291" hidden="1" customWidth="1"/>
    <col min="3624" max="3624" width="1.5" style="291" hidden="1" customWidth="1"/>
    <col min="3625" max="3840" width="2.5" style="291" hidden="1"/>
    <col min="3841" max="3841" width="1.5" style="291" hidden="1" customWidth="1"/>
    <col min="3842" max="3842" width="0.83203125" style="291" hidden="1" customWidth="1"/>
    <col min="3843" max="3858" width="2.5" style="291" hidden="1" customWidth="1"/>
    <col min="3859" max="3859" width="4" style="291" hidden="1" customWidth="1"/>
    <col min="3860" max="3879" width="2.5" style="291" hidden="1" customWidth="1"/>
    <col min="3880" max="3880" width="1.5" style="291" hidden="1" customWidth="1"/>
    <col min="3881" max="4096" width="2.5" style="291" hidden="1"/>
    <col min="4097" max="4097" width="1.5" style="291" hidden="1" customWidth="1"/>
    <col min="4098" max="4098" width="0.83203125" style="291" hidden="1" customWidth="1"/>
    <col min="4099" max="4114" width="2.5" style="291" hidden="1" customWidth="1"/>
    <col min="4115" max="4115" width="4" style="291" hidden="1" customWidth="1"/>
    <col min="4116" max="4135" width="2.5" style="291" hidden="1" customWidth="1"/>
    <col min="4136" max="4136" width="1.5" style="291" hidden="1" customWidth="1"/>
    <col min="4137" max="4352" width="2.5" style="291" hidden="1"/>
    <col min="4353" max="4353" width="1.5" style="291" hidden="1" customWidth="1"/>
    <col min="4354" max="4354" width="0.83203125" style="291" hidden="1" customWidth="1"/>
    <col min="4355" max="4370" width="2.5" style="291" hidden="1" customWidth="1"/>
    <col min="4371" max="4371" width="4" style="291" hidden="1" customWidth="1"/>
    <col min="4372" max="4391" width="2.5" style="291" hidden="1" customWidth="1"/>
    <col min="4392" max="4392" width="1.5" style="291" hidden="1" customWidth="1"/>
    <col min="4393" max="4608" width="2.5" style="291" hidden="1"/>
    <col min="4609" max="4609" width="1.5" style="291" hidden="1" customWidth="1"/>
    <col min="4610" max="4610" width="0.83203125" style="291" hidden="1" customWidth="1"/>
    <col min="4611" max="4626" width="2.5" style="291" hidden="1" customWidth="1"/>
    <col min="4627" max="4627" width="4" style="291" hidden="1" customWidth="1"/>
    <col min="4628" max="4647" width="2.5" style="291" hidden="1" customWidth="1"/>
    <col min="4648" max="4648" width="1.5" style="291" hidden="1" customWidth="1"/>
    <col min="4649" max="4864" width="2.5" style="291" hidden="1"/>
    <col min="4865" max="4865" width="1.5" style="291" hidden="1" customWidth="1"/>
    <col min="4866" max="4866" width="0.83203125" style="291" hidden="1" customWidth="1"/>
    <col min="4867" max="4882" width="2.5" style="291" hidden="1" customWidth="1"/>
    <col min="4883" max="4883" width="4" style="291" hidden="1" customWidth="1"/>
    <col min="4884" max="4903" width="2.5" style="291" hidden="1" customWidth="1"/>
    <col min="4904" max="4904" width="1.5" style="291" hidden="1" customWidth="1"/>
    <col min="4905" max="5120" width="2.5" style="291" hidden="1"/>
    <col min="5121" max="5121" width="1.5" style="291" hidden="1" customWidth="1"/>
    <col min="5122" max="5122" width="0.83203125" style="291" hidden="1" customWidth="1"/>
    <col min="5123" max="5138" width="2.5" style="291" hidden="1" customWidth="1"/>
    <col min="5139" max="5139" width="4" style="291" hidden="1" customWidth="1"/>
    <col min="5140" max="5159" width="2.5" style="291" hidden="1" customWidth="1"/>
    <col min="5160" max="5160" width="1.5" style="291" hidden="1" customWidth="1"/>
    <col min="5161" max="5376" width="2.5" style="291" hidden="1"/>
    <col min="5377" max="5377" width="1.5" style="291" hidden="1" customWidth="1"/>
    <col min="5378" max="5378" width="0.83203125" style="291" hidden="1" customWidth="1"/>
    <col min="5379" max="5394" width="2.5" style="291" hidden="1" customWidth="1"/>
    <col min="5395" max="5395" width="4" style="291" hidden="1" customWidth="1"/>
    <col min="5396" max="5415" width="2.5" style="291" hidden="1" customWidth="1"/>
    <col min="5416" max="5416" width="1.5" style="291" hidden="1" customWidth="1"/>
    <col min="5417" max="5632" width="2.5" style="291" hidden="1"/>
    <col min="5633" max="5633" width="1.5" style="291" hidden="1" customWidth="1"/>
    <col min="5634" max="5634" width="0.83203125" style="291" hidden="1" customWidth="1"/>
    <col min="5635" max="5650" width="2.5" style="291" hidden="1" customWidth="1"/>
    <col min="5651" max="5651" width="4" style="291" hidden="1" customWidth="1"/>
    <col min="5652" max="5671" width="2.5" style="291" hidden="1" customWidth="1"/>
    <col min="5672" max="5672" width="1.5" style="291" hidden="1" customWidth="1"/>
    <col min="5673" max="5888" width="2.5" style="291" hidden="1"/>
    <col min="5889" max="5889" width="1.5" style="291" hidden="1" customWidth="1"/>
    <col min="5890" max="5890" width="0.83203125" style="291" hidden="1" customWidth="1"/>
    <col min="5891" max="5906" width="2.5" style="291" hidden="1" customWidth="1"/>
    <col min="5907" max="5907" width="4" style="291" hidden="1" customWidth="1"/>
    <col min="5908" max="5927" width="2.5" style="291" hidden="1" customWidth="1"/>
    <col min="5928" max="5928" width="1.5" style="291" hidden="1" customWidth="1"/>
    <col min="5929" max="6144" width="2.5" style="291" hidden="1"/>
    <col min="6145" max="6145" width="1.5" style="291" hidden="1" customWidth="1"/>
    <col min="6146" max="6146" width="0.83203125" style="291" hidden="1" customWidth="1"/>
    <col min="6147" max="6162" width="2.5" style="291" hidden="1" customWidth="1"/>
    <col min="6163" max="6163" width="4" style="291" hidden="1" customWidth="1"/>
    <col min="6164" max="6183" width="2.5" style="291" hidden="1" customWidth="1"/>
    <col min="6184" max="6184" width="1.5" style="291" hidden="1" customWidth="1"/>
    <col min="6185" max="6400" width="2.5" style="291" hidden="1"/>
    <col min="6401" max="6401" width="1.5" style="291" hidden="1" customWidth="1"/>
    <col min="6402" max="6402" width="0.83203125" style="291" hidden="1" customWidth="1"/>
    <col min="6403" max="6418" width="2.5" style="291" hidden="1" customWidth="1"/>
    <col min="6419" max="6419" width="4" style="291" hidden="1" customWidth="1"/>
    <col min="6420" max="6439" width="2.5" style="291" hidden="1" customWidth="1"/>
    <col min="6440" max="6440" width="1.5" style="291" hidden="1" customWidth="1"/>
    <col min="6441" max="6656" width="2.5" style="291" hidden="1"/>
    <col min="6657" max="6657" width="1.5" style="291" hidden="1" customWidth="1"/>
    <col min="6658" max="6658" width="0.83203125" style="291" hidden="1" customWidth="1"/>
    <col min="6659" max="6674" width="2.5" style="291" hidden="1" customWidth="1"/>
    <col min="6675" max="6675" width="4" style="291" hidden="1" customWidth="1"/>
    <col min="6676" max="6695" width="2.5" style="291" hidden="1" customWidth="1"/>
    <col min="6696" max="6696" width="1.5" style="291" hidden="1" customWidth="1"/>
    <col min="6697" max="6912" width="2.5" style="291" hidden="1"/>
    <col min="6913" max="6913" width="1.5" style="291" hidden="1" customWidth="1"/>
    <col min="6914" max="6914" width="0.83203125" style="291" hidden="1" customWidth="1"/>
    <col min="6915" max="6930" width="2.5" style="291" hidden="1" customWidth="1"/>
    <col min="6931" max="6931" width="4" style="291" hidden="1" customWidth="1"/>
    <col min="6932" max="6951" width="2.5" style="291" hidden="1" customWidth="1"/>
    <col min="6952" max="6952" width="1.5" style="291" hidden="1" customWidth="1"/>
    <col min="6953" max="7168" width="2.5" style="291" hidden="1"/>
    <col min="7169" max="7169" width="1.5" style="291" hidden="1" customWidth="1"/>
    <col min="7170" max="7170" width="0.83203125" style="291" hidden="1" customWidth="1"/>
    <col min="7171" max="7186" width="2.5" style="291" hidden="1" customWidth="1"/>
    <col min="7187" max="7187" width="4" style="291" hidden="1" customWidth="1"/>
    <col min="7188" max="7207" width="2.5" style="291" hidden="1" customWidth="1"/>
    <col min="7208" max="7208" width="1.5" style="291" hidden="1" customWidth="1"/>
    <col min="7209" max="7424" width="2.5" style="291" hidden="1"/>
    <col min="7425" max="7425" width="1.5" style="291" hidden="1" customWidth="1"/>
    <col min="7426" max="7426" width="0.83203125" style="291" hidden="1" customWidth="1"/>
    <col min="7427" max="7442" width="2.5" style="291" hidden="1" customWidth="1"/>
    <col min="7443" max="7443" width="4" style="291" hidden="1" customWidth="1"/>
    <col min="7444" max="7463" width="2.5" style="291" hidden="1" customWidth="1"/>
    <col min="7464" max="7464" width="1.5" style="291" hidden="1" customWidth="1"/>
    <col min="7465" max="7680" width="2.5" style="291" hidden="1"/>
    <col min="7681" max="7681" width="1.5" style="291" hidden="1" customWidth="1"/>
    <col min="7682" max="7682" width="0.83203125" style="291" hidden="1" customWidth="1"/>
    <col min="7683" max="7698" width="2.5" style="291" hidden="1" customWidth="1"/>
    <col min="7699" max="7699" width="4" style="291" hidden="1" customWidth="1"/>
    <col min="7700" max="7719" width="2.5" style="291" hidden="1" customWidth="1"/>
    <col min="7720" max="7720" width="1.5" style="291" hidden="1" customWidth="1"/>
    <col min="7721" max="7936" width="2.5" style="291" hidden="1"/>
    <col min="7937" max="7937" width="1.5" style="291" hidden="1" customWidth="1"/>
    <col min="7938" max="7938" width="0.83203125" style="291" hidden="1" customWidth="1"/>
    <col min="7939" max="7954" width="2.5" style="291" hidden="1" customWidth="1"/>
    <col min="7955" max="7955" width="4" style="291" hidden="1" customWidth="1"/>
    <col min="7956" max="7975" width="2.5" style="291" hidden="1" customWidth="1"/>
    <col min="7976" max="7976" width="1.5" style="291" hidden="1" customWidth="1"/>
    <col min="7977" max="8192" width="2.5" style="291" hidden="1"/>
    <col min="8193" max="8193" width="1.5" style="291" hidden="1" customWidth="1"/>
    <col min="8194" max="8194" width="0.83203125" style="291" hidden="1" customWidth="1"/>
    <col min="8195" max="8210" width="2.5" style="291" hidden="1" customWidth="1"/>
    <col min="8211" max="8211" width="4" style="291" hidden="1" customWidth="1"/>
    <col min="8212" max="8231" width="2.5" style="291" hidden="1" customWidth="1"/>
    <col min="8232" max="8232" width="1.5" style="291" hidden="1" customWidth="1"/>
    <col min="8233" max="8448" width="2.5" style="291" hidden="1"/>
    <col min="8449" max="8449" width="1.5" style="291" hidden="1" customWidth="1"/>
    <col min="8450" max="8450" width="0.83203125" style="291" hidden="1" customWidth="1"/>
    <col min="8451" max="8466" width="2.5" style="291" hidden="1" customWidth="1"/>
    <col min="8467" max="8467" width="4" style="291" hidden="1" customWidth="1"/>
    <col min="8468" max="8487" width="2.5" style="291" hidden="1" customWidth="1"/>
    <col min="8488" max="8488" width="1.5" style="291" hidden="1" customWidth="1"/>
    <col min="8489" max="8704" width="2.5" style="291" hidden="1"/>
    <col min="8705" max="8705" width="1.5" style="291" hidden="1" customWidth="1"/>
    <col min="8706" max="8706" width="0.83203125" style="291" hidden="1" customWidth="1"/>
    <col min="8707" max="8722" width="2.5" style="291" hidden="1" customWidth="1"/>
    <col min="8723" max="8723" width="4" style="291" hidden="1" customWidth="1"/>
    <col min="8724" max="8743" width="2.5" style="291" hidden="1" customWidth="1"/>
    <col min="8744" max="8744" width="1.5" style="291" hidden="1" customWidth="1"/>
    <col min="8745" max="8960" width="2.5" style="291" hidden="1"/>
    <col min="8961" max="8961" width="1.5" style="291" hidden="1" customWidth="1"/>
    <col min="8962" max="8962" width="0.83203125" style="291" hidden="1" customWidth="1"/>
    <col min="8963" max="8978" width="2.5" style="291" hidden="1" customWidth="1"/>
    <col min="8979" max="8979" width="4" style="291" hidden="1" customWidth="1"/>
    <col min="8980" max="8999" width="2.5" style="291" hidden="1" customWidth="1"/>
    <col min="9000" max="9000" width="1.5" style="291" hidden="1" customWidth="1"/>
    <col min="9001" max="9216" width="2.5" style="291" hidden="1"/>
    <col min="9217" max="9217" width="1.5" style="291" hidden="1" customWidth="1"/>
    <col min="9218" max="9218" width="0.83203125" style="291" hidden="1" customWidth="1"/>
    <col min="9219" max="9234" width="2.5" style="291" hidden="1" customWidth="1"/>
    <col min="9235" max="9235" width="4" style="291" hidden="1" customWidth="1"/>
    <col min="9236" max="9255" width="2.5" style="291" hidden="1" customWidth="1"/>
    <col min="9256" max="9256" width="1.5" style="291" hidden="1" customWidth="1"/>
    <col min="9257" max="9472" width="2.5" style="291" hidden="1"/>
    <col min="9473" max="9473" width="1.5" style="291" hidden="1" customWidth="1"/>
    <col min="9474" max="9474" width="0.83203125" style="291" hidden="1" customWidth="1"/>
    <col min="9475" max="9490" width="2.5" style="291" hidden="1" customWidth="1"/>
    <col min="9491" max="9491" width="4" style="291" hidden="1" customWidth="1"/>
    <col min="9492" max="9511" width="2.5" style="291" hidden="1" customWidth="1"/>
    <col min="9512" max="9512" width="1.5" style="291" hidden="1" customWidth="1"/>
    <col min="9513" max="9728" width="2.5" style="291" hidden="1"/>
    <col min="9729" max="9729" width="1.5" style="291" hidden="1" customWidth="1"/>
    <col min="9730" max="9730" width="0.83203125" style="291" hidden="1" customWidth="1"/>
    <col min="9731" max="9746" width="2.5" style="291" hidden="1" customWidth="1"/>
    <col min="9747" max="9747" width="4" style="291" hidden="1" customWidth="1"/>
    <col min="9748" max="9767" width="2.5" style="291" hidden="1" customWidth="1"/>
    <col min="9768" max="9768" width="1.5" style="291" hidden="1" customWidth="1"/>
    <col min="9769" max="9984" width="2.5" style="291" hidden="1"/>
    <col min="9985" max="9985" width="1.5" style="291" hidden="1" customWidth="1"/>
    <col min="9986" max="9986" width="0.83203125" style="291" hidden="1" customWidth="1"/>
    <col min="9987" max="10002" width="2.5" style="291" hidden="1" customWidth="1"/>
    <col min="10003" max="10003" width="4" style="291" hidden="1" customWidth="1"/>
    <col min="10004" max="10023" width="2.5" style="291" hidden="1" customWidth="1"/>
    <col min="10024" max="10024" width="1.5" style="291" hidden="1" customWidth="1"/>
    <col min="10025" max="10240" width="2.5" style="291" hidden="1"/>
    <col min="10241" max="10241" width="1.5" style="291" hidden="1" customWidth="1"/>
    <col min="10242" max="10242" width="0.83203125" style="291" hidden="1" customWidth="1"/>
    <col min="10243" max="10258" width="2.5" style="291" hidden="1" customWidth="1"/>
    <col min="10259" max="10259" width="4" style="291" hidden="1" customWidth="1"/>
    <col min="10260" max="10279" width="2.5" style="291" hidden="1" customWidth="1"/>
    <col min="10280" max="10280" width="1.5" style="291" hidden="1" customWidth="1"/>
    <col min="10281" max="10496" width="2.5" style="291" hidden="1"/>
    <col min="10497" max="10497" width="1.5" style="291" hidden="1" customWidth="1"/>
    <col min="10498" max="10498" width="0.83203125" style="291" hidden="1" customWidth="1"/>
    <col min="10499" max="10514" width="2.5" style="291" hidden="1" customWidth="1"/>
    <col min="10515" max="10515" width="4" style="291" hidden="1" customWidth="1"/>
    <col min="10516" max="10535" width="2.5" style="291" hidden="1" customWidth="1"/>
    <col min="10536" max="10536" width="1.5" style="291" hidden="1" customWidth="1"/>
    <col min="10537" max="10752" width="2.5" style="291" hidden="1"/>
    <col min="10753" max="10753" width="1.5" style="291" hidden="1" customWidth="1"/>
    <col min="10754" max="10754" width="0.83203125" style="291" hidden="1" customWidth="1"/>
    <col min="10755" max="10770" width="2.5" style="291" hidden="1" customWidth="1"/>
    <col min="10771" max="10771" width="4" style="291" hidden="1" customWidth="1"/>
    <col min="10772" max="10791" width="2.5" style="291" hidden="1" customWidth="1"/>
    <col min="10792" max="10792" width="1.5" style="291" hidden="1" customWidth="1"/>
    <col min="10793" max="11008" width="2.5" style="291" hidden="1"/>
    <col min="11009" max="11009" width="1.5" style="291" hidden="1" customWidth="1"/>
    <col min="11010" max="11010" width="0.83203125" style="291" hidden="1" customWidth="1"/>
    <col min="11011" max="11026" width="2.5" style="291" hidden="1" customWidth="1"/>
    <col min="11027" max="11027" width="4" style="291" hidden="1" customWidth="1"/>
    <col min="11028" max="11047" width="2.5" style="291" hidden="1" customWidth="1"/>
    <col min="11048" max="11048" width="1.5" style="291" hidden="1" customWidth="1"/>
    <col min="11049" max="11264" width="2.5" style="291" hidden="1"/>
    <col min="11265" max="11265" width="1.5" style="291" hidden="1" customWidth="1"/>
    <col min="11266" max="11266" width="0.83203125" style="291" hidden="1" customWidth="1"/>
    <col min="11267" max="11282" width="2.5" style="291" hidden="1" customWidth="1"/>
    <col min="11283" max="11283" width="4" style="291" hidden="1" customWidth="1"/>
    <col min="11284" max="11303" width="2.5" style="291" hidden="1" customWidth="1"/>
    <col min="11304" max="11304" width="1.5" style="291" hidden="1" customWidth="1"/>
    <col min="11305" max="11520" width="2.5" style="291" hidden="1"/>
    <col min="11521" max="11521" width="1.5" style="291" hidden="1" customWidth="1"/>
    <col min="11522" max="11522" width="0.83203125" style="291" hidden="1" customWidth="1"/>
    <col min="11523" max="11538" width="2.5" style="291" hidden="1" customWidth="1"/>
    <col min="11539" max="11539" width="4" style="291" hidden="1" customWidth="1"/>
    <col min="11540" max="11559" width="2.5" style="291" hidden="1" customWidth="1"/>
    <col min="11560" max="11560" width="1.5" style="291" hidden="1" customWidth="1"/>
    <col min="11561" max="11776" width="2.5" style="291" hidden="1"/>
    <col min="11777" max="11777" width="1.5" style="291" hidden="1" customWidth="1"/>
    <col min="11778" max="11778" width="0.83203125" style="291" hidden="1" customWidth="1"/>
    <col min="11779" max="11794" width="2.5" style="291" hidden="1" customWidth="1"/>
    <col min="11795" max="11795" width="4" style="291" hidden="1" customWidth="1"/>
    <col min="11796" max="11815" width="2.5" style="291" hidden="1" customWidth="1"/>
    <col min="11816" max="11816" width="1.5" style="291" hidden="1" customWidth="1"/>
    <col min="11817" max="12032" width="2.5" style="291" hidden="1"/>
    <col min="12033" max="12033" width="1.5" style="291" hidden="1" customWidth="1"/>
    <col min="12034" max="12034" width="0.83203125" style="291" hidden="1" customWidth="1"/>
    <col min="12035" max="12050" width="2.5" style="291" hidden="1" customWidth="1"/>
    <col min="12051" max="12051" width="4" style="291" hidden="1" customWidth="1"/>
    <col min="12052" max="12071" width="2.5" style="291" hidden="1" customWidth="1"/>
    <col min="12072" max="12072" width="1.5" style="291" hidden="1" customWidth="1"/>
    <col min="12073" max="12288" width="2.5" style="291" hidden="1"/>
    <col min="12289" max="12289" width="1.5" style="291" hidden="1" customWidth="1"/>
    <col min="12290" max="12290" width="0.83203125" style="291" hidden="1" customWidth="1"/>
    <col min="12291" max="12306" width="2.5" style="291" hidden="1" customWidth="1"/>
    <col min="12307" max="12307" width="4" style="291" hidden="1" customWidth="1"/>
    <col min="12308" max="12327" width="2.5" style="291" hidden="1" customWidth="1"/>
    <col min="12328" max="12328" width="1.5" style="291" hidden="1" customWidth="1"/>
    <col min="12329" max="12544" width="2.5" style="291" hidden="1"/>
    <col min="12545" max="12545" width="1.5" style="291" hidden="1" customWidth="1"/>
    <col min="12546" max="12546" width="0.83203125" style="291" hidden="1" customWidth="1"/>
    <col min="12547" max="12562" width="2.5" style="291" hidden="1" customWidth="1"/>
    <col min="12563" max="12563" width="4" style="291" hidden="1" customWidth="1"/>
    <col min="12564" max="12583" width="2.5" style="291" hidden="1" customWidth="1"/>
    <col min="12584" max="12584" width="1.5" style="291" hidden="1" customWidth="1"/>
    <col min="12585" max="12800" width="2.5" style="291" hidden="1"/>
    <col min="12801" max="12801" width="1.5" style="291" hidden="1" customWidth="1"/>
    <col min="12802" max="12802" width="0.83203125" style="291" hidden="1" customWidth="1"/>
    <col min="12803" max="12818" width="2.5" style="291" hidden="1" customWidth="1"/>
    <col min="12819" max="12819" width="4" style="291" hidden="1" customWidth="1"/>
    <col min="12820" max="12839" width="2.5" style="291" hidden="1" customWidth="1"/>
    <col min="12840" max="12840" width="1.5" style="291" hidden="1" customWidth="1"/>
    <col min="12841" max="13056" width="2.5" style="291" hidden="1"/>
    <col min="13057" max="13057" width="1.5" style="291" hidden="1" customWidth="1"/>
    <col min="13058" max="13058" width="0.83203125" style="291" hidden="1" customWidth="1"/>
    <col min="13059" max="13074" width="2.5" style="291" hidden="1" customWidth="1"/>
    <col min="13075" max="13075" width="4" style="291" hidden="1" customWidth="1"/>
    <col min="13076" max="13095" width="2.5" style="291" hidden="1" customWidth="1"/>
    <col min="13096" max="13096" width="1.5" style="291" hidden="1" customWidth="1"/>
    <col min="13097" max="13312" width="2.5" style="291" hidden="1"/>
    <col min="13313" max="13313" width="1.5" style="291" hidden="1" customWidth="1"/>
    <col min="13314" max="13314" width="0.83203125" style="291" hidden="1" customWidth="1"/>
    <col min="13315" max="13330" width="2.5" style="291" hidden="1" customWidth="1"/>
    <col min="13331" max="13331" width="4" style="291" hidden="1" customWidth="1"/>
    <col min="13332" max="13351" width="2.5" style="291" hidden="1" customWidth="1"/>
    <col min="13352" max="13352" width="1.5" style="291" hidden="1" customWidth="1"/>
    <col min="13353" max="13568" width="2.5" style="291" hidden="1"/>
    <col min="13569" max="13569" width="1.5" style="291" hidden="1" customWidth="1"/>
    <col min="13570" max="13570" width="0.83203125" style="291" hidden="1" customWidth="1"/>
    <col min="13571" max="13586" width="2.5" style="291" hidden="1" customWidth="1"/>
    <col min="13587" max="13587" width="4" style="291" hidden="1" customWidth="1"/>
    <col min="13588" max="13607" width="2.5" style="291" hidden="1" customWidth="1"/>
    <col min="13608" max="13608" width="1.5" style="291" hidden="1" customWidth="1"/>
    <col min="13609" max="13824" width="2.5" style="291" hidden="1"/>
    <col min="13825" max="13825" width="1.5" style="291" hidden="1" customWidth="1"/>
    <col min="13826" max="13826" width="0.83203125" style="291" hidden="1" customWidth="1"/>
    <col min="13827" max="13842" width="2.5" style="291" hidden="1" customWidth="1"/>
    <col min="13843" max="13843" width="4" style="291" hidden="1" customWidth="1"/>
    <col min="13844" max="13863" width="2.5" style="291" hidden="1" customWidth="1"/>
    <col min="13864" max="13864" width="1.5" style="291" hidden="1" customWidth="1"/>
    <col min="13865" max="14080" width="2.5" style="291" hidden="1"/>
    <col min="14081" max="14081" width="1.5" style="291" hidden="1" customWidth="1"/>
    <col min="14082" max="14082" width="0.83203125" style="291" hidden="1" customWidth="1"/>
    <col min="14083" max="14098" width="2.5" style="291" hidden="1" customWidth="1"/>
    <col min="14099" max="14099" width="4" style="291" hidden="1" customWidth="1"/>
    <col min="14100" max="14119" width="2.5" style="291" hidden="1" customWidth="1"/>
    <col min="14120" max="14120" width="1.5" style="291" hidden="1" customWidth="1"/>
    <col min="14121" max="14336" width="2.5" style="291" hidden="1"/>
    <col min="14337" max="14337" width="1.5" style="291" hidden="1" customWidth="1"/>
    <col min="14338" max="14338" width="0.83203125" style="291" hidden="1" customWidth="1"/>
    <col min="14339" max="14354" width="2.5" style="291" hidden="1" customWidth="1"/>
    <col min="14355" max="14355" width="4" style="291" hidden="1" customWidth="1"/>
    <col min="14356" max="14375" width="2.5" style="291" hidden="1" customWidth="1"/>
    <col min="14376" max="14376" width="1.5" style="291" hidden="1" customWidth="1"/>
    <col min="14377" max="14592" width="2.5" style="291" hidden="1"/>
    <col min="14593" max="14593" width="1.5" style="291" hidden="1" customWidth="1"/>
    <col min="14594" max="14594" width="0.83203125" style="291" hidden="1" customWidth="1"/>
    <col min="14595" max="14610" width="2.5" style="291" hidden="1" customWidth="1"/>
    <col min="14611" max="14611" width="4" style="291" hidden="1" customWidth="1"/>
    <col min="14612" max="14631" width="2.5" style="291" hidden="1" customWidth="1"/>
    <col min="14632" max="14632" width="1.5" style="291" hidden="1" customWidth="1"/>
    <col min="14633" max="14848" width="2.5" style="291" hidden="1"/>
    <col min="14849" max="14849" width="1.5" style="291" hidden="1" customWidth="1"/>
    <col min="14850" max="14850" width="0.83203125" style="291" hidden="1" customWidth="1"/>
    <col min="14851" max="14866" width="2.5" style="291" hidden="1" customWidth="1"/>
    <col min="14867" max="14867" width="4" style="291" hidden="1" customWidth="1"/>
    <col min="14868" max="14887" width="2.5" style="291" hidden="1" customWidth="1"/>
    <col min="14888" max="14888" width="1.5" style="291" hidden="1" customWidth="1"/>
    <col min="14889" max="15104" width="2.5" style="291" hidden="1"/>
    <col min="15105" max="15105" width="1.5" style="291" hidden="1" customWidth="1"/>
    <col min="15106" max="15106" width="0.83203125" style="291" hidden="1" customWidth="1"/>
    <col min="15107" max="15122" width="2.5" style="291" hidden="1" customWidth="1"/>
    <col min="15123" max="15123" width="4" style="291" hidden="1" customWidth="1"/>
    <col min="15124" max="15143" width="2.5" style="291" hidden="1" customWidth="1"/>
    <col min="15144" max="15144" width="1.5" style="291" hidden="1" customWidth="1"/>
    <col min="15145" max="15360" width="2.5" style="291" hidden="1"/>
    <col min="15361" max="15361" width="1.5" style="291" hidden="1" customWidth="1"/>
    <col min="15362" max="15362" width="0.83203125" style="291" hidden="1" customWidth="1"/>
    <col min="15363" max="15378" width="2.5" style="291" hidden="1" customWidth="1"/>
    <col min="15379" max="15379" width="4" style="291" hidden="1" customWidth="1"/>
    <col min="15380" max="15399" width="2.5" style="291" hidden="1" customWidth="1"/>
    <col min="15400" max="15400" width="1.5" style="291" hidden="1" customWidth="1"/>
    <col min="15401" max="15616" width="2.5" style="291" hidden="1"/>
    <col min="15617" max="15617" width="1.5" style="291" hidden="1" customWidth="1"/>
    <col min="15618" max="15618" width="0.83203125" style="291" hidden="1" customWidth="1"/>
    <col min="15619" max="15634" width="2.5" style="291" hidden="1" customWidth="1"/>
    <col min="15635" max="15635" width="4" style="291" hidden="1" customWidth="1"/>
    <col min="15636" max="15655" width="2.5" style="291" hidden="1" customWidth="1"/>
    <col min="15656" max="15656" width="1.5" style="291" hidden="1" customWidth="1"/>
    <col min="15657" max="15872" width="2.5" style="291" hidden="1"/>
    <col min="15873" max="15873" width="1.5" style="291" hidden="1" customWidth="1"/>
    <col min="15874" max="15874" width="0.83203125" style="291" hidden="1" customWidth="1"/>
    <col min="15875" max="15890" width="2.5" style="291" hidden="1" customWidth="1"/>
    <col min="15891" max="15891" width="4" style="291" hidden="1" customWidth="1"/>
    <col min="15892" max="15911" width="2.5" style="291" hidden="1" customWidth="1"/>
    <col min="15912" max="15912" width="1.5" style="291" hidden="1" customWidth="1"/>
    <col min="15913" max="16128" width="2.5" style="291" hidden="1"/>
    <col min="16129" max="16129" width="1.5" style="291" hidden="1" customWidth="1"/>
    <col min="16130" max="16130" width="0.83203125" style="291" hidden="1" customWidth="1"/>
    <col min="16131" max="16146" width="2.5" style="291" hidden="1" customWidth="1"/>
    <col min="16147" max="16147" width="4" style="291" hidden="1" customWidth="1"/>
    <col min="16148" max="16167" width="2.5" style="291" hidden="1" customWidth="1"/>
    <col min="16168" max="16168" width="1.5" style="291" hidden="1" customWidth="1"/>
    <col min="16169" max="16384" width="2.5" style="291" hidden="1"/>
  </cols>
  <sheetData>
    <row r="1" spans="1:40" ht="13" customHeight="1">
      <c r="A1" s="2562" t="s">
        <v>2658</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c r="AN1" s="2562"/>
    </row>
    <row r="2" spans="1:40" ht="13" customHeight="1" thickBot="1">
      <c r="A2" s="2563"/>
      <c r="B2" s="2563"/>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2563"/>
      <c r="AE2" s="2563"/>
      <c r="AF2" s="2563"/>
      <c r="AG2" s="2563"/>
      <c r="AH2" s="2563"/>
      <c r="AI2" s="2563"/>
      <c r="AJ2" s="2563"/>
      <c r="AK2" s="2563"/>
      <c r="AL2" s="2563"/>
      <c r="AM2" s="2563"/>
      <c r="AN2" s="2563"/>
    </row>
    <row r="3" spans="1:40" ht="13" customHeight="1" thickTop="1">
      <c r="A3" s="291" t="str">
        <f>+A1</f>
        <v>V. BASIS AND CREDITS : 4% FEDERAL AND STATE CREDIT</v>
      </c>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3" customHeight="1">
      <c r="A4" s="293"/>
    </row>
    <row r="5" spans="1:40" ht="13" customHeight="1">
      <c r="A5" s="293" t="s">
        <v>920</v>
      </c>
      <c r="C5" s="293" t="s">
        <v>269</v>
      </c>
      <c r="F5" s="293"/>
    </row>
    <row r="6" spans="1:40" ht="13" customHeight="1">
      <c r="A6" s="293"/>
      <c r="C6" s="291" t="s">
        <v>2659</v>
      </c>
    </row>
    <row r="7" spans="1:40" ht="13" customHeight="1">
      <c r="B7" s="294"/>
      <c r="C7" s="295"/>
      <c r="D7" s="295"/>
      <c r="E7" s="295"/>
      <c r="F7" s="295"/>
      <c r="G7" s="295"/>
      <c r="H7" s="295"/>
      <c r="I7" s="295"/>
      <c r="J7" s="295"/>
      <c r="K7" s="295"/>
      <c r="L7" s="295"/>
      <c r="M7" s="295"/>
      <c r="N7" s="295"/>
      <c r="O7" s="295"/>
      <c r="P7" s="295"/>
      <c r="Q7" s="295"/>
      <c r="R7" s="295"/>
      <c r="S7" s="295"/>
      <c r="T7" s="2564" t="str">
        <f xml:space="preserve"> IF(T25=100%,'Sources and Basis Breakdown'!G2,'Sources and Basis Breakdown'!F2)</f>
        <v>30% PVC for New Const/
Rehabilitation
DDA/QCT
Building(s)</v>
      </c>
      <c r="U7" s="2564"/>
      <c r="V7" s="2564"/>
      <c r="W7" s="2564"/>
      <c r="X7" s="2564"/>
      <c r="Y7" s="2564" t="str">
        <f>IF(T25=100%,"",'Sources and Basis Breakdown'!G2)</f>
        <v>30% PVC for New Const/
Rehabilitation
NON-DDA/
NON-QCT Building(s)</v>
      </c>
      <c r="Z7" s="2564"/>
      <c r="AA7" s="2564"/>
      <c r="AB7" s="2564"/>
      <c r="AC7" s="2564"/>
      <c r="AD7" s="2564" t="str">
        <f xml:space="preserve"> IF(T25=100%, 'Sources and Basis Breakdown'!J2,'Sources and Basis Breakdown'!I2)</f>
        <v>30% PVC for Acquisition
DDA/QCT Building(s)</v>
      </c>
      <c r="AE7" s="2564"/>
      <c r="AF7" s="2564"/>
      <c r="AG7" s="2564"/>
      <c r="AH7" s="2564"/>
      <c r="AI7" s="2564" t="str">
        <f>IF(T25=100%,"",'Sources and Basis Breakdown'!J2)</f>
        <v>30% PVC for Acquisition
NON-DDA/
NON-QCT Building(s)</v>
      </c>
      <c r="AJ7" s="2564"/>
      <c r="AK7" s="2564"/>
      <c r="AL7" s="2564"/>
      <c r="AM7" s="2564"/>
    </row>
    <row r="8" spans="1:40" ht="13" customHeight="1">
      <c r="B8" s="296"/>
      <c r="T8" s="2564"/>
      <c r="U8" s="2564"/>
      <c r="V8" s="2564"/>
      <c r="W8" s="2564"/>
      <c r="X8" s="2564"/>
      <c r="Y8" s="2564"/>
      <c r="Z8" s="2564"/>
      <c r="AA8" s="2564"/>
      <c r="AB8" s="2564"/>
      <c r="AC8" s="2564"/>
      <c r="AD8" s="2564"/>
      <c r="AE8" s="2564"/>
      <c r="AF8" s="2564"/>
      <c r="AG8" s="2564"/>
      <c r="AH8" s="2564"/>
      <c r="AI8" s="2564"/>
      <c r="AJ8" s="2564"/>
      <c r="AK8" s="2564"/>
      <c r="AL8" s="2564"/>
      <c r="AM8" s="2564"/>
    </row>
    <row r="9" spans="1:40" ht="13" customHeight="1">
      <c r="B9" s="296"/>
      <c r="T9" s="2564"/>
      <c r="U9" s="2564"/>
      <c r="V9" s="2564"/>
      <c r="W9" s="2564"/>
      <c r="X9" s="2564"/>
      <c r="Y9" s="2564"/>
      <c r="Z9" s="2564"/>
      <c r="AA9" s="2564"/>
      <c r="AB9" s="2564"/>
      <c r="AC9" s="2564"/>
      <c r="AD9" s="2564"/>
      <c r="AE9" s="2564"/>
      <c r="AF9" s="2564"/>
      <c r="AG9" s="2564"/>
      <c r="AH9" s="2564"/>
      <c r="AI9" s="2564"/>
      <c r="AJ9" s="2564"/>
      <c r="AK9" s="2564"/>
      <c r="AL9" s="2564"/>
      <c r="AM9" s="2564"/>
    </row>
    <row r="10" spans="1:40" ht="13" customHeight="1">
      <c r="B10" s="297"/>
      <c r="C10" s="298"/>
      <c r="D10" s="298"/>
      <c r="E10" s="298"/>
      <c r="F10" s="298"/>
      <c r="G10" s="298"/>
      <c r="H10" s="298"/>
      <c r="I10" s="298"/>
      <c r="J10" s="298"/>
      <c r="K10" s="298"/>
      <c r="L10" s="298"/>
      <c r="M10" s="298"/>
      <c r="N10" s="298"/>
      <c r="O10" s="298"/>
      <c r="P10" s="298"/>
      <c r="Q10" s="298"/>
      <c r="R10" s="298"/>
      <c r="S10" s="298"/>
      <c r="T10" s="2564"/>
      <c r="U10" s="2564"/>
      <c r="V10" s="2564"/>
      <c r="W10" s="2564"/>
      <c r="X10" s="2564"/>
      <c r="Y10" s="2564"/>
      <c r="Z10" s="2564"/>
      <c r="AA10" s="2564"/>
      <c r="AB10" s="2564"/>
      <c r="AC10" s="2564"/>
      <c r="AD10" s="2564"/>
      <c r="AE10" s="2564"/>
      <c r="AF10" s="2564"/>
      <c r="AG10" s="2564"/>
      <c r="AH10" s="2564"/>
      <c r="AI10" s="2564"/>
      <c r="AJ10" s="2564"/>
      <c r="AK10" s="2564"/>
      <c r="AL10" s="2564"/>
      <c r="AM10" s="2564"/>
    </row>
    <row r="11" spans="1:40" ht="13" customHeight="1">
      <c r="B11" s="2543" t="s">
        <v>1940</v>
      </c>
      <c r="C11" s="2544"/>
      <c r="D11" s="2544"/>
      <c r="E11" s="2544"/>
      <c r="F11" s="2544"/>
      <c r="G11" s="2544"/>
      <c r="H11" s="2544"/>
      <c r="I11" s="2544"/>
      <c r="J11" s="2544"/>
      <c r="K11" s="2544"/>
      <c r="L11" s="2544"/>
      <c r="M11" s="2544"/>
      <c r="N11" s="2544"/>
      <c r="O11" s="2544"/>
      <c r="P11" s="2544"/>
      <c r="Q11" s="2544"/>
      <c r="R11" s="2544"/>
      <c r="S11" s="2545"/>
      <c r="T11" s="2565">
        <f>IF('Sources and Basis Breakdown'!F107=0,'Sources and Basis Breakdown'!E107,'Sources and Basis Breakdown'!F107)</f>
        <v>48731881.799999997</v>
      </c>
      <c r="U11" s="2566"/>
      <c r="V11" s="2566"/>
      <c r="W11" s="2566"/>
      <c r="X11" s="2566"/>
      <c r="Y11" s="2565">
        <f>IF(Y7="",0,IF('Sources and Basis Breakdown'!G107+'Sources and Basis Breakdown'!F107='Sources and Basis Breakdown'!E107,'Sources and Basis Breakdown'!G107,0))</f>
        <v>0</v>
      </c>
      <c r="Z11" s="2566"/>
      <c r="AA11" s="2566"/>
      <c r="AB11" s="2566"/>
      <c r="AC11" s="2566"/>
      <c r="AD11" s="2566">
        <f>IF('Sources and Basis Breakdown'!I107=0,'Sources and Basis Breakdown'!H107,'Sources and Basis Breakdown'!I107)</f>
        <v>0</v>
      </c>
      <c r="AE11" s="2566"/>
      <c r="AF11" s="2566"/>
      <c r="AG11" s="2566"/>
      <c r="AH11" s="2566"/>
      <c r="AI11" s="2566">
        <f>IF(Y7="",0,IF('Sources and Basis Breakdown'!I107+'Sources and Basis Breakdown'!J107='Sources and Basis Breakdown'!H107,'Sources and Basis Breakdown'!J107,0))</f>
        <v>0</v>
      </c>
      <c r="AJ11" s="2566"/>
      <c r="AK11" s="2566"/>
      <c r="AL11" s="2566"/>
      <c r="AM11" s="2566"/>
    </row>
    <row r="12" spans="1:40" ht="13" customHeight="1">
      <c r="B12" s="2558" t="s">
        <v>2660</v>
      </c>
      <c r="C12" s="1242"/>
      <c r="D12" s="1242"/>
      <c r="E12" s="1242"/>
      <c r="F12" s="1242"/>
      <c r="G12" s="1242"/>
      <c r="H12" s="1242"/>
      <c r="I12" s="1242"/>
      <c r="J12" s="1242"/>
      <c r="K12" s="1242"/>
      <c r="L12" s="1242"/>
      <c r="M12" s="1242"/>
      <c r="N12" s="1242"/>
      <c r="O12" s="1242"/>
      <c r="P12" s="1242"/>
      <c r="Q12" s="1242"/>
      <c r="R12" s="1242"/>
      <c r="S12" s="2559"/>
      <c r="T12" s="2531"/>
      <c r="U12" s="2532"/>
      <c r="V12" s="2532"/>
      <c r="W12" s="2532"/>
      <c r="X12" s="2533"/>
      <c r="Y12" s="2531"/>
      <c r="Z12" s="2532"/>
      <c r="AA12" s="2532"/>
      <c r="AB12" s="2532"/>
      <c r="AC12" s="2533"/>
      <c r="AD12" s="2531"/>
      <c r="AE12" s="2532"/>
      <c r="AF12" s="2532"/>
      <c r="AG12" s="2532"/>
      <c r="AH12" s="2533"/>
      <c r="AI12" s="2531"/>
      <c r="AJ12" s="2532"/>
      <c r="AK12" s="2532"/>
      <c r="AL12" s="2532"/>
      <c r="AM12" s="2533"/>
    </row>
    <row r="13" spans="1:40" ht="13" customHeight="1">
      <c r="B13" s="323"/>
      <c r="C13" s="2560" t="s">
        <v>2661</v>
      </c>
      <c r="D13" s="2560"/>
      <c r="E13" s="2560"/>
      <c r="F13" s="2560"/>
      <c r="G13" s="2560"/>
      <c r="H13" s="2560"/>
      <c r="I13" s="2560"/>
      <c r="J13" s="2560"/>
      <c r="K13" s="2560"/>
      <c r="L13" s="2560"/>
      <c r="M13" s="2560"/>
      <c r="N13" s="2560"/>
      <c r="O13" s="2560"/>
      <c r="P13" s="2560"/>
      <c r="Q13" s="2560"/>
      <c r="R13" s="2560"/>
      <c r="S13" s="2561"/>
      <c r="T13" s="2567"/>
      <c r="U13" s="2568"/>
      <c r="V13" s="2568"/>
      <c r="W13" s="2568"/>
      <c r="X13" s="2568"/>
      <c r="Y13" s="2567"/>
      <c r="Z13" s="2568"/>
      <c r="AA13" s="2568"/>
      <c r="AB13" s="2568"/>
      <c r="AC13" s="2568"/>
      <c r="AD13" s="2568"/>
      <c r="AE13" s="2568"/>
      <c r="AF13" s="2568"/>
      <c r="AG13" s="2568"/>
      <c r="AH13" s="2568"/>
      <c r="AI13" s="2568"/>
      <c r="AJ13" s="2568"/>
      <c r="AK13" s="2568"/>
      <c r="AL13" s="2568"/>
      <c r="AM13" s="2568"/>
    </row>
    <row r="14" spans="1:40" ht="13" customHeight="1">
      <c r="B14" s="323"/>
      <c r="C14" s="2560" t="s">
        <v>2662</v>
      </c>
      <c r="D14" s="2560"/>
      <c r="E14" s="2560"/>
      <c r="F14" s="2560"/>
      <c r="G14" s="2560"/>
      <c r="H14" s="2560"/>
      <c r="I14" s="2560"/>
      <c r="J14" s="2560"/>
      <c r="K14" s="2560"/>
      <c r="L14" s="2560"/>
      <c r="M14" s="2560"/>
      <c r="N14" s="2560"/>
      <c r="O14" s="2560"/>
      <c r="P14" s="2560"/>
      <c r="Q14" s="2560"/>
      <c r="R14" s="2560"/>
      <c r="S14" s="2561"/>
      <c r="T14" s="2534"/>
      <c r="U14" s="2535"/>
      <c r="V14" s="2535"/>
      <c r="W14" s="2535"/>
      <c r="X14" s="2535"/>
      <c r="Y14" s="2534"/>
      <c r="Z14" s="2535"/>
      <c r="AA14" s="2535"/>
      <c r="AB14" s="2535"/>
      <c r="AC14" s="2535"/>
      <c r="AD14" s="2535"/>
      <c r="AE14" s="2535"/>
      <c r="AF14" s="2535"/>
      <c r="AG14" s="2535"/>
      <c r="AH14" s="2535"/>
      <c r="AI14" s="2535"/>
      <c r="AJ14" s="2535"/>
      <c r="AK14" s="2535"/>
      <c r="AL14" s="2535"/>
      <c r="AM14" s="2535"/>
    </row>
    <row r="15" spans="1:40" ht="13" customHeight="1">
      <c r="B15" s="323"/>
      <c r="C15" s="2560" t="s">
        <v>2663</v>
      </c>
      <c r="D15" s="2560"/>
      <c r="E15" s="2560"/>
      <c r="F15" s="2560"/>
      <c r="G15" s="2560"/>
      <c r="H15" s="2560"/>
      <c r="I15" s="2560"/>
      <c r="J15" s="2560"/>
      <c r="K15" s="2560"/>
      <c r="L15" s="2560"/>
      <c r="M15" s="2560"/>
      <c r="N15" s="2560"/>
      <c r="O15" s="2560"/>
      <c r="P15" s="2560"/>
      <c r="Q15" s="2560"/>
      <c r="R15" s="2560"/>
      <c r="S15" s="2561"/>
      <c r="T15" s="2534"/>
      <c r="U15" s="2535"/>
      <c r="V15" s="2535"/>
      <c r="W15" s="2535"/>
      <c r="X15" s="2535"/>
      <c r="Y15" s="2534"/>
      <c r="Z15" s="2535"/>
      <c r="AA15" s="2535"/>
      <c r="AB15" s="2535"/>
      <c r="AC15" s="2535"/>
      <c r="AD15" s="2535"/>
      <c r="AE15" s="2535"/>
      <c r="AF15" s="2535"/>
      <c r="AG15" s="2535"/>
      <c r="AH15" s="2535"/>
      <c r="AI15" s="2535"/>
      <c r="AJ15" s="2535"/>
      <c r="AK15" s="2535"/>
      <c r="AL15" s="2535"/>
      <c r="AM15" s="2535"/>
    </row>
    <row r="16" spans="1:40" ht="13" customHeight="1">
      <c r="B16" s="323"/>
      <c r="C16" s="2560" t="s">
        <v>2664</v>
      </c>
      <c r="D16" s="2560"/>
      <c r="E16" s="2560"/>
      <c r="F16" s="2560"/>
      <c r="G16" s="2560"/>
      <c r="H16" s="2560"/>
      <c r="I16" s="2560"/>
      <c r="J16" s="2560"/>
      <c r="K16" s="2560"/>
      <c r="L16" s="2560"/>
      <c r="M16" s="2560"/>
      <c r="N16" s="2560"/>
      <c r="O16" s="2560"/>
      <c r="P16" s="2560"/>
      <c r="Q16" s="2560"/>
      <c r="R16" s="2560"/>
      <c r="S16" s="2561"/>
      <c r="T16" s="2534"/>
      <c r="U16" s="2535"/>
      <c r="V16" s="2535"/>
      <c r="W16" s="2535"/>
      <c r="X16" s="2535"/>
      <c r="Y16" s="2534"/>
      <c r="Z16" s="2535"/>
      <c r="AA16" s="2535"/>
      <c r="AB16" s="2535"/>
      <c r="AC16" s="2535"/>
      <c r="AD16" s="2535"/>
      <c r="AE16" s="2535"/>
      <c r="AF16" s="2535"/>
      <c r="AG16" s="2535"/>
      <c r="AH16" s="2535"/>
      <c r="AI16" s="2535"/>
      <c r="AJ16" s="2535"/>
      <c r="AK16" s="2535"/>
      <c r="AL16" s="2535"/>
      <c r="AM16" s="2535"/>
    </row>
    <row r="17" spans="1:40" ht="13" customHeight="1">
      <c r="B17" s="323"/>
      <c r="C17" s="2560" t="s">
        <v>2665</v>
      </c>
      <c r="D17" s="2560"/>
      <c r="E17" s="2560"/>
      <c r="F17" s="2560"/>
      <c r="G17" s="2560"/>
      <c r="H17" s="2560"/>
      <c r="I17" s="2560"/>
      <c r="J17" s="2560"/>
      <c r="K17" s="2560"/>
      <c r="L17" s="2560"/>
      <c r="M17" s="2560"/>
      <c r="N17" s="2560"/>
      <c r="O17" s="2560"/>
      <c r="P17" s="2560"/>
      <c r="Q17" s="2560"/>
      <c r="R17" s="2560"/>
      <c r="S17" s="2561"/>
      <c r="T17" s="2534"/>
      <c r="U17" s="2535"/>
      <c r="V17" s="2535"/>
      <c r="W17" s="2535"/>
      <c r="X17" s="2535"/>
      <c r="Y17" s="2534"/>
      <c r="Z17" s="2535"/>
      <c r="AA17" s="2535"/>
      <c r="AB17" s="2535"/>
      <c r="AC17" s="2535"/>
      <c r="AD17" s="2535"/>
      <c r="AE17" s="2535"/>
      <c r="AF17" s="2535"/>
      <c r="AG17" s="2535"/>
      <c r="AH17" s="2535"/>
      <c r="AI17" s="2535"/>
      <c r="AJ17" s="2535"/>
      <c r="AK17" s="2535"/>
      <c r="AL17" s="2535"/>
      <c r="AM17" s="2535"/>
    </row>
    <row r="18" spans="1:40" ht="13" customHeight="1">
      <c r="A18"/>
      <c r="B18" s="962"/>
      <c r="C18" s="1666" t="s">
        <v>2666</v>
      </c>
      <c r="D18" s="1666"/>
      <c r="E18" s="1666"/>
      <c r="F18" s="1666"/>
      <c r="G18" s="1666"/>
      <c r="H18" s="1666"/>
      <c r="I18" s="1666"/>
      <c r="J18" s="1666"/>
      <c r="K18" s="1666"/>
      <c r="L18" s="1666"/>
      <c r="M18" s="1666"/>
      <c r="N18" s="1666"/>
      <c r="O18" s="1666"/>
      <c r="P18" s="1666"/>
      <c r="Q18" s="1666"/>
      <c r="R18" s="1666"/>
      <c r="S18" s="1667"/>
      <c r="T18" s="2534"/>
      <c r="U18" s="2535"/>
      <c r="V18" s="2535"/>
      <c r="W18" s="2535"/>
      <c r="X18" s="2535"/>
      <c r="Y18" s="2534"/>
      <c r="Z18" s="2535"/>
      <c r="AA18" s="2535"/>
      <c r="AB18" s="2535"/>
      <c r="AC18" s="2535"/>
      <c r="AD18" s="2535"/>
      <c r="AE18" s="2535"/>
      <c r="AF18" s="2535"/>
      <c r="AG18" s="2535"/>
      <c r="AH18" s="2535"/>
      <c r="AI18" s="2535"/>
      <c r="AJ18" s="2535"/>
      <c r="AK18" s="2535"/>
      <c r="AL18" s="2535"/>
      <c r="AM18" s="2535"/>
    </row>
    <row r="19" spans="1:40" ht="13" customHeight="1">
      <c r="B19" s="962"/>
      <c r="C19" s="1666" t="s">
        <v>2666</v>
      </c>
      <c r="D19" s="1666"/>
      <c r="E19" s="1666"/>
      <c r="F19" s="1666"/>
      <c r="G19" s="1666"/>
      <c r="H19" s="1666"/>
      <c r="I19" s="1666"/>
      <c r="J19" s="1666"/>
      <c r="K19" s="1666"/>
      <c r="L19" s="1666"/>
      <c r="M19" s="1666"/>
      <c r="N19" s="1666"/>
      <c r="O19" s="1666"/>
      <c r="P19" s="1666"/>
      <c r="Q19" s="1666"/>
      <c r="R19" s="1666"/>
      <c r="S19" s="1667"/>
      <c r="T19" s="2534"/>
      <c r="U19" s="2535"/>
      <c r="V19" s="2535"/>
      <c r="W19" s="2535"/>
      <c r="X19" s="2535"/>
      <c r="Y19" s="2534"/>
      <c r="Z19" s="2535"/>
      <c r="AA19" s="2535"/>
      <c r="AB19" s="2535"/>
      <c r="AC19" s="2535"/>
      <c r="AD19" s="2535"/>
      <c r="AE19" s="2535"/>
      <c r="AF19" s="2535"/>
      <c r="AG19" s="2535"/>
      <c r="AH19" s="2535"/>
      <c r="AI19" s="2535"/>
      <c r="AJ19" s="2535"/>
      <c r="AK19" s="2535"/>
      <c r="AL19" s="2535"/>
      <c r="AM19" s="2535"/>
    </row>
    <row r="20" spans="1:40" ht="13" customHeight="1">
      <c r="B20" s="2543" t="s">
        <v>2667</v>
      </c>
      <c r="C20" s="2544"/>
      <c r="D20" s="2544"/>
      <c r="E20" s="2544"/>
      <c r="F20" s="2544"/>
      <c r="G20" s="2544"/>
      <c r="H20" s="2544"/>
      <c r="I20" s="2544"/>
      <c r="J20" s="2544"/>
      <c r="K20" s="2544"/>
      <c r="L20" s="2544"/>
      <c r="M20" s="2544"/>
      <c r="N20" s="2544"/>
      <c r="O20" s="2544"/>
      <c r="P20" s="2544"/>
      <c r="Q20" s="2544"/>
      <c r="R20" s="2544"/>
      <c r="S20" s="2545"/>
      <c r="T20" s="2536">
        <f>SUM(T13:X19)</f>
        <v>0</v>
      </c>
      <c r="U20" s="2537"/>
      <c r="V20" s="2537"/>
      <c r="W20" s="2537"/>
      <c r="X20" s="2537"/>
      <c r="Y20" s="2536">
        <f>SUM(Y13:AC19)</f>
        <v>0</v>
      </c>
      <c r="Z20" s="2537"/>
      <c r="AA20" s="2537"/>
      <c r="AB20" s="2537"/>
      <c r="AC20" s="2537"/>
      <c r="AD20" s="2538">
        <f>SUM(AD13:AH19)</f>
        <v>0</v>
      </c>
      <c r="AE20" s="2539"/>
      <c r="AF20" s="2539"/>
      <c r="AG20" s="2539"/>
      <c r="AH20" s="2536"/>
      <c r="AI20" s="2538">
        <f>SUM(AI13:AM19)</f>
        <v>0</v>
      </c>
      <c r="AJ20" s="2539"/>
      <c r="AK20" s="2539"/>
      <c r="AL20" s="2539"/>
      <c r="AM20" s="2536"/>
    </row>
    <row r="21" spans="1:40" ht="13" customHeight="1">
      <c r="B21" s="2543" t="s">
        <v>2668</v>
      </c>
      <c r="C21" s="2544"/>
      <c r="D21" s="2544"/>
      <c r="E21" s="2544"/>
      <c r="F21" s="2544"/>
      <c r="G21" s="2544"/>
      <c r="H21" s="2544"/>
      <c r="I21" s="2544"/>
      <c r="J21" s="2544"/>
      <c r="K21" s="2544"/>
      <c r="L21" s="2544"/>
      <c r="M21" s="2544"/>
      <c r="N21" s="2544"/>
      <c r="O21" s="2544"/>
      <c r="P21" s="2544"/>
      <c r="Q21" s="2544"/>
      <c r="R21" s="2544"/>
      <c r="S21" s="2545"/>
      <c r="T21" s="2534"/>
      <c r="U21" s="2535"/>
      <c r="V21" s="2535"/>
      <c r="W21" s="2535"/>
      <c r="X21" s="2535"/>
      <c r="Y21" s="2534"/>
      <c r="Z21" s="2535"/>
      <c r="AA21" s="2535"/>
      <c r="AB21" s="2535"/>
      <c r="AC21" s="2535"/>
      <c r="AD21" s="2531"/>
      <c r="AE21" s="2532"/>
      <c r="AF21" s="2532"/>
      <c r="AG21" s="2532"/>
      <c r="AH21" s="2533"/>
      <c r="AI21" s="2531"/>
      <c r="AJ21" s="2532"/>
      <c r="AK21" s="2532"/>
      <c r="AL21" s="2532"/>
      <c r="AM21" s="2533"/>
    </row>
    <row r="22" spans="1:40" ht="13" customHeight="1">
      <c r="B22" s="2543" t="s">
        <v>2669</v>
      </c>
      <c r="C22" s="2544"/>
      <c r="D22" s="2544"/>
      <c r="E22" s="2544"/>
      <c r="F22" s="2544"/>
      <c r="G22" s="2544"/>
      <c r="H22" s="2544"/>
      <c r="I22" s="2544"/>
      <c r="J22" s="2544"/>
      <c r="K22" s="2544"/>
      <c r="L22" s="2544"/>
      <c r="M22" s="2544"/>
      <c r="N22" s="2544"/>
      <c r="O22" s="2544"/>
      <c r="P22" s="2544"/>
      <c r="Q22" s="2544"/>
      <c r="R22" s="2544"/>
      <c r="S22" s="2545"/>
      <c r="T22" s="2569">
        <f>(ABS(T20)+ABS(T21))*-1</f>
        <v>0</v>
      </c>
      <c r="U22" s="2570"/>
      <c r="V22" s="2570"/>
      <c r="W22" s="2570"/>
      <c r="X22" s="2570"/>
      <c r="Y22" s="2569">
        <f>(Y20+Y21)*-1</f>
        <v>0</v>
      </c>
      <c r="Z22" s="2570"/>
      <c r="AA22" s="2570"/>
      <c r="AB22" s="2570"/>
      <c r="AC22" s="2570"/>
      <c r="AD22" s="2571">
        <f>(AD20)*-1</f>
        <v>0</v>
      </c>
      <c r="AE22" s="2572"/>
      <c r="AF22" s="2572"/>
      <c r="AG22" s="2572"/>
      <c r="AH22" s="2569"/>
      <c r="AI22" s="2571">
        <f>(AI20)*-1</f>
        <v>0</v>
      </c>
      <c r="AJ22" s="2572"/>
      <c r="AK22" s="2572"/>
      <c r="AL22" s="2572"/>
      <c r="AM22" s="2569"/>
    </row>
    <row r="23" spans="1:40" ht="13" customHeight="1">
      <c r="B23" s="2543" t="s">
        <v>2670</v>
      </c>
      <c r="C23" s="2544"/>
      <c r="D23" s="2544"/>
      <c r="E23" s="2544"/>
      <c r="F23" s="2544"/>
      <c r="G23" s="2544"/>
      <c r="H23" s="2544"/>
      <c r="I23" s="2544"/>
      <c r="J23" s="2544"/>
      <c r="K23" s="2544"/>
      <c r="L23" s="2544"/>
      <c r="M23" s="2544"/>
      <c r="N23" s="2544"/>
      <c r="O23" s="2544"/>
      <c r="P23" s="2544"/>
      <c r="Q23" s="2544"/>
      <c r="R23" s="2544"/>
      <c r="S23" s="2545"/>
      <c r="T23" s="2536">
        <f>T11+T22</f>
        <v>48731881.799999997</v>
      </c>
      <c r="U23" s="2537"/>
      <c r="V23" s="2537"/>
      <c r="W23" s="2537"/>
      <c r="X23" s="2537"/>
      <c r="Y23" s="2536">
        <f>Y11+Y22</f>
        <v>0</v>
      </c>
      <c r="Z23" s="2537"/>
      <c r="AA23" s="2537"/>
      <c r="AB23" s="2537"/>
      <c r="AC23" s="2537"/>
      <c r="AD23" s="2536">
        <f>AD11+AD22</f>
        <v>0</v>
      </c>
      <c r="AE23" s="2537"/>
      <c r="AF23" s="2537"/>
      <c r="AG23" s="2537"/>
      <c r="AH23" s="2537"/>
      <c r="AI23" s="2536">
        <f>AI11+AI22</f>
        <v>0</v>
      </c>
      <c r="AJ23" s="2537"/>
      <c r="AK23" s="2537"/>
      <c r="AL23" s="2537"/>
      <c r="AM23" s="2537"/>
    </row>
    <row r="24" spans="1:40" ht="13" customHeight="1">
      <c r="B24" s="2543" t="s">
        <v>2671</v>
      </c>
      <c r="C24" s="2544"/>
      <c r="D24" s="2544"/>
      <c r="E24" s="2544"/>
      <c r="F24" s="2544"/>
      <c r="G24" s="2544"/>
      <c r="H24" s="2544"/>
      <c r="I24" s="2544"/>
      <c r="J24" s="2544"/>
      <c r="K24" s="2544"/>
      <c r="L24" s="2544"/>
      <c r="M24" s="2544"/>
      <c r="N24" s="2544"/>
      <c r="O24" s="2544"/>
      <c r="P24" s="2544"/>
      <c r="Q24" s="2544"/>
      <c r="R24" s="2544"/>
      <c r="S24" s="2545"/>
      <c r="T24" s="2538">
        <f>Application!AJ1052</f>
        <v>115064917</v>
      </c>
      <c r="U24" s="2539"/>
      <c r="V24" s="2539"/>
      <c r="W24" s="2539"/>
      <c r="X24" s="2539"/>
      <c r="Y24" s="2539"/>
      <c r="Z24" s="2539"/>
      <c r="AA24" s="2539"/>
      <c r="AB24" s="2539"/>
      <c r="AC24" s="2539"/>
      <c r="AD24" s="2539"/>
      <c r="AE24" s="2539"/>
      <c r="AF24" s="2539"/>
      <c r="AG24" s="2539"/>
      <c r="AH24" s="2539"/>
      <c r="AI24" s="2539"/>
      <c r="AJ24" s="2539"/>
      <c r="AK24" s="2539"/>
      <c r="AL24" s="2539"/>
      <c r="AM24" s="2536"/>
    </row>
    <row r="25" spans="1:40" ht="13" customHeight="1">
      <c r="B25" s="2547" t="s">
        <v>2672</v>
      </c>
      <c r="C25" s="2548"/>
      <c r="D25" s="2548"/>
      <c r="E25" s="2548"/>
      <c r="F25" s="2548"/>
      <c r="G25" s="2548"/>
      <c r="H25" s="2548"/>
      <c r="I25" s="2548"/>
      <c r="J25" s="2548"/>
      <c r="K25" s="2548"/>
      <c r="L25" s="2548"/>
      <c r="M25" s="2548"/>
      <c r="N25" s="2548"/>
      <c r="O25" s="2548"/>
      <c r="P25" s="2548"/>
      <c r="Q25" s="2548"/>
      <c r="R25" s="2548"/>
      <c r="S25" s="2549"/>
      <c r="T25" s="2573">
        <f>IF(OR(Application!T196="yes",Application!T195="yes"),1.3,1)</f>
        <v>1.3</v>
      </c>
      <c r="U25" s="2574"/>
      <c r="V25" s="2574"/>
      <c r="W25" s="2574"/>
      <c r="X25" s="2574"/>
      <c r="Y25" s="2573">
        <v>1</v>
      </c>
      <c r="Z25" s="2574"/>
      <c r="AA25" s="2574"/>
      <c r="AB25" s="2574"/>
      <c r="AC25" s="2574"/>
      <c r="AD25" s="2573">
        <v>1</v>
      </c>
      <c r="AE25" s="2574"/>
      <c r="AF25" s="2574"/>
      <c r="AG25" s="2574"/>
      <c r="AH25" s="2575"/>
      <c r="AI25" s="2573">
        <v>1</v>
      </c>
      <c r="AJ25" s="2574"/>
      <c r="AK25" s="2574"/>
      <c r="AL25" s="2574"/>
      <c r="AM25" s="2575"/>
    </row>
    <row r="26" spans="1:40" ht="13" customHeight="1">
      <c r="B26" s="2543" t="s">
        <v>2673</v>
      </c>
      <c r="C26" s="2544"/>
      <c r="D26" s="2544"/>
      <c r="E26" s="2544"/>
      <c r="F26" s="2544"/>
      <c r="G26" s="2544"/>
      <c r="H26" s="2544"/>
      <c r="I26" s="2544"/>
      <c r="J26" s="2544"/>
      <c r="K26" s="2544"/>
      <c r="L26" s="2544"/>
      <c r="M26" s="2544"/>
      <c r="N26" s="2544"/>
      <c r="O26" s="2544"/>
      <c r="P26" s="2544"/>
      <c r="Q26" s="2544"/>
      <c r="R26" s="2544"/>
      <c r="S26" s="2545"/>
      <c r="T26" s="2536">
        <f>T23*T25</f>
        <v>63351446.339999996</v>
      </c>
      <c r="U26" s="2537"/>
      <c r="V26" s="2537"/>
      <c r="W26" s="2537"/>
      <c r="X26" s="2537"/>
      <c r="Y26" s="2536">
        <f>Y23*Y25</f>
        <v>0</v>
      </c>
      <c r="Z26" s="2537"/>
      <c r="AA26" s="2537"/>
      <c r="AB26" s="2537"/>
      <c r="AC26" s="2537"/>
      <c r="AD26" s="2536">
        <f>AD23*AD25</f>
        <v>0</v>
      </c>
      <c r="AE26" s="2537"/>
      <c r="AF26" s="2537"/>
      <c r="AG26" s="2537"/>
      <c r="AH26" s="2537"/>
      <c r="AI26" s="2536">
        <f>AI23*AI25</f>
        <v>0</v>
      </c>
      <c r="AJ26" s="2537"/>
      <c r="AK26" s="2537"/>
      <c r="AL26" s="2537"/>
      <c r="AM26" s="2537"/>
    </row>
    <row r="27" spans="1:40" ht="13" customHeight="1">
      <c r="A27" s="299"/>
      <c r="B27" s="2550" t="s">
        <v>2674</v>
      </c>
      <c r="C27" s="2551"/>
      <c r="D27" s="2551"/>
      <c r="E27" s="2551"/>
      <c r="F27" s="2551"/>
      <c r="G27" s="2551"/>
      <c r="H27" s="2551"/>
      <c r="I27" s="2551"/>
      <c r="J27" s="2551"/>
      <c r="K27" s="2551"/>
      <c r="L27" s="2551"/>
      <c r="M27" s="2551"/>
      <c r="N27" s="2551"/>
      <c r="O27" s="2551"/>
      <c r="P27" s="2551"/>
      <c r="Q27" s="2551"/>
      <c r="R27" s="2551"/>
      <c r="S27" s="2552"/>
      <c r="T27" s="2556">
        <f>Application!$AG$445</f>
        <v>1</v>
      </c>
      <c r="U27" s="2557"/>
      <c r="V27" s="2557"/>
      <c r="W27" s="2557"/>
      <c r="X27" s="2557"/>
      <c r="Y27" s="2556">
        <f>Application!$AG$445</f>
        <v>1</v>
      </c>
      <c r="Z27" s="2557"/>
      <c r="AA27" s="2557"/>
      <c r="AB27" s="2557"/>
      <c r="AC27" s="2557"/>
      <c r="AD27" s="2556">
        <f>Application!$AG$445</f>
        <v>1</v>
      </c>
      <c r="AE27" s="2557"/>
      <c r="AF27" s="2557"/>
      <c r="AG27" s="2557"/>
      <c r="AH27" s="2557"/>
      <c r="AI27" s="2556">
        <f>Application!$AG$445</f>
        <v>1</v>
      </c>
      <c r="AJ27" s="2557"/>
      <c r="AK27" s="2557"/>
      <c r="AL27" s="2557"/>
      <c r="AM27" s="2557"/>
    </row>
    <row r="28" spans="1:40" ht="13" customHeight="1">
      <c r="A28" s="293"/>
      <c r="B28" s="2543" t="s">
        <v>2675</v>
      </c>
      <c r="C28" s="2544"/>
      <c r="D28" s="2544"/>
      <c r="E28" s="2544"/>
      <c r="F28" s="2544"/>
      <c r="G28" s="2544"/>
      <c r="H28" s="2544"/>
      <c r="I28" s="2544"/>
      <c r="J28" s="2544"/>
      <c r="K28" s="2544"/>
      <c r="L28" s="2544"/>
      <c r="M28" s="2544"/>
      <c r="N28" s="2544"/>
      <c r="O28" s="2544"/>
      <c r="P28" s="2544"/>
      <c r="Q28" s="2544"/>
      <c r="R28" s="2544"/>
      <c r="S28" s="2545"/>
      <c r="T28" s="2536">
        <f>IF(ISERROR((T26*T27)),0,(T26*T27))</f>
        <v>63351446.339999996</v>
      </c>
      <c r="U28" s="2537"/>
      <c r="V28" s="2537"/>
      <c r="W28" s="2537"/>
      <c r="X28" s="2537"/>
      <c r="Y28" s="2536">
        <f>IF(ISERROR((Y26*Y27)),0,(Y26*Y27))</f>
        <v>0</v>
      </c>
      <c r="Z28" s="2537"/>
      <c r="AA28" s="2537"/>
      <c r="AB28" s="2537"/>
      <c r="AC28" s="2537"/>
      <c r="AD28" s="2536">
        <f>IF(ISERROR((AD26*AD27)),0,(AD26*AD27))</f>
        <v>0</v>
      </c>
      <c r="AE28" s="2537"/>
      <c r="AF28" s="2537"/>
      <c r="AG28" s="2537"/>
      <c r="AH28" s="2537"/>
      <c r="AI28" s="2536">
        <f>IF(ISERROR((AI26*AI27)),0,(AI26*AI27))</f>
        <v>0</v>
      </c>
      <c r="AJ28" s="2537"/>
      <c r="AK28" s="2537"/>
      <c r="AL28" s="2537"/>
      <c r="AM28" s="2537"/>
    </row>
    <row r="29" spans="1:40" ht="13" customHeight="1">
      <c r="B29" s="2543" t="s">
        <v>2676</v>
      </c>
      <c r="C29" s="2544"/>
      <c r="D29" s="2544"/>
      <c r="E29" s="2544"/>
      <c r="F29" s="2544"/>
      <c r="G29" s="2544"/>
      <c r="H29" s="2544"/>
      <c r="I29" s="2544"/>
      <c r="J29" s="2544"/>
      <c r="K29" s="2544"/>
      <c r="L29" s="2544"/>
      <c r="M29" s="2544"/>
      <c r="N29" s="2544"/>
      <c r="O29" s="2544"/>
      <c r="P29" s="2544"/>
      <c r="Q29" s="2544"/>
      <c r="R29" s="2544"/>
      <c r="S29" s="2545"/>
      <c r="T29" s="2538">
        <f>T28+Y28+AD28+AI28</f>
        <v>63351446.339999996</v>
      </c>
      <c r="U29" s="2539"/>
      <c r="V29" s="2539"/>
      <c r="W29" s="2539"/>
      <c r="X29" s="2539"/>
      <c r="Y29" s="2539"/>
      <c r="Z29" s="2539"/>
      <c r="AA29" s="2539"/>
      <c r="AB29" s="2539"/>
      <c r="AC29" s="2539"/>
      <c r="AD29" s="2539"/>
      <c r="AE29" s="2539"/>
      <c r="AF29" s="2539"/>
      <c r="AG29" s="2539"/>
      <c r="AH29" s="2539"/>
      <c r="AI29" s="2539"/>
      <c r="AJ29" s="2539"/>
      <c r="AK29" s="2539"/>
      <c r="AL29" s="2539"/>
      <c r="AM29" s="2536"/>
    </row>
    <row r="30" spans="1:40" ht="13" customHeight="1">
      <c r="B30" s="2546" t="s">
        <v>2677</v>
      </c>
      <c r="C30" s="2546"/>
      <c r="D30" s="2546"/>
      <c r="E30" s="2546"/>
      <c r="F30" s="2546"/>
      <c r="G30" s="2546"/>
      <c r="H30" s="2546"/>
      <c r="I30" s="2546"/>
      <c r="J30" s="2546"/>
      <c r="K30" s="2546"/>
      <c r="L30" s="2546"/>
      <c r="M30" s="2546"/>
      <c r="N30" s="2546"/>
      <c r="O30" s="2546"/>
      <c r="P30" s="2546"/>
      <c r="Q30" s="2546"/>
      <c r="R30" s="2546"/>
      <c r="S30" s="2546"/>
      <c r="T30" s="2546"/>
      <c r="U30" s="2546"/>
      <c r="V30" s="2546"/>
      <c r="W30" s="2546"/>
      <c r="X30" s="2546"/>
      <c r="Y30" s="2546"/>
      <c r="Z30" s="2546"/>
      <c r="AA30" s="2546"/>
      <c r="AB30" s="2546"/>
      <c r="AC30" s="2546"/>
      <c r="AD30" s="2546"/>
      <c r="AE30" s="2546"/>
      <c r="AF30" s="2546"/>
      <c r="AG30" s="2546"/>
      <c r="AH30" s="2546"/>
      <c r="AI30" s="2546"/>
      <c r="AJ30" s="2546"/>
      <c r="AK30" s="2546"/>
      <c r="AL30" s="2546"/>
      <c r="AM30" s="2546"/>
    </row>
    <row r="31" spans="1:40" ht="13" customHeight="1">
      <c r="B31" s="2546" t="s">
        <v>2678</v>
      </c>
      <c r="C31" s="2546"/>
      <c r="D31" s="2546"/>
      <c r="E31" s="2546"/>
      <c r="F31" s="2546"/>
      <c r="G31" s="2546"/>
      <c r="H31" s="2546"/>
      <c r="I31" s="2546"/>
      <c r="J31" s="2546"/>
      <c r="K31" s="2546"/>
      <c r="L31" s="2546"/>
      <c r="M31" s="2546"/>
      <c r="N31" s="2546"/>
      <c r="O31" s="2546"/>
      <c r="P31" s="2546"/>
      <c r="Q31" s="2546"/>
      <c r="R31" s="2546"/>
      <c r="S31" s="2546"/>
      <c r="T31" s="2546"/>
      <c r="U31" s="2546"/>
      <c r="V31" s="2546"/>
      <c r="W31" s="2546"/>
      <c r="X31" s="2546"/>
      <c r="Y31" s="2546"/>
      <c r="Z31" s="2546"/>
      <c r="AA31" s="2546"/>
      <c r="AB31" s="2546"/>
      <c r="AC31" s="2546"/>
      <c r="AD31" s="2546"/>
      <c r="AE31" s="2546"/>
      <c r="AF31" s="2546"/>
      <c r="AG31" s="2546"/>
      <c r="AH31" s="2546"/>
      <c r="AI31" s="2546"/>
      <c r="AJ31" s="2546"/>
      <c r="AK31" s="2546"/>
      <c r="AL31" s="2546"/>
      <c r="AM31" s="2546"/>
      <c r="AN31" s="389"/>
    </row>
    <row r="32" spans="1:40" ht="13" customHeight="1">
      <c r="B32" s="1220"/>
      <c r="C32" s="382" t="s">
        <v>2679</v>
      </c>
      <c r="D32" s="1220"/>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220"/>
      <c r="AM32" s="1220"/>
    </row>
    <row r="34" spans="1:76" ht="13" customHeight="1">
      <c r="A34" s="293" t="s">
        <v>961</v>
      </c>
      <c r="C34" s="293" t="s">
        <v>278</v>
      </c>
    </row>
    <row r="35" spans="1:76" ht="13" customHeight="1">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64" t="s">
        <v>2680</v>
      </c>
      <c r="Z35" s="2564"/>
      <c r="AA35" s="2564"/>
      <c r="AB35" s="2564"/>
      <c r="AC35" s="2564"/>
      <c r="AD35" s="2587" t="s">
        <v>2681</v>
      </c>
      <c r="AE35" s="2587"/>
      <c r="AF35" s="2587"/>
      <c r="AG35" s="2587"/>
      <c r="AH35" s="2587"/>
    </row>
    <row r="36" spans="1:76" ht="13" customHeight="1">
      <c r="B36" s="296"/>
      <c r="X36" s="301"/>
      <c r="Y36" s="2564"/>
      <c r="Z36" s="2564"/>
      <c r="AA36" s="2564"/>
      <c r="AB36" s="2564"/>
      <c r="AC36" s="2564"/>
      <c r="AD36" s="2587"/>
      <c r="AE36" s="2587"/>
      <c r="AF36" s="2587"/>
      <c r="AG36" s="2587"/>
      <c r="AH36" s="2587"/>
    </row>
    <row r="37" spans="1:76" ht="13" customHeight="1">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64"/>
      <c r="Z37" s="2564"/>
      <c r="AA37" s="2564"/>
      <c r="AB37" s="2564"/>
      <c r="AC37" s="2564"/>
      <c r="AD37" s="2587"/>
      <c r="AE37" s="2587"/>
      <c r="AF37" s="2587"/>
      <c r="AG37" s="2587"/>
      <c r="AH37" s="2587"/>
    </row>
    <row r="38" spans="1:76" ht="13" customHeight="1">
      <c r="A38" s="293"/>
      <c r="B38" s="2543" t="s">
        <v>2675</v>
      </c>
      <c r="C38" s="2544"/>
      <c r="D38" s="2544"/>
      <c r="E38" s="2544"/>
      <c r="F38" s="2544"/>
      <c r="G38" s="2544"/>
      <c r="H38" s="2544"/>
      <c r="I38" s="2544"/>
      <c r="J38" s="2544"/>
      <c r="K38" s="2544"/>
      <c r="L38" s="2544"/>
      <c r="M38" s="2544"/>
      <c r="N38" s="2544"/>
      <c r="O38" s="2544"/>
      <c r="P38" s="2544"/>
      <c r="Q38" s="2544"/>
      <c r="R38" s="2544"/>
      <c r="S38" s="2544"/>
      <c r="T38" s="2544"/>
      <c r="U38" s="2544"/>
      <c r="V38" s="2544"/>
      <c r="W38" s="2544"/>
      <c r="X38" s="2545"/>
      <c r="Y38" s="2537">
        <f>IF(T24&gt;=(T23+Y23+AD23+AI23),T28+Y28,0)</f>
        <v>63351446.339999996</v>
      </c>
      <c r="Z38" s="2537"/>
      <c r="AA38" s="2537"/>
      <c r="AB38" s="2537"/>
      <c r="AC38" s="2537"/>
      <c r="AD38" s="2537">
        <f>IF(T24&gt;=(T23+Y23+AD23+AI23),AD28+AI28,0)</f>
        <v>0</v>
      </c>
      <c r="AE38" s="2537"/>
      <c r="AF38" s="2537"/>
      <c r="AG38" s="2537"/>
      <c r="AH38" s="2537"/>
    </row>
    <row r="39" spans="1:76" ht="13" customHeight="1">
      <c r="B39" s="2543" t="s">
        <v>2682</v>
      </c>
      <c r="C39" s="2544"/>
      <c r="D39" s="2544"/>
      <c r="E39" s="2544"/>
      <c r="F39" s="2544"/>
      <c r="G39" s="2544"/>
      <c r="H39" s="2544"/>
      <c r="I39" s="2544"/>
      <c r="J39" s="2544"/>
      <c r="K39" s="2544"/>
      <c r="L39" s="2544"/>
      <c r="M39" s="2544"/>
      <c r="N39" s="2544"/>
      <c r="O39" s="2544"/>
      <c r="P39" s="2544"/>
      <c r="Q39" s="2544"/>
      <c r="R39" s="2544"/>
      <c r="S39" s="2544"/>
      <c r="T39" s="2544"/>
      <c r="U39" s="2544"/>
      <c r="V39" s="2544"/>
      <c r="W39" s="2544"/>
      <c r="X39" s="2545"/>
      <c r="Y39" s="2588">
        <v>0.04</v>
      </c>
      <c r="Z39" s="2588"/>
      <c r="AA39" s="2588"/>
      <c r="AB39" s="2588"/>
      <c r="AC39" s="2588"/>
      <c r="AD39" s="2588">
        <v>0.04</v>
      </c>
      <c r="AE39" s="2588"/>
      <c r="AF39" s="2588"/>
      <c r="AG39" s="2588"/>
      <c r="AH39" s="2588"/>
    </row>
    <row r="40" spans="1:76" ht="13" customHeight="1">
      <c r="A40" s="293"/>
      <c r="B40" s="2543" t="s">
        <v>2683</v>
      </c>
      <c r="C40" s="2544"/>
      <c r="D40" s="2544"/>
      <c r="E40" s="2544"/>
      <c r="F40" s="2544"/>
      <c r="G40" s="2544"/>
      <c r="H40" s="2544"/>
      <c r="I40" s="2544"/>
      <c r="J40" s="2544"/>
      <c r="K40" s="2544"/>
      <c r="L40" s="2544"/>
      <c r="M40" s="2544"/>
      <c r="N40" s="2544"/>
      <c r="O40" s="2544"/>
      <c r="P40" s="2544"/>
      <c r="Q40" s="2544"/>
      <c r="R40" s="2544"/>
      <c r="S40" s="2544"/>
      <c r="T40" s="2544"/>
      <c r="U40" s="2544"/>
      <c r="V40" s="2544"/>
      <c r="W40" s="2544"/>
      <c r="X40" s="2545"/>
      <c r="Y40" s="2537">
        <f>ROUND(Y38*Y39,0)</f>
        <v>2534058</v>
      </c>
      <c r="Z40" s="2537"/>
      <c r="AA40" s="2537"/>
      <c r="AB40" s="2537"/>
      <c r="AC40" s="2537"/>
      <c r="AD40" s="2536">
        <f>ROUND(AD38*AD39,0)</f>
        <v>0</v>
      </c>
      <c r="AE40" s="2537"/>
      <c r="AF40" s="2537"/>
      <c r="AG40" s="2537"/>
      <c r="AH40" s="2537"/>
    </row>
    <row r="41" spans="1:76" ht="13" customHeight="1">
      <c r="B41" s="2543" t="s">
        <v>2684</v>
      </c>
      <c r="C41" s="2544"/>
      <c r="D41" s="2544"/>
      <c r="E41" s="2544"/>
      <c r="F41" s="2544"/>
      <c r="G41" s="2544"/>
      <c r="H41" s="2544"/>
      <c r="I41" s="2544"/>
      <c r="J41" s="2544"/>
      <c r="K41" s="2544"/>
      <c r="L41" s="2544"/>
      <c r="M41" s="2544"/>
      <c r="N41" s="2544"/>
      <c r="O41" s="2544"/>
      <c r="P41" s="2544"/>
      <c r="Q41" s="2544"/>
      <c r="R41" s="2544"/>
      <c r="S41" s="2544"/>
      <c r="T41" s="2544"/>
      <c r="U41" s="2544"/>
      <c r="V41" s="2544"/>
      <c r="W41" s="2544"/>
      <c r="X41" s="2545"/>
      <c r="Y41" s="2538">
        <f>Y40+AD40</f>
        <v>2534058</v>
      </c>
      <c r="Z41" s="2539"/>
      <c r="AA41" s="2539"/>
      <c r="AB41" s="2539"/>
      <c r="AC41" s="2539"/>
      <c r="AD41" s="2539"/>
      <c r="AE41" s="2539"/>
      <c r="AF41" s="2539"/>
      <c r="AG41" s="2539"/>
      <c r="AH41" s="2536"/>
    </row>
    <row r="42" spans="1:76" ht="13"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76" ht="13" customHeight="1">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row>
    <row r="44" spans="1:76" s="118" customFormat="1" ht="13" customHeight="1" thickBot="1">
      <c r="A44" s="2541" t="s">
        <v>2685</v>
      </c>
      <c r="B44" s="2541"/>
      <c r="C44" s="2541"/>
      <c r="D44" s="2541"/>
      <c r="E44" s="2541"/>
      <c r="F44" s="2541"/>
      <c r="G44" s="2541"/>
      <c r="H44" s="2541"/>
      <c r="I44" s="2541"/>
      <c r="J44" s="2541"/>
      <c r="K44" s="2541"/>
      <c r="L44" s="2541"/>
      <c r="M44" s="2541"/>
      <c r="N44" s="2541"/>
      <c r="O44" s="2541"/>
      <c r="P44" s="2541"/>
      <c r="Q44" s="2541"/>
      <c r="R44" s="2541"/>
      <c r="S44" s="2541"/>
      <c r="T44" s="2541"/>
      <c r="U44" s="2541"/>
      <c r="V44" s="2541"/>
      <c r="W44" s="2541"/>
      <c r="X44" s="2541"/>
      <c r="Y44" s="2541"/>
      <c r="Z44" s="2541"/>
      <c r="AA44" s="2541"/>
      <c r="AB44" s="2541"/>
      <c r="AC44" s="2541"/>
      <c r="AD44" s="2541"/>
      <c r="AE44" s="2541"/>
      <c r="AF44" s="2541"/>
      <c r="AG44" s="2541"/>
      <c r="AH44" s="2541"/>
      <c r="AI44" s="2541"/>
      <c r="AJ44" s="2541"/>
      <c r="AK44" s="2541"/>
      <c r="AL44" s="2541"/>
      <c r="AM44" s="2541"/>
      <c r="AN44" s="2541"/>
      <c r="AO44" s="2541"/>
      <c r="AP44" s="2541"/>
      <c r="AQ44" s="2541"/>
      <c r="AR44" s="2541"/>
      <c r="AS44" s="2541"/>
      <c r="AT44" s="2541"/>
      <c r="AU44" s="2541"/>
      <c r="AV44" s="2541"/>
      <c r="AW44" s="2541"/>
      <c r="AX44" s="2541"/>
      <c r="AY44" s="2541"/>
      <c r="AZ44" s="2541"/>
      <c r="BA44" s="2541"/>
      <c r="BB44" s="2541"/>
      <c r="BC44" s="2541"/>
      <c r="BD44" s="2541"/>
      <c r="BE44" s="2541"/>
      <c r="BF44" s="2541"/>
      <c r="BG44" s="2541"/>
      <c r="BH44" s="2541"/>
      <c r="BI44" s="2541"/>
      <c r="BJ44" s="2541"/>
      <c r="BK44" s="2541"/>
      <c r="BL44" s="2541"/>
      <c r="BM44" s="2541"/>
      <c r="BN44" s="2541"/>
      <c r="BO44" s="2541"/>
      <c r="BP44" s="2541"/>
      <c r="BQ44" s="2541"/>
      <c r="BR44" s="2541"/>
      <c r="BS44" s="2541"/>
      <c r="BT44" s="2541"/>
      <c r="BU44" s="2541"/>
      <c r="BV44" s="2541"/>
      <c r="BW44" s="2541"/>
      <c r="BX44" s="2541"/>
    </row>
    <row r="45" spans="1:76" s="118" customFormat="1" ht="13" customHeight="1" thickTop="1"/>
    <row r="46" spans="1:76" ht="13" customHeight="1">
      <c r="A46" s="293" t="s">
        <v>1040</v>
      </c>
      <c r="C46" s="293" t="s">
        <v>281</v>
      </c>
    </row>
    <row r="47" spans="1:76" ht="13" customHeight="1">
      <c r="D47" s="293" t="s">
        <v>2686</v>
      </c>
      <c r="AB47" s="2553">
        <f>'Sources and Uses Budget'!B105-MAX(IF('Sources and Uses Budget'!B15="",0,'Sources and Uses Budget'!B15),IF(Application!AG394="",0,Application!AG394))</f>
        <v>55233895</v>
      </c>
      <c r="AC47" s="2554"/>
      <c r="AD47" s="2554"/>
      <c r="AE47" s="2554"/>
      <c r="AF47" s="2555"/>
    </row>
    <row r="48" spans="1:76" ht="13" customHeight="1">
      <c r="D48" s="293" t="s">
        <v>174</v>
      </c>
      <c r="AB48" s="2553">
        <f>Application!AO639-MAX(IF('Sources and Uses Budget'!B15="",0,'Sources and Uses Budget'!B15),IF(Application!AG394="",0,Application!AG394))</f>
        <v>21236416</v>
      </c>
      <c r="AC48" s="2554"/>
      <c r="AD48" s="2554"/>
      <c r="AE48" s="2554"/>
      <c r="AF48" s="2555"/>
    </row>
    <row r="49" spans="1:76" ht="13" customHeight="1">
      <c r="D49" s="293" t="s">
        <v>2687</v>
      </c>
      <c r="AB49" s="2553">
        <f>AB47-AB48</f>
        <v>33997479</v>
      </c>
      <c r="AC49" s="2554"/>
      <c r="AD49" s="2554"/>
      <c r="AE49" s="2554"/>
      <c r="AF49" s="2555"/>
    </row>
    <row r="50" spans="1:76" ht="13" customHeight="1">
      <c r="D50" s="293" t="s">
        <v>2688</v>
      </c>
      <c r="AA50" s="304"/>
      <c r="AB50" s="2580">
        <f>0.88*0.999899953855902</f>
        <v>0.87991195939319378</v>
      </c>
      <c r="AC50" s="2581"/>
      <c r="AD50" s="2581"/>
      <c r="AE50" s="2581"/>
      <c r="AF50" s="2582"/>
    </row>
    <row r="51" spans="1:76" s="305" customFormat="1" ht="13" customHeight="1">
      <c r="A51" s="291"/>
      <c r="B51" s="291"/>
      <c r="C51" s="291"/>
      <c r="D51" s="291"/>
      <c r="E51" s="2583" t="s">
        <v>2689</v>
      </c>
      <c r="F51" s="2583"/>
      <c r="G51" s="2583"/>
      <c r="H51" s="2583"/>
      <c r="I51" s="2583"/>
      <c r="J51" s="2583"/>
      <c r="K51" s="2583"/>
      <c r="L51" s="2583"/>
      <c r="M51" s="2583"/>
      <c r="N51" s="2583"/>
      <c r="O51" s="2583"/>
      <c r="P51" s="2583"/>
      <c r="Q51" s="2583"/>
      <c r="R51" s="2583"/>
      <c r="S51" s="2583"/>
      <c r="T51" s="2583"/>
      <c r="U51" s="2583"/>
      <c r="V51" s="2583"/>
      <c r="W51" s="2583"/>
      <c r="X51" s="2583"/>
      <c r="Y51" s="2583"/>
      <c r="Z51" s="2583"/>
      <c r="AA51" s="1125"/>
      <c r="AB51" s="1125"/>
      <c r="AC51" s="1125"/>
      <c r="AD51" s="1125"/>
      <c r="AE51" s="1125"/>
      <c r="AF51" s="1125"/>
      <c r="AG51" s="291"/>
      <c r="AH51" s="291"/>
      <c r="AI51" s="291"/>
      <c r="AJ51" s="291"/>
      <c r="AK51" s="291"/>
      <c r="AL51" s="291"/>
      <c r="AM51" s="291"/>
      <c r="AN51" s="291"/>
    </row>
    <row r="52" spans="1:76" s="305" customFormat="1" ht="13" customHeight="1">
      <c r="A52" s="291"/>
      <c r="B52" s="291"/>
      <c r="C52" s="291"/>
      <c r="D52" s="291"/>
      <c r="E52" s="2583"/>
      <c r="F52" s="2583"/>
      <c r="G52" s="2583"/>
      <c r="H52" s="2583"/>
      <c r="I52" s="2583"/>
      <c r="J52" s="2583"/>
      <c r="K52" s="2583"/>
      <c r="L52" s="2583"/>
      <c r="M52" s="2583"/>
      <c r="N52" s="2583"/>
      <c r="O52" s="2583"/>
      <c r="P52" s="2583"/>
      <c r="Q52" s="2583"/>
      <c r="R52" s="2583"/>
      <c r="S52" s="2583"/>
      <c r="T52" s="2583"/>
      <c r="U52" s="2583"/>
      <c r="V52" s="2583"/>
      <c r="W52" s="2583"/>
      <c r="X52" s="2583"/>
      <c r="Y52" s="2583"/>
      <c r="Z52" s="2583"/>
      <c r="AA52" s="306"/>
      <c r="AB52" s="306"/>
      <c r="AC52" s="306"/>
      <c r="AD52" s="306"/>
      <c r="AE52" s="306"/>
      <c r="AF52" s="306"/>
      <c r="AG52" s="307"/>
      <c r="AH52" s="291"/>
      <c r="AI52" s="291"/>
      <c r="AJ52" s="291"/>
      <c r="AK52" s="291"/>
      <c r="AL52" s="291"/>
      <c r="AM52" s="291"/>
      <c r="AN52" s="291"/>
    </row>
    <row r="53" spans="1:76" ht="13" customHeight="1">
      <c r="E53" s="1125"/>
      <c r="F53" s="1125"/>
      <c r="G53" s="1125"/>
      <c r="H53" s="1125"/>
      <c r="I53" s="1125"/>
      <c r="J53" s="1125"/>
      <c r="K53" s="1125"/>
      <c r="L53" s="1125"/>
      <c r="M53" s="1125"/>
      <c r="N53" s="1125"/>
      <c r="O53" s="1125"/>
      <c r="P53" s="1125"/>
      <c r="Q53" s="1125"/>
      <c r="R53" s="1125"/>
      <c r="S53" s="1125"/>
      <c r="T53" s="1125"/>
      <c r="U53" s="1125"/>
      <c r="V53" s="1125"/>
      <c r="W53" s="1125"/>
      <c r="X53" s="1125"/>
      <c r="Y53" s="1125"/>
      <c r="Z53" s="1125"/>
    </row>
    <row r="54" spans="1:76" ht="13" customHeight="1">
      <c r="D54" s="293" t="s">
        <v>2690</v>
      </c>
      <c r="AB54" s="2553">
        <f>ROUND(IF(ISERROR((AB49/AB50)),0,(AB49/AB50)),0)</f>
        <v>38637364</v>
      </c>
      <c r="AC54" s="2554"/>
      <c r="AD54" s="2554"/>
      <c r="AE54" s="2554"/>
      <c r="AF54" s="2555"/>
    </row>
    <row r="55" spans="1:76" ht="13" customHeight="1">
      <c r="D55" s="293" t="s">
        <v>2691</v>
      </c>
      <c r="AB55" s="2553">
        <f>(AB54/10)</f>
        <v>3863736.4</v>
      </c>
      <c r="AC55" s="2554"/>
      <c r="AD55" s="2554"/>
      <c r="AE55" s="2554"/>
      <c r="AF55" s="2555"/>
    </row>
    <row r="56" spans="1:76" ht="13" customHeight="1">
      <c r="D56" s="293" t="s">
        <v>2692</v>
      </c>
      <c r="AB56" s="2584">
        <f>(IF((Y41&lt;AB55),Y41,AB55))</f>
        <v>2534058</v>
      </c>
      <c r="AC56" s="2585"/>
      <c r="AD56" s="2585"/>
      <c r="AE56" s="2585"/>
      <c r="AF56" s="2586"/>
    </row>
    <row r="57" spans="1:76" ht="13" customHeight="1">
      <c r="D57" s="293" t="s">
        <v>2693</v>
      </c>
      <c r="AB57" s="2553">
        <f>ROUND((10*AB56*AB50),0)</f>
        <v>22297479</v>
      </c>
      <c r="AC57" s="2554"/>
      <c r="AD57" s="2554"/>
      <c r="AE57" s="2554"/>
      <c r="AF57" s="2555"/>
    </row>
    <row r="58" spans="1:76" ht="13" customHeight="1">
      <c r="D58" s="293"/>
      <c r="AB58" s="311"/>
      <c r="AC58" s="311"/>
      <c r="AD58" s="311"/>
      <c r="AE58" s="311"/>
      <c r="AF58" s="311"/>
    </row>
    <row r="59" spans="1:76" ht="13" customHeight="1">
      <c r="D59" s="293" t="s">
        <v>2694</v>
      </c>
      <c r="AB59" s="2576">
        <f>AB49-AB57</f>
        <v>11700000</v>
      </c>
      <c r="AC59" s="2576"/>
      <c r="AD59" s="2576"/>
      <c r="AE59" s="2576"/>
      <c r="AF59" s="2576"/>
    </row>
    <row r="60" spans="1:76" ht="13" customHeight="1">
      <c r="D60" s="293"/>
      <c r="AB60" s="311"/>
      <c r="AC60" s="311"/>
      <c r="AD60" s="311"/>
      <c r="AE60" s="311"/>
      <c r="AF60" s="311"/>
    </row>
    <row r="61" spans="1:76" s="118" customFormat="1" ht="13" customHeight="1" thickBot="1">
      <c r="A61" s="2541" t="str">
        <f>IF(Application!AP205="yes","Farmworker State Credit", "State Credit" )</f>
        <v>State Credit</v>
      </c>
      <c r="B61" s="2541"/>
      <c r="C61" s="2541"/>
      <c r="D61" s="2541"/>
      <c r="E61" s="2541"/>
      <c r="F61" s="2541"/>
      <c r="G61" s="2541"/>
      <c r="H61" s="2541"/>
      <c r="I61" s="2541"/>
      <c r="J61" s="2541"/>
      <c r="K61" s="2541"/>
      <c r="L61" s="2541"/>
      <c r="M61" s="2541"/>
      <c r="N61" s="2541"/>
      <c r="O61" s="2541"/>
      <c r="P61" s="2541"/>
      <c r="Q61" s="2541"/>
      <c r="R61" s="2541"/>
      <c r="S61" s="2541"/>
      <c r="T61" s="2541"/>
      <c r="U61" s="2541"/>
      <c r="V61" s="2541"/>
      <c r="W61" s="2541"/>
      <c r="X61" s="2541"/>
      <c r="Y61" s="2541"/>
      <c r="Z61" s="2541"/>
      <c r="AA61" s="2541"/>
      <c r="AB61" s="2541"/>
      <c r="AC61" s="2541"/>
      <c r="AD61" s="2541"/>
      <c r="AE61" s="2541"/>
      <c r="AF61" s="2541"/>
      <c r="AG61" s="2541"/>
      <c r="AH61" s="2541"/>
      <c r="AI61" s="2541"/>
      <c r="AJ61" s="2541"/>
      <c r="AK61" s="2541"/>
      <c r="AL61" s="2541"/>
      <c r="AM61" s="2541"/>
      <c r="AN61" s="2541"/>
      <c r="AO61" s="2541"/>
      <c r="AP61" s="2541"/>
      <c r="AQ61" s="2541"/>
      <c r="AR61" s="2541"/>
      <c r="AS61" s="2541"/>
      <c r="AT61" s="2541"/>
      <c r="AU61" s="2541"/>
      <c r="AV61" s="2541"/>
      <c r="AW61" s="2541"/>
      <c r="AX61" s="2541"/>
      <c r="AY61" s="2541"/>
      <c r="AZ61" s="2541"/>
      <c r="BA61" s="2541"/>
      <c r="BB61" s="2541"/>
      <c r="BC61" s="2541"/>
      <c r="BD61" s="2541"/>
      <c r="BE61" s="2541"/>
      <c r="BF61" s="2541"/>
      <c r="BG61" s="2541"/>
      <c r="BH61" s="2541"/>
      <c r="BI61" s="2541"/>
      <c r="BJ61" s="2541"/>
      <c r="BK61" s="2541"/>
      <c r="BL61" s="2541"/>
      <c r="BM61" s="2541"/>
      <c r="BN61" s="2541"/>
      <c r="BO61" s="2541"/>
      <c r="BP61" s="2541"/>
      <c r="BQ61" s="2541"/>
      <c r="BR61" s="2541"/>
      <c r="BS61" s="2541"/>
      <c r="BT61" s="2541"/>
      <c r="BU61" s="2541"/>
      <c r="BV61" s="2541"/>
      <c r="BW61" s="2541"/>
      <c r="BX61" s="2541"/>
    </row>
    <row r="62" spans="1:76" s="118" customFormat="1" ht="13" customHeight="1" thickTop="1"/>
    <row r="63" spans="1:76" ht="13" customHeight="1">
      <c r="A63" s="293" t="s">
        <v>1058</v>
      </c>
      <c r="C63" s="119" t="s">
        <v>2695</v>
      </c>
      <c r="Y63" s="2577" t="s">
        <v>2696</v>
      </c>
      <c r="Z63" s="2577"/>
      <c r="AA63" s="2577"/>
      <c r="AB63" s="2577"/>
      <c r="AC63" s="2577"/>
      <c r="AD63" s="2577" t="s">
        <v>2681</v>
      </c>
      <c r="AE63" s="2577"/>
      <c r="AF63" s="2577"/>
      <c r="AG63" s="2577"/>
      <c r="AH63" s="2577"/>
    </row>
    <row r="64" spans="1:76" ht="13" customHeight="1">
      <c r="C64" s="293"/>
      <c r="D64" s="1121" t="s">
        <v>2697</v>
      </c>
      <c r="E64" s="308"/>
      <c r="F64" s="308"/>
      <c r="G64" s="308"/>
      <c r="H64" s="308"/>
      <c r="I64" s="308"/>
      <c r="J64" s="308"/>
      <c r="K64" s="308"/>
      <c r="L64" s="308"/>
      <c r="M64" s="308"/>
      <c r="N64" s="308"/>
      <c r="O64" s="308"/>
      <c r="P64" s="308"/>
      <c r="Q64" s="308"/>
      <c r="R64" s="308"/>
      <c r="S64" s="308"/>
      <c r="T64" s="308"/>
      <c r="U64" s="308"/>
      <c r="V64" s="308"/>
      <c r="W64" s="308"/>
      <c r="X64" s="308"/>
      <c r="Y64" s="2538">
        <f>IF(Application!$Z$205="(select)",0,((T23*T27)+Y28))</f>
        <v>48731881.799999997</v>
      </c>
      <c r="Z64" s="2578"/>
      <c r="AA64" s="2578"/>
      <c r="AB64" s="2578"/>
      <c r="AC64" s="2579"/>
      <c r="AD64" s="2538">
        <f>IF(AND(OR(Application!D211="At-Risk",Application!D211="At-Risk and Special Needs"),Application!M358="yes"),AD28+AI28,0)</f>
        <v>0</v>
      </c>
      <c r="AE64" s="2578"/>
      <c r="AF64" s="2578"/>
      <c r="AG64" s="2578"/>
      <c r="AH64" s="2579"/>
    </row>
    <row r="65" spans="1:36" ht="13" customHeight="1">
      <c r="C65" s="293"/>
      <c r="E65" s="827" t="s">
        <v>2698</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C66" s="293"/>
      <c r="E66" s="827" t="s">
        <v>2699</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3" customHeight="1">
      <c r="C67" s="293"/>
      <c r="D67" s="293" t="s">
        <v>2700</v>
      </c>
      <c r="E67" s="309"/>
      <c r="F67" s="309"/>
      <c r="G67" s="309"/>
      <c r="H67" s="309"/>
      <c r="I67" s="309"/>
      <c r="J67" s="309"/>
      <c r="K67" s="309"/>
      <c r="L67" s="309"/>
      <c r="M67" s="309"/>
      <c r="N67" s="309"/>
      <c r="O67" s="309"/>
      <c r="P67" s="309"/>
      <c r="Q67" s="309"/>
      <c r="R67" s="309"/>
      <c r="S67" s="309"/>
      <c r="T67" s="309"/>
      <c r="U67" s="309"/>
      <c r="V67" s="309"/>
      <c r="W67" s="309"/>
      <c r="X67" s="309"/>
      <c r="Y67" s="2594">
        <f>IF(OR(Application!Z205="State Farmworker Credit",Application!Z205="$500M (Farmworker Housing)"),0.75,IF(Application!Z205="15% set-aside",0.13,IF(Application!Z205="15% set-aside with qualifying low value rehab",0.95,0.3)))</f>
        <v>0.3</v>
      </c>
      <c r="Z67" s="2594"/>
      <c r="AA67" s="2594"/>
      <c r="AB67" s="2594"/>
      <c r="AC67" s="2594"/>
      <c r="AD67" s="2594">
        <f>IF(Application!Z205="15% set-aside with qualifying low value rehab", 0.95,0.13)</f>
        <v>0.13</v>
      </c>
      <c r="AE67" s="2594"/>
      <c r="AF67" s="2594"/>
      <c r="AG67" s="2594"/>
      <c r="AH67" s="2594"/>
    </row>
    <row r="68" spans="1:36" ht="13" customHeight="1">
      <c r="C68" s="293"/>
      <c r="D68" s="119" t="s">
        <v>2701</v>
      </c>
      <c r="Y68" s="2537">
        <f>ROUND(Y64*Y67,0)</f>
        <v>14619565</v>
      </c>
      <c r="Z68" s="2595"/>
      <c r="AA68" s="2595"/>
      <c r="AB68" s="2595"/>
      <c r="AC68" s="2595"/>
      <c r="AD68" s="2537">
        <f>ROUND(AD64*AD67,0)</f>
        <v>0</v>
      </c>
      <c r="AE68" s="2595"/>
      <c r="AF68" s="2595"/>
      <c r="AG68" s="2595"/>
      <c r="AH68" s="2595"/>
    </row>
    <row r="69" spans="1:36" ht="13" customHeight="1">
      <c r="C69" s="293"/>
      <c r="D69" s="119" t="s">
        <v>2702</v>
      </c>
      <c r="Y69" s="2537">
        <f>IF(OR(Application!Z205="State Farmworker Credit",Application!Z205="$500M (Farmworker Housing)"),Y68+AD68,MIN(Y68+AD68,200000*(Application!G753+Application!O777)))</f>
        <v>13000000</v>
      </c>
      <c r="Z69" s="2537"/>
      <c r="AA69" s="2537"/>
      <c r="AB69" s="2537"/>
      <c r="AC69" s="2537"/>
      <c r="AD69" s="2537"/>
      <c r="AE69" s="2537"/>
      <c r="AF69" s="2537"/>
      <c r="AG69" s="2537"/>
      <c r="AH69" s="2537"/>
    </row>
    <row r="70" spans="1:36" ht="13" customHeight="1">
      <c r="C70" s="293"/>
      <c r="E70" s="293"/>
      <c r="AB70" s="310"/>
      <c r="AC70" s="310"/>
      <c r="AD70" s="310"/>
      <c r="AE70" s="310"/>
      <c r="AF70" s="310"/>
    </row>
    <row r="71" spans="1:36" ht="13" customHeight="1">
      <c r="A71" s="293" t="s">
        <v>1070</v>
      </c>
      <c r="C71" s="119" t="s">
        <v>287</v>
      </c>
    </row>
    <row r="72" spans="1:36" ht="13" customHeight="1">
      <c r="A72" s="293"/>
      <c r="C72" s="293"/>
      <c r="D72" s="119" t="s">
        <v>2703</v>
      </c>
      <c r="AB72" s="2580">
        <v>0.9</v>
      </c>
      <c r="AC72" s="2581"/>
      <c r="AD72" s="2581"/>
      <c r="AE72" s="2581"/>
      <c r="AF72" s="2582"/>
    </row>
    <row r="73" spans="1:36" ht="13" customHeight="1">
      <c r="A73" s="293"/>
      <c r="C73" s="293"/>
      <c r="D73" s="293"/>
      <c r="E73" s="2596" t="s">
        <v>2704</v>
      </c>
      <c r="F73" s="2596"/>
      <c r="G73" s="2596"/>
      <c r="H73" s="2596"/>
      <c r="I73" s="2596"/>
      <c r="J73" s="2596"/>
      <c r="K73" s="2596"/>
      <c r="L73" s="2596"/>
      <c r="M73" s="2596"/>
      <c r="N73" s="2596"/>
      <c r="O73" s="2596"/>
      <c r="P73" s="2596"/>
      <c r="Q73" s="2596"/>
      <c r="R73" s="2596"/>
      <c r="S73" s="2596"/>
      <c r="T73" s="2596"/>
      <c r="U73" s="2596"/>
      <c r="V73" s="2596"/>
      <c r="W73" s="2596"/>
      <c r="X73" s="2596"/>
      <c r="Y73" s="2596"/>
      <c r="Z73" s="2596"/>
      <c r="AA73" s="2596"/>
      <c r="AB73" s="326"/>
      <c r="AC73" s="326"/>
    </row>
    <row r="74" spans="1:36" ht="13" customHeight="1">
      <c r="A74" s="293"/>
      <c r="C74" s="293"/>
      <c r="D74" s="293"/>
      <c r="E74" s="2596"/>
      <c r="F74" s="2596"/>
      <c r="G74" s="2596"/>
      <c r="H74" s="2596"/>
      <c r="I74" s="2596"/>
      <c r="J74" s="2596"/>
      <c r="K74" s="2596"/>
      <c r="L74" s="2596"/>
      <c r="M74" s="2596"/>
      <c r="N74" s="2596"/>
      <c r="O74" s="2596"/>
      <c r="P74" s="2596"/>
      <c r="Q74" s="2596"/>
      <c r="R74" s="2596"/>
      <c r="S74" s="2596"/>
      <c r="T74" s="2596"/>
      <c r="U74" s="2596"/>
      <c r="V74" s="2596"/>
      <c r="W74" s="2596"/>
      <c r="X74" s="2596"/>
      <c r="Y74" s="2596"/>
      <c r="Z74" s="2596"/>
      <c r="AA74" s="2596"/>
      <c r="AB74" s="326"/>
      <c r="AC74" s="326"/>
    </row>
    <row r="75" spans="1:36" ht="13" customHeight="1">
      <c r="A75" s="293"/>
      <c r="C75" s="293"/>
      <c r="D75" s="293"/>
      <c r="E75" s="2596"/>
      <c r="F75" s="2596"/>
      <c r="G75" s="2596"/>
      <c r="H75" s="2596"/>
      <c r="I75" s="2596"/>
      <c r="J75" s="2596"/>
      <c r="K75" s="2596"/>
      <c r="L75" s="2596"/>
      <c r="M75" s="2596"/>
      <c r="N75" s="2596"/>
      <c r="O75" s="2596"/>
      <c r="P75" s="2596"/>
      <c r="Q75" s="2596"/>
      <c r="R75" s="2596"/>
      <c r="S75" s="2596"/>
      <c r="T75" s="2596"/>
      <c r="U75" s="2596"/>
      <c r="V75" s="2596"/>
      <c r="W75" s="2596"/>
      <c r="X75" s="2596"/>
      <c r="Y75" s="2596"/>
      <c r="Z75" s="2596"/>
      <c r="AA75" s="2596"/>
      <c r="AB75" s="326"/>
      <c r="AC75" s="326"/>
    </row>
    <row r="76" spans="1:36" ht="13" customHeight="1">
      <c r="A76" s="293"/>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row>
    <row r="77" spans="1:36" ht="13" customHeight="1">
      <c r="C77" s="293"/>
      <c r="D77" s="119" t="s">
        <v>2705</v>
      </c>
      <c r="AB77" s="2589">
        <f>ROUND(IF(ISERROR((AB59/AB72)),0,(AB59/AB72)),0)</f>
        <v>13000000</v>
      </c>
      <c r="AC77" s="2589"/>
      <c r="AD77" s="2589"/>
      <c r="AE77" s="2589"/>
      <c r="AF77" s="2589"/>
    </row>
    <row r="78" spans="1:36" ht="13" customHeight="1">
      <c r="C78" s="293"/>
      <c r="D78" s="119" t="s">
        <v>2706</v>
      </c>
      <c r="AB78" s="2590">
        <f>MIN(Y69,AB77)</f>
        <v>13000000</v>
      </c>
      <c r="AC78" s="2591"/>
      <c r="AD78" s="2591"/>
      <c r="AE78" s="2591"/>
      <c r="AF78" s="2592"/>
    </row>
    <row r="79" spans="1:36" ht="13" customHeight="1">
      <c r="C79" s="293"/>
      <c r="D79" s="119" t="s">
        <v>2707</v>
      </c>
      <c r="AB79" s="2593">
        <f>AB78*AB72</f>
        <v>11700000</v>
      </c>
      <c r="AC79" s="2593"/>
      <c r="AD79" s="2593"/>
      <c r="AE79" s="2593"/>
      <c r="AF79" s="2593"/>
    </row>
    <row r="80" spans="1:36" ht="13" customHeight="1">
      <c r="C80" s="293"/>
      <c r="D80" s="293"/>
      <c r="AB80" s="313"/>
      <c r="AC80" s="313"/>
      <c r="AD80" s="313"/>
      <c r="AE80" s="313"/>
      <c r="AF80" s="313"/>
    </row>
    <row r="81" spans="1:78" ht="13" customHeight="1">
      <c r="D81" s="293" t="s">
        <v>2694</v>
      </c>
      <c r="AB81" s="2576">
        <f>AB49-(AB57+AB79)</f>
        <v>0</v>
      </c>
      <c r="AC81" s="2576"/>
      <c r="AD81" s="2576"/>
      <c r="AE81" s="2576"/>
      <c r="AF81" s="2576"/>
    </row>
    <row r="82" spans="1:78" ht="13" customHeight="1">
      <c r="F82" s="392"/>
      <c r="J82" s="392" t="str">
        <f>IF(AB81&gt;0,"FUNDING GAP MUST NOT EXCEED ZERO","")</f>
        <v/>
      </c>
    </row>
    <row r="83" spans="1:78" ht="13" customHeight="1">
      <c r="D83" s="393"/>
    </row>
    <row r="84" spans="1:78" ht="13" customHeight="1" thickBot="1">
      <c r="A84" s="2541"/>
      <c r="B84" s="2541"/>
      <c r="C84" s="2541"/>
      <c r="D84" s="2541"/>
      <c r="E84" s="2541"/>
      <c r="F84" s="2541"/>
      <c r="G84" s="2541"/>
      <c r="H84" s="2541"/>
      <c r="I84" s="2541"/>
      <c r="J84" s="2541"/>
      <c r="K84" s="2541"/>
      <c r="L84" s="2541"/>
      <c r="M84" s="2541"/>
      <c r="N84" s="2541"/>
      <c r="O84" s="2541"/>
      <c r="P84" s="2541"/>
      <c r="Q84" s="2541"/>
      <c r="R84" s="2541"/>
      <c r="S84" s="2541"/>
      <c r="T84" s="2541"/>
      <c r="U84" s="2541"/>
      <c r="V84" s="2541"/>
      <c r="W84" s="2541"/>
      <c r="X84" s="2541"/>
      <c r="Y84" s="2541"/>
      <c r="Z84" s="2541"/>
      <c r="AA84" s="2541"/>
      <c r="AB84" s="2541"/>
      <c r="AC84" s="2541"/>
      <c r="AD84" s="2541"/>
      <c r="AE84" s="2541"/>
      <c r="AF84" s="2541"/>
      <c r="AG84" s="2541"/>
      <c r="AH84" s="2541"/>
      <c r="AI84" s="2541"/>
      <c r="AJ84" s="2541"/>
      <c r="AK84" s="2541"/>
      <c r="AL84" s="2541"/>
      <c r="AM84" s="2541"/>
      <c r="AN84" s="2541"/>
      <c r="AO84" s="2541"/>
      <c r="AP84" s="2541"/>
      <c r="AQ84" s="2541"/>
      <c r="AR84" s="2541"/>
      <c r="AS84" s="2541"/>
      <c r="AT84" s="2541"/>
      <c r="AU84" s="2541"/>
      <c r="AV84" s="2541"/>
      <c r="AW84" s="2541"/>
      <c r="AX84" s="2541"/>
      <c r="AY84" s="2541"/>
      <c r="AZ84" s="2541"/>
      <c r="BA84" s="2541"/>
      <c r="BB84" s="2541"/>
      <c r="BC84" s="2541"/>
      <c r="BD84" s="2541"/>
      <c r="BE84" s="2541"/>
      <c r="BF84" s="2541"/>
      <c r="BG84" s="2541"/>
      <c r="BH84" s="2541"/>
      <c r="BI84" s="2541"/>
      <c r="BJ84" s="2541"/>
      <c r="BK84" s="2541"/>
      <c r="BL84" s="2541"/>
      <c r="BM84" s="2541"/>
      <c r="BN84" s="2541"/>
      <c r="BO84" s="2541"/>
      <c r="BP84" s="2541"/>
      <c r="BQ84" s="2541"/>
      <c r="BR84" s="2541"/>
      <c r="BS84" s="2541"/>
      <c r="BT84" s="2541"/>
      <c r="BU84" s="2541"/>
      <c r="BV84" s="2541"/>
      <c r="BW84" s="2541"/>
      <c r="BX84" s="2541"/>
    </row>
    <row r="85" spans="1:78" ht="13" customHeight="1" thickTop="1"/>
    <row r="86" spans="1:78" ht="13" customHeight="1">
      <c r="A86" s="293"/>
      <c r="C86" s="119"/>
    </row>
    <row r="87" spans="1:78" ht="13" customHeight="1">
      <c r="D87" s="119"/>
      <c r="AB87" s="2542"/>
      <c r="AC87" s="2542"/>
      <c r="AD87" s="2542"/>
      <c r="AE87" s="2542"/>
      <c r="AF87" s="2542"/>
    </row>
    <row r="88" spans="1:78" ht="13" customHeight="1" thickBot="1">
      <c r="D88" s="119"/>
      <c r="AB88" s="2540"/>
      <c r="AC88" s="2540"/>
      <c r="AD88" s="2540"/>
      <c r="AE88" s="2540"/>
      <c r="AF88" s="2540"/>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5" style="199" customWidth="1"/>
    <col min="3" max="3" width="11" style="199" customWidth="1"/>
    <col min="4" max="4" width="15.5" style="199" customWidth="1"/>
    <col min="5" max="5" width="3.5" style="199" customWidth="1"/>
    <col min="6" max="7" width="15.5" style="199" customWidth="1"/>
    <col min="8" max="8" width="3.5" style="199" customWidth="1"/>
    <col min="9" max="10" width="15.5" style="199" customWidth="1"/>
    <col min="11" max="11" width="3.5" style="199" customWidth="1"/>
    <col min="12" max="17" width="15.5" style="199" customWidth="1"/>
    <col min="18" max="16384" width="9.1640625" style="199"/>
  </cols>
  <sheetData>
    <row r="1" spans="1:12">
      <c r="A1" s="2597" t="s">
        <v>2708</v>
      </c>
      <c r="B1" s="2597"/>
      <c r="C1" s="2597"/>
      <c r="D1" s="2597"/>
      <c r="E1" s="2597"/>
      <c r="F1" s="2597"/>
      <c r="G1" s="2597"/>
      <c r="H1" s="2597"/>
      <c r="I1" s="2597"/>
      <c r="J1" s="2597"/>
      <c r="K1" s="118"/>
      <c r="L1" s="118"/>
    </row>
    <row r="2" spans="1:12">
      <c r="A2" s="123"/>
      <c r="B2" s="123"/>
      <c r="C2" s="123"/>
      <c r="D2" s="123"/>
      <c r="E2" s="123"/>
      <c r="F2" s="123"/>
      <c r="G2" s="123"/>
      <c r="H2" s="123"/>
      <c r="I2" s="123"/>
      <c r="J2" s="123"/>
    </row>
    <row r="3" spans="1:12" ht="75">
      <c r="A3" s="314" t="s">
        <v>2709</v>
      </c>
      <c r="B3" s="314" t="s">
        <v>2710</v>
      </c>
      <c r="C3" s="314" t="s">
        <v>2711</v>
      </c>
      <c r="D3" s="958" t="s">
        <v>2712</v>
      </c>
      <c r="E3" s="118"/>
      <c r="F3" s="958" t="s">
        <v>2713</v>
      </c>
      <c r="G3" s="314" t="s">
        <v>2714</v>
      </c>
      <c r="H3" s="315"/>
      <c r="I3" s="314" t="s">
        <v>2715</v>
      </c>
      <c r="J3" s="314" t="s">
        <v>2716</v>
      </c>
      <c r="K3" s="118"/>
      <c r="L3" s="200"/>
    </row>
    <row r="4" spans="1:12">
      <c r="A4" s="316" t="str">
        <f>Application!B718</f>
        <v>1 Bedroom</v>
      </c>
      <c r="B4" s="891">
        <f>Application!G718</f>
        <v>4</v>
      </c>
      <c r="C4" s="892"/>
      <c r="D4" s="316">
        <f ca="1">Application!O718</f>
        <v>2481.4</v>
      </c>
      <c r="E4" s="317"/>
      <c r="F4" s="893"/>
      <c r="G4" s="316">
        <f>F4*B4</f>
        <v>0</v>
      </c>
      <c r="H4" s="317"/>
      <c r="I4" s="316" t="str">
        <f t="shared" ref="I4:I27" si="0">IF(F4=0,"",(F4-D4))</f>
        <v/>
      </c>
      <c r="J4" s="316" t="str">
        <f t="shared" ref="J4:J27" si="1">IF(F4=0,"",(I4*B4))</f>
        <v/>
      </c>
      <c r="K4" s="118"/>
      <c r="L4" s="200"/>
    </row>
    <row r="5" spans="1:12">
      <c r="A5" s="316" t="str">
        <f>Application!B719</f>
        <v>1 Bedroom</v>
      </c>
      <c r="B5" s="891">
        <f>Application!G719</f>
        <v>15</v>
      </c>
      <c r="C5" s="892"/>
      <c r="D5" s="316">
        <f ca="1">Application!O719</f>
        <v>1747</v>
      </c>
      <c r="E5" s="317"/>
      <c r="F5" s="893"/>
      <c r="G5" s="316">
        <f t="shared" ref="G5:G38" si="2">F5*B5</f>
        <v>0</v>
      </c>
      <c r="H5" s="317"/>
      <c r="I5" s="316" t="str">
        <f t="shared" si="0"/>
        <v/>
      </c>
      <c r="J5" s="316" t="str">
        <f t="shared" si="1"/>
        <v/>
      </c>
      <c r="K5" s="118"/>
      <c r="L5" s="200"/>
    </row>
    <row r="6" spans="1:12">
      <c r="A6" s="316" t="str">
        <f>Application!B720</f>
        <v>1 Bedroom</v>
      </c>
      <c r="B6" s="891">
        <f>Application!G720</f>
        <v>11</v>
      </c>
      <c r="C6" s="892"/>
      <c r="D6" s="316">
        <f ca="1">Application!O720</f>
        <v>278.2</v>
      </c>
      <c r="E6" s="317"/>
      <c r="F6" s="893"/>
      <c r="G6" s="316">
        <f t="shared" si="2"/>
        <v>0</v>
      </c>
      <c r="H6" s="317"/>
      <c r="I6" s="316" t="str">
        <f t="shared" si="0"/>
        <v/>
      </c>
      <c r="J6" s="316" t="str">
        <f t="shared" si="1"/>
        <v/>
      </c>
      <c r="K6" s="118"/>
      <c r="L6" s="200"/>
    </row>
    <row r="7" spans="1:12">
      <c r="A7" s="316" t="str">
        <f>Application!B721</f>
        <v>2 Bedrooms</v>
      </c>
      <c r="B7" s="891">
        <f>Application!G721</f>
        <v>4</v>
      </c>
      <c r="C7" s="892"/>
      <c r="D7" s="316">
        <f ca="1">Application!O721</f>
        <v>2959.2</v>
      </c>
      <c r="E7" s="317"/>
      <c r="F7" s="893"/>
      <c r="G7" s="316">
        <f t="shared" si="2"/>
        <v>0</v>
      </c>
      <c r="H7" s="317"/>
      <c r="I7" s="316" t="str">
        <f t="shared" si="0"/>
        <v/>
      </c>
      <c r="J7" s="316" t="str">
        <f t="shared" si="1"/>
        <v/>
      </c>
      <c r="K7" s="118"/>
      <c r="L7" s="200"/>
    </row>
    <row r="8" spans="1:12">
      <c r="A8" s="316" t="str">
        <f>Application!B722</f>
        <v>2 Bedrooms</v>
      </c>
      <c r="B8" s="891">
        <f>Application!G722</f>
        <v>11</v>
      </c>
      <c r="C8" s="892"/>
      <c r="D8" s="316">
        <f ca="1">Application!O722</f>
        <v>2078</v>
      </c>
      <c r="E8" s="317"/>
      <c r="F8" s="893"/>
      <c r="G8" s="316">
        <f t="shared" si="2"/>
        <v>0</v>
      </c>
      <c r="H8" s="317"/>
      <c r="I8" s="316" t="str">
        <f t="shared" si="0"/>
        <v/>
      </c>
      <c r="J8" s="316" t="str">
        <f t="shared" si="1"/>
        <v/>
      </c>
      <c r="K8" s="118"/>
      <c r="L8" s="200"/>
    </row>
    <row r="9" spans="1:12">
      <c r="A9" s="316" t="str">
        <f>Application!B723</f>
        <v>2 Bedrooms</v>
      </c>
      <c r="B9" s="891">
        <f>Application!G723</f>
        <v>3</v>
      </c>
      <c r="C9" s="892"/>
      <c r="D9" s="316">
        <f>Application!O723</f>
        <v>158</v>
      </c>
      <c r="E9" s="317"/>
      <c r="F9" s="893"/>
      <c r="G9" s="316">
        <f t="shared" si="2"/>
        <v>0</v>
      </c>
      <c r="H9" s="317"/>
      <c r="I9" s="316" t="str">
        <f t="shared" si="0"/>
        <v/>
      </c>
      <c r="J9" s="316" t="str">
        <f t="shared" si="1"/>
        <v/>
      </c>
      <c r="K9" s="118"/>
      <c r="L9" s="200"/>
    </row>
    <row r="10" spans="1:12">
      <c r="A10" s="316" t="str">
        <f>Application!B724</f>
        <v>3 Bedrooms</v>
      </c>
      <c r="B10" s="891">
        <f>Application!G724</f>
        <v>4</v>
      </c>
      <c r="C10" s="892"/>
      <c r="D10" s="316">
        <f ca="1">Application!O724</f>
        <v>3398</v>
      </c>
      <c r="E10" s="317"/>
      <c r="F10" s="893"/>
      <c r="G10" s="316">
        <f t="shared" si="2"/>
        <v>0</v>
      </c>
      <c r="H10" s="317"/>
      <c r="I10" s="316" t="str">
        <f t="shared" si="0"/>
        <v/>
      </c>
      <c r="J10" s="316" t="str">
        <f t="shared" si="1"/>
        <v/>
      </c>
      <c r="K10" s="118"/>
      <c r="L10" s="200"/>
    </row>
    <row r="11" spans="1:12">
      <c r="A11" s="316" t="str">
        <f>Application!B725</f>
        <v>3 Bedrooms</v>
      </c>
      <c r="B11" s="891">
        <f>Application!G725</f>
        <v>9</v>
      </c>
      <c r="C11" s="892"/>
      <c r="D11" s="316">
        <f ca="1">Application!O725</f>
        <v>2380</v>
      </c>
      <c r="E11" s="317"/>
      <c r="F11" s="893"/>
      <c r="G11" s="316">
        <f t="shared" si="2"/>
        <v>0</v>
      </c>
      <c r="H11" s="317"/>
      <c r="I11" s="316" t="str">
        <f t="shared" si="0"/>
        <v/>
      </c>
      <c r="J11" s="316" t="str">
        <f t="shared" si="1"/>
        <v/>
      </c>
      <c r="K11" s="118"/>
      <c r="L11" s="200"/>
    </row>
    <row r="12" spans="1:12">
      <c r="A12" s="316" t="str">
        <f>Application!B726</f>
        <v>3 Bedrooms</v>
      </c>
      <c r="B12" s="891">
        <f>Application!G726</f>
        <v>3</v>
      </c>
      <c r="C12" s="892"/>
      <c r="D12" s="316">
        <f>Application!O726</f>
        <v>171.8</v>
      </c>
      <c r="E12" s="317"/>
      <c r="F12" s="893"/>
      <c r="G12" s="316">
        <f t="shared" si="2"/>
        <v>0</v>
      </c>
      <c r="H12" s="317"/>
      <c r="I12" s="316" t="str">
        <f t="shared" si="0"/>
        <v/>
      </c>
      <c r="J12" s="316" t="str">
        <f t="shared" si="1"/>
        <v/>
      </c>
      <c r="K12" s="118"/>
      <c r="L12" s="200"/>
    </row>
    <row r="13" spans="1:12">
      <c r="A13" s="316">
        <f>Application!B727</f>
        <v>0</v>
      </c>
      <c r="B13" s="891">
        <f>Application!G727</f>
        <v>0</v>
      </c>
      <c r="C13" s="892"/>
      <c r="D13" s="316">
        <f>Application!O727</f>
        <v>0</v>
      </c>
      <c r="E13" s="317"/>
      <c r="F13" s="893"/>
      <c r="G13" s="316">
        <f t="shared" si="2"/>
        <v>0</v>
      </c>
      <c r="H13" s="317"/>
      <c r="I13" s="316" t="str">
        <f t="shared" si="0"/>
        <v/>
      </c>
      <c r="J13" s="316" t="str">
        <f t="shared" si="1"/>
        <v/>
      </c>
      <c r="K13" s="118"/>
      <c r="L13" s="200"/>
    </row>
    <row r="14" spans="1:12">
      <c r="A14" s="316">
        <f>Application!B728</f>
        <v>0</v>
      </c>
      <c r="B14" s="891">
        <f>Application!G728</f>
        <v>0</v>
      </c>
      <c r="C14" s="892"/>
      <c r="D14" s="316">
        <f>Application!O728</f>
        <v>0</v>
      </c>
      <c r="E14" s="317"/>
      <c r="F14" s="893"/>
      <c r="G14" s="316">
        <f t="shared" si="2"/>
        <v>0</v>
      </c>
      <c r="H14" s="317"/>
      <c r="I14" s="316" t="str">
        <f t="shared" si="0"/>
        <v/>
      </c>
      <c r="J14" s="316" t="str">
        <f t="shared" si="1"/>
        <v/>
      </c>
      <c r="K14" s="118"/>
      <c r="L14" s="200"/>
    </row>
    <row r="15" spans="1:12">
      <c r="A15" s="316">
        <f>Application!B729</f>
        <v>0</v>
      </c>
      <c r="B15" s="891">
        <f>Application!G729</f>
        <v>0</v>
      </c>
      <c r="C15" s="892"/>
      <c r="D15" s="316">
        <f>Application!O729</f>
        <v>0</v>
      </c>
      <c r="E15" s="317"/>
      <c r="F15" s="893"/>
      <c r="G15" s="316">
        <f t="shared" si="2"/>
        <v>0</v>
      </c>
      <c r="H15" s="317"/>
      <c r="I15" s="316" t="str">
        <f t="shared" si="0"/>
        <v/>
      </c>
      <c r="J15" s="316" t="str">
        <f t="shared" si="1"/>
        <v/>
      </c>
      <c r="K15" s="118"/>
      <c r="L15" s="200"/>
    </row>
    <row r="16" spans="1:12">
      <c r="A16" s="316">
        <f>Application!B730</f>
        <v>0</v>
      </c>
      <c r="B16" s="891">
        <f>Application!G730</f>
        <v>0</v>
      </c>
      <c r="C16" s="892"/>
      <c r="D16" s="316">
        <f>Application!O730</f>
        <v>0</v>
      </c>
      <c r="E16" s="317"/>
      <c r="F16" s="893"/>
      <c r="G16" s="316">
        <f t="shared" si="2"/>
        <v>0</v>
      </c>
      <c r="H16" s="317"/>
      <c r="I16" s="316" t="str">
        <f t="shared" si="0"/>
        <v/>
      </c>
      <c r="J16" s="316" t="str">
        <f t="shared" si="1"/>
        <v/>
      </c>
      <c r="K16" s="118"/>
      <c r="L16" s="200"/>
    </row>
    <row r="17" spans="1:12">
      <c r="A17" s="316">
        <f>Application!B731</f>
        <v>0</v>
      </c>
      <c r="B17" s="891">
        <f>Application!G731</f>
        <v>0</v>
      </c>
      <c r="C17" s="892"/>
      <c r="D17" s="316">
        <f>Application!O731</f>
        <v>0</v>
      </c>
      <c r="E17" s="317"/>
      <c r="F17" s="893"/>
      <c r="G17" s="316">
        <f t="shared" si="2"/>
        <v>0</v>
      </c>
      <c r="H17" s="317"/>
      <c r="I17" s="316" t="str">
        <f t="shared" si="0"/>
        <v/>
      </c>
      <c r="J17" s="316" t="str">
        <f t="shared" si="1"/>
        <v/>
      </c>
      <c r="K17" s="118"/>
      <c r="L17" s="200"/>
    </row>
    <row r="18" spans="1:12">
      <c r="A18" s="316">
        <f>Application!B732</f>
        <v>0</v>
      </c>
      <c r="B18" s="891">
        <f>Application!G732</f>
        <v>0</v>
      </c>
      <c r="C18" s="892"/>
      <c r="D18" s="316">
        <f>Application!O732</f>
        <v>0</v>
      </c>
      <c r="E18" s="317"/>
      <c r="F18" s="893"/>
      <c r="G18" s="316">
        <f t="shared" si="2"/>
        <v>0</v>
      </c>
      <c r="H18" s="317"/>
      <c r="I18" s="316" t="str">
        <f t="shared" si="0"/>
        <v/>
      </c>
      <c r="J18" s="316" t="str">
        <f t="shared" si="1"/>
        <v/>
      </c>
      <c r="K18" s="118"/>
      <c r="L18" s="200"/>
    </row>
    <row r="19" spans="1:12">
      <c r="A19" s="316">
        <f>Application!B733</f>
        <v>0</v>
      </c>
      <c r="B19" s="891">
        <f>Application!G733</f>
        <v>0</v>
      </c>
      <c r="C19" s="892"/>
      <c r="D19" s="316">
        <f>Application!O733</f>
        <v>0</v>
      </c>
      <c r="E19" s="317"/>
      <c r="F19" s="893"/>
      <c r="G19" s="316">
        <f t="shared" si="2"/>
        <v>0</v>
      </c>
      <c r="H19" s="317"/>
      <c r="I19" s="316" t="str">
        <f t="shared" si="0"/>
        <v/>
      </c>
      <c r="J19" s="316" t="str">
        <f t="shared" si="1"/>
        <v/>
      </c>
      <c r="K19" s="118"/>
      <c r="L19" s="200"/>
    </row>
    <row r="20" spans="1:12">
      <c r="A20" s="316">
        <f>Application!B734</f>
        <v>0</v>
      </c>
      <c r="B20" s="891">
        <f>Application!G734</f>
        <v>0</v>
      </c>
      <c r="C20" s="892"/>
      <c r="D20" s="316">
        <f>Application!O734</f>
        <v>0</v>
      </c>
      <c r="E20" s="317"/>
      <c r="F20" s="893"/>
      <c r="G20" s="316">
        <f t="shared" si="2"/>
        <v>0</v>
      </c>
      <c r="H20" s="317"/>
      <c r="I20" s="316" t="str">
        <f t="shared" si="0"/>
        <v/>
      </c>
      <c r="J20" s="316" t="str">
        <f t="shared" si="1"/>
        <v/>
      </c>
      <c r="K20" s="118"/>
      <c r="L20" s="200"/>
    </row>
    <row r="21" spans="1:12">
      <c r="A21" s="316">
        <f>Application!B735</f>
        <v>0</v>
      </c>
      <c r="B21" s="891">
        <f>Application!G735</f>
        <v>0</v>
      </c>
      <c r="C21" s="892"/>
      <c r="D21" s="316">
        <f>Application!O735</f>
        <v>0</v>
      </c>
      <c r="E21" s="317"/>
      <c r="F21" s="893"/>
      <c r="G21" s="316">
        <f t="shared" si="2"/>
        <v>0</v>
      </c>
      <c r="H21" s="317"/>
      <c r="I21" s="316" t="str">
        <f t="shared" si="0"/>
        <v/>
      </c>
      <c r="J21" s="316" t="str">
        <f t="shared" si="1"/>
        <v/>
      </c>
      <c r="K21" s="118"/>
      <c r="L21" s="200"/>
    </row>
    <row r="22" spans="1:12">
      <c r="A22" s="316">
        <f>Application!B736</f>
        <v>0</v>
      </c>
      <c r="B22" s="891">
        <f>Application!G736</f>
        <v>0</v>
      </c>
      <c r="C22" s="892"/>
      <c r="D22" s="316">
        <f>Application!O736</f>
        <v>0</v>
      </c>
      <c r="E22" s="317"/>
      <c r="F22" s="893"/>
      <c r="G22" s="316">
        <f t="shared" si="2"/>
        <v>0</v>
      </c>
      <c r="H22" s="317"/>
      <c r="I22" s="316" t="str">
        <f t="shared" si="0"/>
        <v/>
      </c>
      <c r="J22" s="316" t="str">
        <f t="shared" si="1"/>
        <v/>
      </c>
      <c r="K22" s="118"/>
      <c r="L22" s="200"/>
    </row>
    <row r="23" spans="1:12">
      <c r="A23" s="316">
        <f>Application!B737</f>
        <v>0</v>
      </c>
      <c r="B23" s="891">
        <f>Application!G737</f>
        <v>0</v>
      </c>
      <c r="C23" s="892"/>
      <c r="D23" s="316">
        <f>Application!O737</f>
        <v>0</v>
      </c>
      <c r="E23" s="317"/>
      <c r="F23" s="893"/>
      <c r="G23" s="316">
        <f t="shared" si="2"/>
        <v>0</v>
      </c>
      <c r="H23" s="317"/>
      <c r="I23" s="316" t="str">
        <f t="shared" si="0"/>
        <v/>
      </c>
      <c r="J23" s="316" t="str">
        <f t="shared" si="1"/>
        <v/>
      </c>
      <c r="K23" s="118"/>
      <c r="L23" s="200"/>
    </row>
    <row r="24" spans="1:12">
      <c r="A24" s="316">
        <f>Application!B738</f>
        <v>0</v>
      </c>
      <c r="B24" s="891">
        <f>Application!G738</f>
        <v>0</v>
      </c>
      <c r="C24" s="892"/>
      <c r="D24" s="316">
        <f>Application!O738</f>
        <v>0</v>
      </c>
      <c r="E24" s="317"/>
      <c r="F24" s="893"/>
      <c r="G24" s="316">
        <f t="shared" si="2"/>
        <v>0</v>
      </c>
      <c r="H24" s="317"/>
      <c r="I24" s="316" t="str">
        <f t="shared" si="0"/>
        <v/>
      </c>
      <c r="J24" s="316" t="str">
        <f t="shared" si="1"/>
        <v/>
      </c>
      <c r="K24" s="118"/>
      <c r="L24" s="200"/>
    </row>
    <row r="25" spans="1:12">
      <c r="A25" s="316">
        <f>Application!B739</f>
        <v>0</v>
      </c>
      <c r="B25" s="891">
        <f>Application!G739</f>
        <v>0</v>
      </c>
      <c r="C25" s="892"/>
      <c r="D25" s="316">
        <f>Application!O739</f>
        <v>0</v>
      </c>
      <c r="E25" s="317"/>
      <c r="F25" s="893"/>
      <c r="G25" s="316">
        <f t="shared" si="2"/>
        <v>0</v>
      </c>
      <c r="H25" s="317"/>
      <c r="I25" s="316" t="str">
        <f t="shared" si="0"/>
        <v/>
      </c>
      <c r="J25" s="316" t="str">
        <f t="shared" si="1"/>
        <v/>
      </c>
      <c r="K25" s="118"/>
      <c r="L25" s="200"/>
    </row>
    <row r="26" spans="1:12">
      <c r="A26" s="316">
        <f>Application!B740</f>
        <v>0</v>
      </c>
      <c r="B26" s="891">
        <f>Application!G740</f>
        <v>0</v>
      </c>
      <c r="C26" s="892"/>
      <c r="D26" s="316">
        <f>Application!O740</f>
        <v>0</v>
      </c>
      <c r="E26" s="317"/>
      <c r="F26" s="893"/>
      <c r="G26" s="316">
        <f t="shared" si="2"/>
        <v>0</v>
      </c>
      <c r="H26" s="317"/>
      <c r="I26" s="316" t="str">
        <f t="shared" si="0"/>
        <v/>
      </c>
      <c r="J26" s="316" t="str">
        <f t="shared" si="1"/>
        <v/>
      </c>
      <c r="K26" s="118"/>
      <c r="L26" s="200"/>
    </row>
    <row r="27" spans="1:12">
      <c r="A27" s="316">
        <f>Application!B741</f>
        <v>0</v>
      </c>
      <c r="B27" s="891">
        <f>Application!G741</f>
        <v>0</v>
      </c>
      <c r="C27" s="892"/>
      <c r="D27" s="316">
        <f>Application!O741</f>
        <v>0</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f>Application!B752</f>
        <v>0</v>
      </c>
      <c r="B38" s="891">
        <f>Application!G752</f>
        <v>0</v>
      </c>
      <c r="C38" s="892"/>
      <c r="D38" s="316">
        <f>Application!O752</f>
        <v>0</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c r="A40" s="318" t="s">
        <v>2717</v>
      </c>
      <c r="B40" s="319"/>
      <c r="C40" s="319"/>
      <c r="D40" s="320">
        <f ca="1">Application!O753</f>
        <v>109886.99999999999</v>
      </c>
      <c r="E40" s="317"/>
      <c r="F40" s="317"/>
      <c r="G40" s="320">
        <f>SUM(G4:G38)*12</f>
        <v>0</v>
      </c>
      <c r="H40" s="321"/>
      <c r="I40" s="319"/>
      <c r="J40" s="320">
        <f>SUM(J4:J38)*12</f>
        <v>0</v>
      </c>
      <c r="K40" s="118"/>
      <c r="L40" s="201"/>
    </row>
    <row r="41" spans="1:12">
      <c r="A41" s="318"/>
      <c r="B41" s="319"/>
      <c r="C41" s="319"/>
      <c r="D41" s="321"/>
      <c r="E41" s="317"/>
      <c r="F41" s="317"/>
      <c r="G41" s="321"/>
      <c r="H41" s="321"/>
      <c r="I41" s="319"/>
      <c r="J41" s="321"/>
      <c r="K41" s="118"/>
      <c r="L41" s="201"/>
    </row>
    <row r="42" spans="1:12">
      <c r="A42" s="322" t="s">
        <v>2718</v>
      </c>
      <c r="B42" s="123"/>
      <c r="C42" s="123"/>
      <c r="D42" s="123"/>
      <c r="E42" s="123"/>
      <c r="F42" s="123"/>
      <c r="G42" s="123"/>
      <c r="H42" s="123"/>
      <c r="I42" s="123"/>
      <c r="J42" s="123"/>
    </row>
    <row r="43" spans="1:12">
      <c r="A43" s="322" t="s">
        <v>2719</v>
      </c>
      <c r="B43" s="123"/>
      <c r="C43" s="123"/>
      <c r="D43" s="123"/>
      <c r="E43" s="123"/>
      <c r="F43" s="123"/>
      <c r="G43" s="123"/>
      <c r="H43" s="123"/>
      <c r="I43" s="123"/>
      <c r="J43" s="123"/>
    </row>
    <row r="44" spans="1:12">
      <c r="A44" s="123" t="s">
        <v>2720</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4" zoomScale="90" zoomScaleNormal="90" workbookViewId="0">
      <selection activeCell="I46" sqref="I46"/>
    </sheetView>
  </sheetViews>
  <sheetFormatPr baseColWidth="10" defaultColWidth="0" defaultRowHeight="13" zeroHeight="1"/>
  <cols>
    <col min="1" max="1" width="3.5" customWidth="1"/>
    <col min="2" max="2" width="30.5" customWidth="1"/>
    <col min="3" max="3" width="9.1640625" style="126"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 min="35" max="35" width="0" hidden="1" customWidth="1"/>
    <col min="36" max="16384" width="8.83203125" hidden="1"/>
  </cols>
  <sheetData>
    <row r="1" spans="1:34" ht="18">
      <c r="A1" s="124" t="s">
        <v>2721</v>
      </c>
      <c r="B1" s="124"/>
    </row>
    <row r="2" spans="1:34"/>
    <row r="3" spans="1:34" ht="16">
      <c r="A3" s="125" t="s">
        <v>2722</v>
      </c>
      <c r="B3" s="125"/>
      <c r="C3" s="147" t="s">
        <v>2723</v>
      </c>
      <c r="D3" s="1118"/>
      <c r="E3" s="148" t="s">
        <v>2724</v>
      </c>
      <c r="F3" s="117"/>
      <c r="G3" s="148" t="s">
        <v>2725</v>
      </c>
      <c r="H3" s="117"/>
      <c r="I3" s="148" t="s">
        <v>2726</v>
      </c>
      <c r="J3" s="117"/>
      <c r="K3" s="148" t="s">
        <v>2727</v>
      </c>
      <c r="L3" s="117"/>
      <c r="M3" s="148" t="s">
        <v>2728</v>
      </c>
      <c r="N3" s="117"/>
      <c r="O3" s="148" t="s">
        <v>2729</v>
      </c>
      <c r="P3" s="117"/>
      <c r="Q3" s="148" t="s">
        <v>2730</v>
      </c>
      <c r="R3" s="117"/>
      <c r="S3" s="148" t="s">
        <v>2731</v>
      </c>
      <c r="T3" s="117"/>
      <c r="U3" s="148" t="s">
        <v>2732</v>
      </c>
      <c r="V3" s="117"/>
      <c r="W3" s="148" t="s">
        <v>2733</v>
      </c>
      <c r="X3" s="117"/>
      <c r="Y3" s="148" t="s">
        <v>2734</v>
      </c>
      <c r="Z3" s="117"/>
      <c r="AA3" s="148" t="s">
        <v>2735</v>
      </c>
      <c r="AB3" s="117"/>
      <c r="AC3" s="148" t="s">
        <v>2736</v>
      </c>
      <c r="AD3" s="117"/>
      <c r="AE3" s="148" t="s">
        <v>2737</v>
      </c>
      <c r="AF3" s="117"/>
      <c r="AG3" s="148" t="s">
        <v>2738</v>
      </c>
      <c r="AH3" s="1118"/>
    </row>
    <row r="4" spans="1:34" s="132" customFormat="1" ht="14">
      <c r="A4" s="132" t="s">
        <v>2739</v>
      </c>
      <c r="C4" s="1096">
        <v>1.0249999999999999</v>
      </c>
      <c r="E4" s="132">
        <f ca="1">Application!Y801</f>
        <v>1318643.9999999998</v>
      </c>
      <c r="G4" s="132">
        <f ca="1">E4*$C$4</f>
        <v>1351610.0999999996</v>
      </c>
      <c r="I4" s="132">
        <f ca="1">G4*$C$4</f>
        <v>1385400.3524999996</v>
      </c>
      <c r="K4" s="132">
        <f ca="1">I4*$C$4</f>
        <v>1420035.3613124995</v>
      </c>
      <c r="M4" s="132">
        <f ca="1">K4*$C$4</f>
        <v>1455536.2453453119</v>
      </c>
      <c r="O4" s="132">
        <f ca="1">M4*$C$4</f>
        <v>1491924.6514789446</v>
      </c>
      <c r="Q4" s="132">
        <f ca="1">O4*$C$4</f>
        <v>1529222.767765918</v>
      </c>
      <c r="S4" s="132">
        <f ca="1">Q4*$C$4</f>
        <v>1567453.3369600659</v>
      </c>
      <c r="U4" s="132">
        <f ca="1">S4*$C$4</f>
        <v>1606639.6703840673</v>
      </c>
      <c r="W4" s="132">
        <f ca="1">U4*$C$4</f>
        <v>1646805.6621436689</v>
      </c>
      <c r="Y4" s="132">
        <f ca="1">W4*$C$4</f>
        <v>1687975.8036972603</v>
      </c>
      <c r="AA4" s="132">
        <f ca="1">Y4*$C$4</f>
        <v>1730175.1987896918</v>
      </c>
      <c r="AC4" s="132">
        <f ca="1">AA4*$C$4</f>
        <v>1773429.5787594339</v>
      </c>
      <c r="AE4" s="132">
        <f ca="1">AC4*$C$4</f>
        <v>1817765.3182284196</v>
      </c>
      <c r="AG4" s="132">
        <f ca="1">AE4*$C$4</f>
        <v>1863209.45118413</v>
      </c>
    </row>
    <row r="5" spans="1:34" s="123" customFormat="1" ht="14">
      <c r="B5" s="123" t="s">
        <v>2085</v>
      </c>
      <c r="C5" s="1097">
        <f>IF(Application!$D$211="Special Needs",0.1,0.05)</f>
        <v>0.05</v>
      </c>
      <c r="E5" s="134">
        <f ca="1">-E4*$C$5</f>
        <v>-65932.2</v>
      </c>
      <c r="F5" s="134"/>
      <c r="G5" s="134">
        <f ca="1">-G4*$C$5</f>
        <v>-67580.50499999999</v>
      </c>
      <c r="H5" s="134"/>
      <c r="I5" s="134">
        <f ca="1">-I4*$C$5</f>
        <v>-69270.017624999979</v>
      </c>
      <c r="J5" s="134"/>
      <c r="K5" s="134">
        <f ca="1">-K4*$C$5</f>
        <v>-71001.768065624972</v>
      </c>
      <c r="L5" s="134"/>
      <c r="M5" s="134">
        <f ca="1">-M4*$C$5</f>
        <v>-72776.812267265603</v>
      </c>
      <c r="N5" s="134"/>
      <c r="O5" s="134">
        <f ca="1">-O4*$C$5</f>
        <v>-74596.232573947229</v>
      </c>
      <c r="P5" s="134"/>
      <c r="Q5" s="134">
        <f ca="1">-Q4*$C$5</f>
        <v>-76461.138388295905</v>
      </c>
      <c r="R5" s="134"/>
      <c r="S5" s="134">
        <f ca="1">-S4*$C$5</f>
        <v>-78372.666848003297</v>
      </c>
      <c r="T5" s="134"/>
      <c r="U5" s="134">
        <f ca="1">-U4*$C$5</f>
        <v>-80331.983519203379</v>
      </c>
      <c r="V5" s="134"/>
      <c r="W5" s="134">
        <f ca="1">-W4*$C$5</f>
        <v>-82340.283107183452</v>
      </c>
      <c r="X5" s="134"/>
      <c r="Y5" s="134">
        <f ca="1">-Y4*$C$5</f>
        <v>-84398.790184863028</v>
      </c>
      <c r="Z5" s="134"/>
      <c r="AA5" s="134">
        <f ca="1">-AA4*$C$5</f>
        <v>-86508.759939484589</v>
      </c>
      <c r="AB5" s="134"/>
      <c r="AC5" s="134">
        <f ca="1">-AC4*$C$5</f>
        <v>-88671.478937971697</v>
      </c>
      <c r="AD5" s="134"/>
      <c r="AE5" s="134">
        <f ca="1">-AE4*$C$5</f>
        <v>-90888.265911420982</v>
      </c>
      <c r="AF5" s="134"/>
      <c r="AG5" s="134">
        <f ca="1">-AG4*$C$5</f>
        <v>-93160.472559206508</v>
      </c>
    </row>
    <row r="6" spans="1:34" s="123" customFormat="1" ht="14">
      <c r="A6" s="123" t="s">
        <v>2740</v>
      </c>
      <c r="C6" s="1096">
        <v>1.0249999999999999</v>
      </c>
      <c r="E6" s="135">
        <f>Application!Z809</f>
        <v>0</v>
      </c>
      <c r="F6" s="135"/>
      <c r="G6" s="135">
        <f>E6*$C$6</f>
        <v>0</v>
      </c>
      <c r="H6" s="135"/>
      <c r="I6" s="135">
        <f>G6*$C$6</f>
        <v>0</v>
      </c>
      <c r="J6" s="135"/>
      <c r="K6" s="135">
        <f>I6*$C$6</f>
        <v>0</v>
      </c>
      <c r="L6" s="135"/>
      <c r="M6" s="135">
        <f>K6*$C$6</f>
        <v>0</v>
      </c>
      <c r="N6" s="135"/>
      <c r="O6" s="135">
        <f>M6*$C$6</f>
        <v>0</v>
      </c>
      <c r="P6" s="135"/>
      <c r="Q6" s="135">
        <f>O6*$C$6</f>
        <v>0</v>
      </c>
      <c r="R6" s="135"/>
      <c r="S6" s="135">
        <f>Q6*$C$6</f>
        <v>0</v>
      </c>
      <c r="T6" s="135"/>
      <c r="U6" s="135">
        <f>S6*$C$6</f>
        <v>0</v>
      </c>
      <c r="V6" s="135"/>
      <c r="W6" s="135">
        <f>U6*$C$6</f>
        <v>0</v>
      </c>
      <c r="X6" s="135"/>
      <c r="Y6" s="135">
        <f>W6*$C$6</f>
        <v>0</v>
      </c>
      <c r="Z6" s="135"/>
      <c r="AA6" s="135">
        <f>Y6*$C$6</f>
        <v>0</v>
      </c>
      <c r="AB6" s="135"/>
      <c r="AC6" s="135">
        <f>AA6*$C$6</f>
        <v>0</v>
      </c>
      <c r="AD6" s="135"/>
      <c r="AE6" s="135">
        <f>AC6*$C$6</f>
        <v>0</v>
      </c>
      <c r="AF6" s="135"/>
      <c r="AG6" s="135">
        <f>AE6*$C$6</f>
        <v>0</v>
      </c>
    </row>
    <row r="7" spans="1:34" s="123" customFormat="1" ht="14">
      <c r="B7" s="123" t="s">
        <v>2085</v>
      </c>
      <c r="C7" s="1097">
        <f>IF(Application!$D$211="Special Needs",0.1,0.05)</f>
        <v>0.05</v>
      </c>
      <c r="E7" s="134">
        <f>-E6*$C$7</f>
        <v>0</v>
      </c>
      <c r="F7" s="134"/>
      <c r="G7" s="134">
        <f>-G6*$C$7</f>
        <v>0</v>
      </c>
      <c r="H7" s="134"/>
      <c r="I7" s="134">
        <f>-I6*$C$7</f>
        <v>0</v>
      </c>
      <c r="J7" s="134"/>
      <c r="K7" s="134">
        <f>-K6*$C$7</f>
        <v>0</v>
      </c>
      <c r="L7" s="134"/>
      <c r="M7" s="134">
        <f>-M6*$C$7</f>
        <v>0</v>
      </c>
      <c r="N7" s="134"/>
      <c r="O7" s="134">
        <f>-O6*$C$7</f>
        <v>0</v>
      </c>
      <c r="P7" s="134"/>
      <c r="Q7" s="134">
        <f>-Q6*$C$7</f>
        <v>0</v>
      </c>
      <c r="R7" s="134"/>
      <c r="S7" s="134">
        <f>-S6*$C$7</f>
        <v>0</v>
      </c>
      <c r="T7" s="134"/>
      <c r="U7" s="134">
        <f>-U6*$C$7</f>
        <v>0</v>
      </c>
      <c r="V7" s="134"/>
      <c r="W7" s="134">
        <f>-W6*$C$7</f>
        <v>0</v>
      </c>
      <c r="X7" s="134"/>
      <c r="Y7" s="134">
        <f>-Y6*$C$7</f>
        <v>0</v>
      </c>
      <c r="Z7" s="134"/>
      <c r="AA7" s="134">
        <f>-AA6*$C$7</f>
        <v>0</v>
      </c>
      <c r="AB7" s="134"/>
      <c r="AC7" s="134">
        <f>-AC6*$C$7</f>
        <v>0</v>
      </c>
      <c r="AD7" s="134"/>
      <c r="AE7" s="134">
        <f>-AE6*$C$7</f>
        <v>0</v>
      </c>
      <c r="AF7" s="134"/>
      <c r="AG7" s="134">
        <f>-AG6*$C$7</f>
        <v>0</v>
      </c>
    </row>
    <row r="8" spans="1:34" s="123" customFormat="1" ht="14">
      <c r="A8" s="123" t="s">
        <v>214</v>
      </c>
      <c r="C8" s="1096">
        <v>1.0249999999999999</v>
      </c>
      <c r="E8" s="135">
        <f>Application!Z817</f>
        <v>12480</v>
      </c>
      <c r="F8" s="135"/>
      <c r="G8" s="135">
        <f>E8*$C$8</f>
        <v>12791.999999999998</v>
      </c>
      <c r="H8" s="135"/>
      <c r="I8" s="135">
        <f>G8*$C$8</f>
        <v>13111.799999999997</v>
      </c>
      <c r="J8" s="135"/>
      <c r="K8" s="135">
        <f>I8*$C$8</f>
        <v>13439.594999999996</v>
      </c>
      <c r="L8" s="135"/>
      <c r="M8" s="135">
        <f>K8*$C$8</f>
        <v>13775.584874999995</v>
      </c>
      <c r="N8" s="135"/>
      <c r="O8" s="135">
        <f>M8*$C$8</f>
        <v>14119.974496874993</v>
      </c>
      <c r="P8" s="135"/>
      <c r="Q8" s="135">
        <f>O8*$C$8</f>
        <v>14472.973859296866</v>
      </c>
      <c r="R8" s="135"/>
      <c r="S8" s="135">
        <f>Q8*$C$8</f>
        <v>14834.798205779287</v>
      </c>
      <c r="T8" s="135"/>
      <c r="U8" s="135">
        <f>S8*$C$8</f>
        <v>15205.668160923768</v>
      </c>
      <c r="V8" s="135"/>
      <c r="W8" s="135">
        <f>U8*$C$8</f>
        <v>15585.809864946861</v>
      </c>
      <c r="X8" s="135"/>
      <c r="Y8" s="135">
        <f>W8*$C$8</f>
        <v>15975.455111570531</v>
      </c>
      <c r="Z8" s="135"/>
      <c r="AA8" s="135">
        <f>Y8*$C$8</f>
        <v>16374.841489359793</v>
      </c>
      <c r="AB8" s="135"/>
      <c r="AC8" s="135">
        <f>AA8*$C$8</f>
        <v>16784.212526593787</v>
      </c>
      <c r="AD8" s="135"/>
      <c r="AE8" s="135">
        <f>AC8*$C$8</f>
        <v>17203.817839758631</v>
      </c>
      <c r="AF8" s="135"/>
      <c r="AG8" s="135">
        <f>AE8*$C$8</f>
        <v>17633.913285752595</v>
      </c>
    </row>
    <row r="9" spans="1:34" s="123" customFormat="1" ht="14">
      <c r="B9" s="123" t="s">
        <v>2085</v>
      </c>
      <c r="C9" s="1097">
        <f>IF(Application!$D$211="Special Needs",0.1,0.05)</f>
        <v>0.05</v>
      </c>
      <c r="E9" s="134">
        <f>-E8*$C$9</f>
        <v>-624</v>
      </c>
      <c r="F9" s="134"/>
      <c r="G9" s="134">
        <f>-G8*$C$9</f>
        <v>-639.59999999999991</v>
      </c>
      <c r="H9" s="134"/>
      <c r="I9" s="134">
        <f>-I8*$C$9</f>
        <v>-655.58999999999992</v>
      </c>
      <c r="J9" s="134"/>
      <c r="K9" s="134">
        <f>-K8*$C$9</f>
        <v>-671.97974999999985</v>
      </c>
      <c r="L9" s="134"/>
      <c r="M9" s="134">
        <f>-M8*$C$9</f>
        <v>-688.77924374999975</v>
      </c>
      <c r="N9" s="134"/>
      <c r="O9" s="134">
        <f>-O8*$C$9</f>
        <v>-705.99872484374964</v>
      </c>
      <c r="P9" s="134"/>
      <c r="Q9" s="134">
        <f>-Q8*$C$9</f>
        <v>-723.64869296484335</v>
      </c>
      <c r="R9" s="134"/>
      <c r="S9" s="134">
        <f>-S8*$C$9</f>
        <v>-741.73991028896444</v>
      </c>
      <c r="T9" s="134"/>
      <c r="U9" s="134">
        <f>-U8*$C$9</f>
        <v>-760.28340804618847</v>
      </c>
      <c r="V9" s="134"/>
      <c r="W9" s="134">
        <f>-W8*$C$9</f>
        <v>-779.29049324734308</v>
      </c>
      <c r="X9" s="134"/>
      <c r="Y9" s="134">
        <f>-Y8*$C$9</f>
        <v>-798.77275557852658</v>
      </c>
      <c r="Z9" s="134"/>
      <c r="AA9" s="134">
        <f>-AA8*$C$9</f>
        <v>-818.74207446798971</v>
      </c>
      <c r="AB9" s="134"/>
      <c r="AC9" s="134">
        <f>-AC8*$C$9</f>
        <v>-839.21062632968938</v>
      </c>
      <c r="AD9" s="134"/>
      <c r="AE9" s="134">
        <f>-AE8*$C$9</f>
        <v>-860.19089198793154</v>
      </c>
      <c r="AF9" s="134"/>
      <c r="AG9" s="134">
        <f>-AG8*$C$9</f>
        <v>-881.69566428762982</v>
      </c>
    </row>
    <row r="10" spans="1:34" s="123" customFormat="1" ht="14">
      <c r="A10" s="955" t="s">
        <v>2741</v>
      </c>
      <c r="B10" s="955"/>
      <c r="C10" s="1097"/>
      <c r="E10" s="956"/>
      <c r="F10" s="135"/>
      <c r="G10" s="956"/>
      <c r="H10" s="135"/>
      <c r="I10" s="956"/>
      <c r="J10" s="135"/>
      <c r="K10" s="956"/>
      <c r="L10" s="135"/>
      <c r="M10" s="956"/>
      <c r="N10" s="135"/>
      <c r="O10" s="956"/>
      <c r="P10" s="135"/>
      <c r="Q10" s="956"/>
      <c r="R10" s="135"/>
      <c r="S10" s="956"/>
      <c r="T10" s="135"/>
      <c r="U10" s="956"/>
      <c r="V10" s="135"/>
      <c r="W10" s="956"/>
      <c r="X10" s="135"/>
      <c r="Y10" s="956"/>
      <c r="Z10" s="135"/>
      <c r="AA10" s="956"/>
      <c r="AB10" s="135"/>
      <c r="AC10" s="956"/>
      <c r="AD10" s="135"/>
      <c r="AE10" s="956"/>
      <c r="AF10" s="135"/>
      <c r="AG10" s="956"/>
    </row>
    <row r="11" spans="1:34" s="136" customFormat="1" ht="14">
      <c r="A11" s="136" t="s">
        <v>2742</v>
      </c>
      <c r="C11" s="128"/>
      <c r="E11" s="136">
        <f ca="1">SUM(E4:E10)</f>
        <v>1264567.7999999998</v>
      </c>
      <c r="G11" s="136">
        <f ca="1">SUM(G4:G10)</f>
        <v>1296181.9949999996</v>
      </c>
      <c r="I11" s="136">
        <f ca="1">SUM(I4:I10)</f>
        <v>1328586.5448749997</v>
      </c>
      <c r="K11" s="136">
        <f ca="1">SUM(K4:K10)</f>
        <v>1361801.2084968747</v>
      </c>
      <c r="M11" s="136">
        <f ca="1">SUM(M4:M10)</f>
        <v>1395846.2387092963</v>
      </c>
      <c r="O11" s="136">
        <f ca="1">SUM(O4:O10)</f>
        <v>1430742.3946770285</v>
      </c>
      <c r="Q11" s="136">
        <f ca="1">SUM(Q4:Q10)</f>
        <v>1466510.9545439542</v>
      </c>
      <c r="S11" s="136">
        <f ca="1">SUM(S4:S10)</f>
        <v>1503173.7284075529</v>
      </c>
      <c r="U11" s="136">
        <f ca="1">SUM(U4:U10)</f>
        <v>1540753.0716177416</v>
      </c>
      <c r="W11" s="136">
        <f ca="1">SUM(W4:W10)</f>
        <v>1579271.898408185</v>
      </c>
      <c r="Y11" s="136">
        <f ca="1">SUM(Y4:Y10)</f>
        <v>1618753.695868389</v>
      </c>
      <c r="AA11" s="136">
        <f ca="1">SUM(AA4:AA10)</f>
        <v>1659222.5382650991</v>
      </c>
      <c r="AC11" s="136">
        <f ca="1">SUM(AC4:AC10)</f>
        <v>1700703.1017217264</v>
      </c>
      <c r="AE11" s="136">
        <f ca="1">SUM(AE4:AE10)</f>
        <v>1743220.6792647694</v>
      </c>
      <c r="AG11" s="136">
        <f ca="1">SUM(AG4:AG10)</f>
        <v>1786801.1962463886</v>
      </c>
    </row>
    <row r="12" spans="1:34">
      <c r="C12" s="783"/>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row>
    <row r="13" spans="1:34" ht="16">
      <c r="A13" s="125" t="s">
        <v>2743</v>
      </c>
      <c r="C13" s="783"/>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row>
    <row r="14" spans="1:34" s="123" customFormat="1" ht="14">
      <c r="A14" s="123" t="s">
        <v>2744</v>
      </c>
      <c r="C14" s="1096">
        <v>1.0349999999999999</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row>
    <row r="15" spans="1:34" s="132" customFormat="1" ht="14">
      <c r="A15" s="132" t="s">
        <v>2745</v>
      </c>
      <c r="C15" s="791"/>
      <c r="E15" s="132">
        <f>Application!W847</f>
        <v>67329</v>
      </c>
      <c r="G15" s="132">
        <f>E15*$C$14</f>
        <v>69685.514999999999</v>
      </c>
      <c r="I15" s="132">
        <f>G15*$C$14</f>
        <v>72124.508024999988</v>
      </c>
      <c r="K15" s="132">
        <f>I15*$C$14</f>
        <v>74648.865805874986</v>
      </c>
      <c r="M15" s="132">
        <f>K15*$C$14</f>
        <v>77261.576109080605</v>
      </c>
      <c r="O15" s="132">
        <f>M15*$C$14</f>
        <v>79965.731272898425</v>
      </c>
      <c r="Q15" s="132">
        <f>O15*$C$14</f>
        <v>82764.53186744987</v>
      </c>
      <c r="S15" s="132">
        <f>Q15*$C$14</f>
        <v>85661.290482810611</v>
      </c>
      <c r="U15" s="132">
        <f>S15*$C$14</f>
        <v>88659.435649708976</v>
      </c>
      <c r="W15" s="132">
        <f>U15*$C$14</f>
        <v>91762.515897448786</v>
      </c>
      <c r="Y15" s="132">
        <f>W15*$C$14</f>
        <v>94974.203953859484</v>
      </c>
      <c r="AA15" s="132">
        <f>Y15*$C$14</f>
        <v>98298.301092244554</v>
      </c>
      <c r="AC15" s="132">
        <f>AA15*$C$14</f>
        <v>101738.7416304731</v>
      </c>
      <c r="AE15" s="132">
        <f>AC15*$C$14</f>
        <v>105299.59758753965</v>
      </c>
      <c r="AG15" s="132">
        <f>AE15*$C$14</f>
        <v>108985.08350310354</v>
      </c>
    </row>
    <row r="16" spans="1:34" s="123" customFormat="1" ht="14">
      <c r="A16" s="123" t="s">
        <v>1618</v>
      </c>
      <c r="C16" s="783"/>
      <c r="E16" s="135">
        <f>Application!W849</f>
        <v>67933</v>
      </c>
      <c r="F16" s="135"/>
      <c r="G16" s="135">
        <f t="shared" ref="G16:AG21" si="0">E16*$C$14</f>
        <v>70310.654999999999</v>
      </c>
      <c r="H16" s="135"/>
      <c r="I16" s="135">
        <f t="shared" si="0"/>
        <v>72771.527924999988</v>
      </c>
      <c r="J16" s="135"/>
      <c r="K16" s="135">
        <f t="shared" si="0"/>
        <v>75318.531402374982</v>
      </c>
      <c r="L16" s="135"/>
      <c r="M16" s="135">
        <f t="shared" si="0"/>
        <v>77954.680001458095</v>
      </c>
      <c r="N16" s="135"/>
      <c r="O16" s="135">
        <f t="shared" si="0"/>
        <v>80683.093801509123</v>
      </c>
      <c r="P16" s="135"/>
      <c r="Q16" s="135">
        <f t="shared" si="0"/>
        <v>83507.002084561929</v>
      </c>
      <c r="R16" s="135"/>
      <c r="S16" s="135">
        <f t="shared" si="0"/>
        <v>86429.74715752159</v>
      </c>
      <c r="T16" s="135"/>
      <c r="U16" s="135">
        <f t="shared" si="0"/>
        <v>89454.78830803484</v>
      </c>
      <c r="V16" s="135"/>
      <c r="W16" s="135">
        <f t="shared" si="0"/>
        <v>92585.705898816057</v>
      </c>
      <c r="X16" s="135"/>
      <c r="Y16" s="135">
        <f t="shared" si="0"/>
        <v>95826.205605274605</v>
      </c>
      <c r="Z16" s="135"/>
      <c r="AA16" s="135">
        <f t="shared" si="0"/>
        <v>99180.122801459205</v>
      </c>
      <c r="AB16" s="135"/>
      <c r="AC16" s="135">
        <f t="shared" si="0"/>
        <v>102651.42709951027</v>
      </c>
      <c r="AD16" s="135"/>
      <c r="AE16" s="135">
        <f t="shared" si="0"/>
        <v>106244.22704799312</v>
      </c>
      <c r="AF16" s="135"/>
      <c r="AG16" s="135">
        <f t="shared" si="0"/>
        <v>109962.77499467287</v>
      </c>
    </row>
    <row r="17" spans="1:33" s="123" customFormat="1" ht="14">
      <c r="A17" s="123" t="s">
        <v>229</v>
      </c>
      <c r="C17" s="783"/>
      <c r="E17" s="135">
        <f>Application!W855</f>
        <v>81747</v>
      </c>
      <c r="F17" s="135"/>
      <c r="G17" s="135">
        <f t="shared" si="0"/>
        <v>84608.14499999999</v>
      </c>
      <c r="H17" s="135"/>
      <c r="I17" s="135">
        <f t="shared" si="0"/>
        <v>87569.430074999982</v>
      </c>
      <c r="J17" s="135"/>
      <c r="K17" s="135">
        <f t="shared" si="0"/>
        <v>90634.360127624968</v>
      </c>
      <c r="L17" s="135"/>
      <c r="M17" s="135">
        <f t="shared" si="0"/>
        <v>93806.562732091828</v>
      </c>
      <c r="N17" s="135"/>
      <c r="O17" s="135">
        <f t="shared" si="0"/>
        <v>97089.79242771503</v>
      </c>
      <c r="P17" s="135"/>
      <c r="Q17" s="135">
        <f t="shared" si="0"/>
        <v>100487.93516268505</v>
      </c>
      <c r="R17" s="135"/>
      <c r="S17" s="135">
        <f t="shared" si="0"/>
        <v>104005.01289337903</v>
      </c>
      <c r="T17" s="135"/>
      <c r="U17" s="135">
        <f t="shared" si="0"/>
        <v>107645.18834464728</v>
      </c>
      <c r="V17" s="135"/>
      <c r="W17" s="135">
        <f t="shared" si="0"/>
        <v>111412.76993670993</v>
      </c>
      <c r="X17" s="135"/>
      <c r="Y17" s="135">
        <f t="shared" si="0"/>
        <v>115312.21688449476</v>
      </c>
      <c r="Z17" s="135"/>
      <c r="AA17" s="135">
        <f t="shared" si="0"/>
        <v>119348.14447545206</v>
      </c>
      <c r="AB17" s="135"/>
      <c r="AC17" s="135">
        <f t="shared" si="0"/>
        <v>123525.32953209287</v>
      </c>
      <c r="AD17" s="135"/>
      <c r="AE17" s="135">
        <f t="shared" si="0"/>
        <v>127848.71606571611</v>
      </c>
      <c r="AF17" s="135"/>
      <c r="AG17" s="135">
        <f t="shared" si="0"/>
        <v>132323.42112801617</v>
      </c>
    </row>
    <row r="18" spans="1:33" s="123" customFormat="1" ht="14">
      <c r="A18" s="123" t="s">
        <v>2746</v>
      </c>
      <c r="C18" s="783"/>
      <c r="E18" s="135">
        <f>Application!W862</f>
        <v>162364</v>
      </c>
      <c r="F18" s="135"/>
      <c r="G18" s="135">
        <f t="shared" si="0"/>
        <v>168046.74</v>
      </c>
      <c r="H18" s="135"/>
      <c r="I18" s="135">
        <f t="shared" si="0"/>
        <v>173928.37589999998</v>
      </c>
      <c r="J18" s="135"/>
      <c r="K18" s="135">
        <f t="shared" si="0"/>
        <v>180015.86905649997</v>
      </c>
      <c r="L18" s="135"/>
      <c r="M18" s="135">
        <f t="shared" si="0"/>
        <v>186316.42447347747</v>
      </c>
      <c r="N18" s="135"/>
      <c r="O18" s="135">
        <f t="shared" si="0"/>
        <v>192837.49933004918</v>
      </c>
      <c r="P18" s="135"/>
      <c r="Q18" s="135">
        <f t="shared" si="0"/>
        <v>199586.81180660089</v>
      </c>
      <c r="R18" s="135"/>
      <c r="S18" s="135">
        <f t="shared" si="0"/>
        <v>206572.35021983192</v>
      </c>
      <c r="T18" s="135"/>
      <c r="U18" s="135">
        <f t="shared" si="0"/>
        <v>213802.38247752603</v>
      </c>
      <c r="V18" s="135"/>
      <c r="W18" s="135">
        <f t="shared" si="0"/>
        <v>221285.46586423944</v>
      </c>
      <c r="X18" s="135"/>
      <c r="Y18" s="135">
        <f t="shared" si="0"/>
        <v>229030.45716948781</v>
      </c>
      <c r="Z18" s="135"/>
      <c r="AA18" s="135">
        <f t="shared" si="0"/>
        <v>237046.52317041985</v>
      </c>
      <c r="AB18" s="135"/>
      <c r="AC18" s="135">
        <f t="shared" si="0"/>
        <v>245343.15148138453</v>
      </c>
      <c r="AD18" s="135"/>
      <c r="AE18" s="135">
        <f t="shared" si="0"/>
        <v>253930.16178323296</v>
      </c>
      <c r="AF18" s="135"/>
      <c r="AG18" s="135">
        <f t="shared" si="0"/>
        <v>262817.71744564612</v>
      </c>
    </row>
    <row r="19" spans="1:33" s="123" customFormat="1" ht="14">
      <c r="A19" s="123" t="s">
        <v>1845</v>
      </c>
      <c r="C19" s="783"/>
      <c r="E19" s="135">
        <f>Application!W863</f>
        <v>0</v>
      </c>
      <c r="F19" s="135"/>
      <c r="G19" s="135">
        <f t="shared" si="0"/>
        <v>0</v>
      </c>
      <c r="H19" s="135"/>
      <c r="I19" s="135">
        <f t="shared" si="0"/>
        <v>0</v>
      </c>
      <c r="J19" s="135"/>
      <c r="K19" s="135">
        <f t="shared" si="0"/>
        <v>0</v>
      </c>
      <c r="L19" s="135"/>
      <c r="M19" s="135">
        <f t="shared" si="0"/>
        <v>0</v>
      </c>
      <c r="N19" s="135"/>
      <c r="O19" s="135">
        <f t="shared" si="0"/>
        <v>0</v>
      </c>
      <c r="P19" s="135"/>
      <c r="Q19" s="135">
        <f t="shared" si="0"/>
        <v>0</v>
      </c>
      <c r="R19" s="135"/>
      <c r="S19" s="135">
        <f t="shared" si="0"/>
        <v>0</v>
      </c>
      <c r="T19" s="135"/>
      <c r="U19" s="135">
        <f t="shared" si="0"/>
        <v>0</v>
      </c>
      <c r="V19" s="135"/>
      <c r="W19" s="135">
        <f t="shared" si="0"/>
        <v>0</v>
      </c>
      <c r="X19" s="135"/>
      <c r="Y19" s="135">
        <f t="shared" si="0"/>
        <v>0</v>
      </c>
      <c r="Z19" s="135"/>
      <c r="AA19" s="135">
        <f t="shared" si="0"/>
        <v>0</v>
      </c>
      <c r="AB19" s="135"/>
      <c r="AC19" s="135">
        <f t="shared" si="0"/>
        <v>0</v>
      </c>
      <c r="AD19" s="135"/>
      <c r="AE19" s="135">
        <f t="shared" si="0"/>
        <v>0</v>
      </c>
      <c r="AF19" s="135"/>
      <c r="AG19" s="135">
        <f t="shared" si="0"/>
        <v>0</v>
      </c>
    </row>
    <row r="20" spans="1:33" s="123" customFormat="1" ht="14">
      <c r="A20" s="123" t="s">
        <v>231</v>
      </c>
      <c r="C20" s="783"/>
      <c r="E20" s="135">
        <f>Application!W872</f>
        <v>59860</v>
      </c>
      <c r="F20" s="135"/>
      <c r="G20" s="135">
        <f t="shared" si="0"/>
        <v>61955.1</v>
      </c>
      <c r="H20" s="135"/>
      <c r="I20" s="135">
        <f t="shared" si="0"/>
        <v>64123.528499999993</v>
      </c>
      <c r="J20" s="135"/>
      <c r="K20" s="135">
        <f t="shared" si="0"/>
        <v>66367.851997499994</v>
      </c>
      <c r="L20" s="135"/>
      <c r="M20" s="135">
        <f t="shared" si="0"/>
        <v>68690.726817412491</v>
      </c>
      <c r="N20" s="135"/>
      <c r="O20" s="135">
        <f t="shared" si="0"/>
        <v>71094.902256021916</v>
      </c>
      <c r="P20" s="135"/>
      <c r="Q20" s="135">
        <f t="shared" si="0"/>
        <v>73583.22383498268</v>
      </c>
      <c r="R20" s="135"/>
      <c r="S20" s="135">
        <f t="shared" si="0"/>
        <v>76158.636669207073</v>
      </c>
      <c r="T20" s="135"/>
      <c r="U20" s="135">
        <f t="shared" si="0"/>
        <v>78824.188952629309</v>
      </c>
      <c r="V20" s="135"/>
      <c r="W20" s="135">
        <f t="shared" si="0"/>
        <v>81583.035565971324</v>
      </c>
      <c r="X20" s="135"/>
      <c r="Y20" s="135">
        <f t="shared" si="0"/>
        <v>84438.441810780307</v>
      </c>
      <c r="Z20" s="135"/>
      <c r="AA20" s="135">
        <f t="shared" si="0"/>
        <v>87393.787274157614</v>
      </c>
      <c r="AB20" s="135"/>
      <c r="AC20" s="135">
        <f t="shared" si="0"/>
        <v>90452.569828753127</v>
      </c>
      <c r="AD20" s="135"/>
      <c r="AE20" s="135">
        <f t="shared" si="0"/>
        <v>93618.409772759478</v>
      </c>
      <c r="AF20" s="135"/>
      <c r="AG20" s="135">
        <f t="shared" si="0"/>
        <v>96895.054114806058</v>
      </c>
    </row>
    <row r="21" spans="1:33" s="123" customFormat="1" ht="14">
      <c r="A21" s="139" t="s">
        <v>2747</v>
      </c>
      <c r="B21" s="139"/>
      <c r="C21" s="783"/>
      <c r="E21" s="145">
        <f>Application!W879</f>
        <v>145081</v>
      </c>
      <c r="F21" s="135"/>
      <c r="G21" s="145">
        <f t="shared" si="0"/>
        <v>150158.83499999999</v>
      </c>
      <c r="H21" s="135"/>
      <c r="I21" s="145">
        <f t="shared" si="0"/>
        <v>155414.39422499997</v>
      </c>
      <c r="J21" s="135"/>
      <c r="K21" s="145">
        <f t="shared" si="0"/>
        <v>160853.89802287496</v>
      </c>
      <c r="L21" s="135"/>
      <c r="M21" s="145">
        <f t="shared" si="0"/>
        <v>166483.78445367556</v>
      </c>
      <c r="N21" s="135"/>
      <c r="O21" s="145">
        <f t="shared" si="0"/>
        <v>172310.71690955418</v>
      </c>
      <c r="P21" s="135"/>
      <c r="Q21" s="145">
        <f t="shared" si="0"/>
        <v>178341.59200138855</v>
      </c>
      <c r="R21" s="135"/>
      <c r="S21" s="145">
        <f t="shared" si="0"/>
        <v>184583.54772143712</v>
      </c>
      <c r="T21" s="135"/>
      <c r="U21" s="145">
        <f t="shared" si="0"/>
        <v>191043.9718916874</v>
      </c>
      <c r="V21" s="135"/>
      <c r="W21" s="145">
        <f t="shared" si="0"/>
        <v>197730.51090789645</v>
      </c>
      <c r="X21" s="135"/>
      <c r="Y21" s="145">
        <f t="shared" si="0"/>
        <v>204651.07878967281</v>
      </c>
      <c r="Z21" s="135"/>
      <c r="AA21" s="145">
        <f t="shared" si="0"/>
        <v>211813.86654731134</v>
      </c>
      <c r="AB21" s="135"/>
      <c r="AC21" s="145">
        <f t="shared" si="0"/>
        <v>219227.3518764672</v>
      </c>
      <c r="AD21" s="135"/>
      <c r="AE21" s="145">
        <f t="shared" si="0"/>
        <v>226900.30919214353</v>
      </c>
      <c r="AF21" s="135"/>
      <c r="AG21" s="145">
        <f t="shared" si="0"/>
        <v>234841.82001386854</v>
      </c>
    </row>
    <row r="22" spans="1:33" s="136" customFormat="1" ht="14">
      <c r="A22" s="136" t="s">
        <v>2748</v>
      </c>
      <c r="C22" s="783"/>
      <c r="E22" s="136">
        <f>SUM(E15:E21)</f>
        <v>584314</v>
      </c>
      <c r="G22" s="136">
        <f>SUM(G15:G21)</f>
        <v>604764.98999999987</v>
      </c>
      <c r="I22" s="136">
        <f>SUM(I15:I21)</f>
        <v>625931.76464999991</v>
      </c>
      <c r="K22" s="136">
        <f>SUM(K15:K21)</f>
        <v>647839.37641274976</v>
      </c>
      <c r="M22" s="136">
        <f>SUM(M15:M21)</f>
        <v>670513.75458719605</v>
      </c>
      <c r="O22" s="136">
        <f>SUM(O15:O21)</f>
        <v>693981.73599774786</v>
      </c>
      <c r="Q22" s="136">
        <f>SUM(Q15:Q21)</f>
        <v>718271.096757669</v>
      </c>
      <c r="S22" s="136">
        <f>SUM(S15:S21)</f>
        <v>743410.58514418732</v>
      </c>
      <c r="U22" s="136">
        <f>SUM(U15:U21)</f>
        <v>769429.95562423381</v>
      </c>
      <c r="W22" s="136">
        <f>SUM(W15:W21)</f>
        <v>796360.00407108199</v>
      </c>
      <c r="Y22" s="136">
        <f>SUM(Y15:Y21)</f>
        <v>824232.60421356978</v>
      </c>
      <c r="AA22" s="136">
        <f>SUM(AA15:AA21)</f>
        <v>853080.74536104465</v>
      </c>
      <c r="AC22" s="136">
        <f>SUM(AC15:AC21)</f>
        <v>882938.57144868118</v>
      </c>
      <c r="AE22" s="136">
        <f>SUM(AE15:AE21)</f>
        <v>913841.42144938477</v>
      </c>
      <c r="AG22" s="136">
        <f>SUM(AG15:AG21)</f>
        <v>945825.87120011321</v>
      </c>
    </row>
    <row r="23" spans="1:33" s="123" customFormat="1" ht="14">
      <c r="C23" s="783"/>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row>
    <row r="24" spans="1:33" s="123" customFormat="1" ht="14">
      <c r="A24" s="123" t="s">
        <v>2749</v>
      </c>
      <c r="C24" s="783"/>
      <c r="E24" s="737"/>
      <c r="F24" s="135"/>
      <c r="G24" s="135">
        <f>E24*$C$24</f>
        <v>0</v>
      </c>
      <c r="H24" s="135"/>
      <c r="I24" s="135">
        <f>G24*$C$24</f>
        <v>0</v>
      </c>
      <c r="J24" s="135"/>
      <c r="K24" s="135">
        <f>I24*$C$24</f>
        <v>0</v>
      </c>
      <c r="L24" s="135"/>
      <c r="M24" s="135">
        <f>K24*$C$24</f>
        <v>0</v>
      </c>
      <c r="N24" s="135"/>
      <c r="O24" s="135">
        <f>M24*$C$24</f>
        <v>0</v>
      </c>
      <c r="P24" s="135"/>
      <c r="Q24" s="135">
        <f>O24*$C$24</f>
        <v>0</v>
      </c>
      <c r="R24" s="135"/>
      <c r="S24" s="135">
        <f>Q24*$C$24</f>
        <v>0</v>
      </c>
      <c r="T24" s="135"/>
      <c r="U24" s="135">
        <f>S24*$C$24</f>
        <v>0</v>
      </c>
      <c r="V24" s="135"/>
      <c r="W24" s="135">
        <f>U24*$C$24</f>
        <v>0</v>
      </c>
      <c r="X24" s="135"/>
      <c r="Y24" s="135">
        <f>W24*$C$24</f>
        <v>0</v>
      </c>
      <c r="Z24" s="135"/>
      <c r="AA24" s="135">
        <f>Y24*$C$24</f>
        <v>0</v>
      </c>
      <c r="AB24" s="135"/>
      <c r="AC24" s="135">
        <f>AA24*$C$24</f>
        <v>0</v>
      </c>
      <c r="AD24" s="135"/>
      <c r="AE24" s="135">
        <f>AC24*$C$24</f>
        <v>0</v>
      </c>
      <c r="AF24" s="135"/>
      <c r="AG24" s="135">
        <f>AE24*$C$24</f>
        <v>0</v>
      </c>
    </row>
    <row r="25" spans="1:33" s="123" customFormat="1" ht="14">
      <c r="C25" s="783"/>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row>
    <row r="26" spans="1:33" s="123" customFormat="1" ht="14">
      <c r="A26" s="123" t="s">
        <v>2750</v>
      </c>
      <c r="C26" s="1096">
        <v>1.0349999999999999</v>
      </c>
      <c r="E26" s="135">
        <f>Application!AC887</f>
        <v>0</v>
      </c>
      <c r="F26" s="135"/>
      <c r="G26" s="135">
        <f>E26*$C$26</f>
        <v>0</v>
      </c>
      <c r="H26" s="135"/>
      <c r="I26" s="135">
        <f>G26*$C$26</f>
        <v>0</v>
      </c>
      <c r="J26" s="135"/>
      <c r="K26" s="135">
        <f>I26*$C$26</f>
        <v>0</v>
      </c>
      <c r="L26" s="135"/>
      <c r="M26" s="135">
        <f>K26*$C$26</f>
        <v>0</v>
      </c>
      <c r="N26" s="135"/>
      <c r="O26" s="135">
        <f>M26*$C$26</f>
        <v>0</v>
      </c>
      <c r="P26" s="135"/>
      <c r="Q26" s="135">
        <f>O26*$C$26</f>
        <v>0</v>
      </c>
      <c r="R26" s="135"/>
      <c r="S26" s="135">
        <f>Q26*$C$26</f>
        <v>0</v>
      </c>
      <c r="T26" s="135"/>
      <c r="U26" s="135">
        <f>S26*$C$26</f>
        <v>0</v>
      </c>
      <c r="V26" s="135"/>
      <c r="W26" s="135">
        <f>U26*$C$26</f>
        <v>0</v>
      </c>
      <c r="X26" s="135"/>
      <c r="Y26" s="135">
        <f>W26*$C$26</f>
        <v>0</v>
      </c>
      <c r="Z26" s="135"/>
      <c r="AA26" s="135">
        <f>Y26*$C$26</f>
        <v>0</v>
      </c>
      <c r="AB26" s="135"/>
      <c r="AC26" s="135">
        <f>AA26*$C$26</f>
        <v>0</v>
      </c>
      <c r="AD26" s="135"/>
      <c r="AE26" s="135">
        <f>AC26*$C$26</f>
        <v>0</v>
      </c>
      <c r="AF26" s="135"/>
      <c r="AG26" s="135">
        <f>AE26*$C$26</f>
        <v>0</v>
      </c>
    </row>
    <row r="27" spans="1:33" s="123" customFormat="1" ht="14">
      <c r="A27" s="123" t="s">
        <v>2136</v>
      </c>
      <c r="C27" s="1096">
        <v>1.0349999999999999</v>
      </c>
      <c r="E27" s="135">
        <f>Application!AC888</f>
        <v>108875</v>
      </c>
      <c r="F27" s="135"/>
      <c r="G27" s="135">
        <f>E27*$C$27</f>
        <v>112685.62499999999</v>
      </c>
      <c r="H27" s="135"/>
      <c r="I27" s="135">
        <f>G27*$C$27</f>
        <v>116629.62187499998</v>
      </c>
      <c r="J27" s="135"/>
      <c r="K27" s="135">
        <f>I27*$C$27</f>
        <v>120711.65864062497</v>
      </c>
      <c r="L27" s="135"/>
      <c r="M27" s="135">
        <f>K27*$C$27</f>
        <v>124936.56669304683</v>
      </c>
      <c r="N27" s="135"/>
      <c r="O27" s="135">
        <f>M27*$C$27</f>
        <v>129309.34652730345</v>
      </c>
      <c r="P27" s="135"/>
      <c r="Q27" s="135">
        <f>O27*$C$27</f>
        <v>133835.17365575908</v>
      </c>
      <c r="R27" s="135"/>
      <c r="S27" s="135">
        <f>Q27*$C$27</f>
        <v>138519.40473371063</v>
      </c>
      <c r="T27" s="135"/>
      <c r="U27" s="135">
        <f>S27*$C$27</f>
        <v>143367.58389939051</v>
      </c>
      <c r="V27" s="135"/>
      <c r="W27" s="135">
        <f>U27*$C$27</f>
        <v>148385.44933586917</v>
      </c>
      <c r="X27" s="135"/>
      <c r="Y27" s="135">
        <f>W27*$C$27</f>
        <v>153578.94006262458</v>
      </c>
      <c r="Z27" s="135"/>
      <c r="AA27" s="135">
        <f>Y27*$C$27</f>
        <v>158954.20296481642</v>
      </c>
      <c r="AB27" s="135"/>
      <c r="AC27" s="135">
        <f>AA27*$C$27</f>
        <v>164517.60006858499</v>
      </c>
      <c r="AD27" s="135"/>
      <c r="AE27" s="135">
        <f>AC27*$C$27</f>
        <v>170275.71607098545</v>
      </c>
      <c r="AF27" s="135"/>
      <c r="AG27" s="135">
        <f>AE27*$C$27</f>
        <v>176235.36613346991</v>
      </c>
    </row>
    <row r="28" spans="1:33" s="123" customFormat="1" ht="14">
      <c r="A28" s="123" t="s">
        <v>2751</v>
      </c>
      <c r="C28" s="1096"/>
      <c r="E28" s="135">
        <f>Application!AC889</f>
        <v>16250</v>
      </c>
      <c r="F28" s="135"/>
      <c r="G28" s="135">
        <f>$E$28</f>
        <v>16250</v>
      </c>
      <c r="H28" s="135"/>
      <c r="I28" s="135">
        <f>$E$28</f>
        <v>16250</v>
      </c>
      <c r="J28" s="135"/>
      <c r="K28" s="135">
        <f>$E$28</f>
        <v>16250</v>
      </c>
      <c r="L28" s="135"/>
      <c r="M28" s="135">
        <f>$E$28</f>
        <v>16250</v>
      </c>
      <c r="N28" s="135"/>
      <c r="O28" s="135">
        <f>$E$28</f>
        <v>16250</v>
      </c>
      <c r="P28" s="135"/>
      <c r="Q28" s="135">
        <f>$E$28</f>
        <v>16250</v>
      </c>
      <c r="R28" s="135"/>
      <c r="S28" s="135">
        <f>$E$28</f>
        <v>16250</v>
      </c>
      <c r="T28" s="135"/>
      <c r="U28" s="135">
        <f>$E$28</f>
        <v>16250</v>
      </c>
      <c r="V28" s="135"/>
      <c r="W28" s="135">
        <f>$E$28</f>
        <v>16250</v>
      </c>
      <c r="X28" s="135"/>
      <c r="Y28" s="135">
        <f>$E$28</f>
        <v>16250</v>
      </c>
      <c r="Z28" s="135"/>
      <c r="AA28" s="135">
        <f>$E$28</f>
        <v>16250</v>
      </c>
      <c r="AB28" s="135"/>
      <c r="AC28" s="135">
        <f>$E$28</f>
        <v>16250</v>
      </c>
      <c r="AD28" s="135"/>
      <c r="AE28" s="135">
        <f>$E$28</f>
        <v>16250</v>
      </c>
      <c r="AF28" s="135"/>
      <c r="AG28" s="135">
        <f>$E$28</f>
        <v>16250</v>
      </c>
    </row>
    <row r="29" spans="1:33" s="123" customFormat="1" ht="14">
      <c r="A29" s="123" t="s">
        <v>2752</v>
      </c>
      <c r="C29" s="1096"/>
      <c r="E29" s="135">
        <f>Application!AC890</f>
        <v>7500</v>
      </c>
      <c r="F29" s="135"/>
      <c r="G29" s="135">
        <f>$E$29</f>
        <v>7500</v>
      </c>
      <c r="H29" s="135"/>
      <c r="I29" s="135">
        <f>$E$29</f>
        <v>7500</v>
      </c>
      <c r="J29" s="135"/>
      <c r="K29" s="135">
        <f>$E$29</f>
        <v>7500</v>
      </c>
      <c r="L29" s="135"/>
      <c r="M29" s="135">
        <f>$E$29</f>
        <v>7500</v>
      </c>
      <c r="N29" s="135"/>
      <c r="O29" s="135">
        <f>$E$29</f>
        <v>7500</v>
      </c>
      <c r="P29" s="135"/>
      <c r="Q29" s="135">
        <f>$E$29</f>
        <v>7500</v>
      </c>
      <c r="R29" s="135"/>
      <c r="S29" s="135">
        <f>$E$29</f>
        <v>7500</v>
      </c>
      <c r="T29" s="135"/>
      <c r="U29" s="135">
        <f>$E$29</f>
        <v>7500</v>
      </c>
      <c r="V29" s="135"/>
      <c r="W29" s="135">
        <f>$E$29</f>
        <v>7500</v>
      </c>
      <c r="X29" s="135"/>
      <c r="Y29" s="135">
        <f>$E$29</f>
        <v>7500</v>
      </c>
      <c r="Z29" s="135"/>
      <c r="AA29" s="135">
        <f>$E$29</f>
        <v>7500</v>
      </c>
      <c r="AB29" s="135"/>
      <c r="AC29" s="135">
        <f>$E$29</f>
        <v>7500</v>
      </c>
      <c r="AD29" s="135"/>
      <c r="AE29" s="135">
        <f>$E$29</f>
        <v>7500</v>
      </c>
      <c r="AF29" s="135"/>
      <c r="AG29" s="135">
        <f>$E$29</f>
        <v>7500</v>
      </c>
    </row>
    <row r="30" spans="1:33" s="123" customFormat="1" ht="14">
      <c r="A30" s="123" t="s">
        <v>2753</v>
      </c>
      <c r="C30" s="1096">
        <v>1.02</v>
      </c>
      <c r="E30" s="135">
        <f>Application!AC891</f>
        <v>0</v>
      </c>
      <c r="F30" s="135"/>
      <c r="G30" s="135">
        <f>E30*$C$30</f>
        <v>0</v>
      </c>
      <c r="H30" s="135"/>
      <c r="I30" s="135">
        <f>G30*$C$30</f>
        <v>0</v>
      </c>
      <c r="J30" s="135"/>
      <c r="K30" s="135">
        <f>I30*$C$30</f>
        <v>0</v>
      </c>
      <c r="L30" s="135"/>
      <c r="M30" s="135">
        <f>K30*$C$30</f>
        <v>0</v>
      </c>
      <c r="N30" s="135"/>
      <c r="O30" s="135">
        <f>M30*$C$30</f>
        <v>0</v>
      </c>
      <c r="P30" s="135"/>
      <c r="Q30" s="135">
        <f>O30*$C$30</f>
        <v>0</v>
      </c>
      <c r="R30" s="135"/>
      <c r="S30" s="135">
        <f>Q30*$C$30</f>
        <v>0</v>
      </c>
      <c r="T30" s="135"/>
      <c r="U30" s="135">
        <f>S30*$C$30</f>
        <v>0</v>
      </c>
      <c r="V30" s="135"/>
      <c r="W30" s="135">
        <f>U30*$C$30</f>
        <v>0</v>
      </c>
      <c r="X30" s="135"/>
      <c r="Y30" s="135">
        <f>W30*$C$30</f>
        <v>0</v>
      </c>
      <c r="Z30" s="135"/>
      <c r="AA30" s="135">
        <f>Y30*$C$30</f>
        <v>0</v>
      </c>
      <c r="AB30" s="135"/>
      <c r="AC30" s="135">
        <f>AA30*$C$30</f>
        <v>0</v>
      </c>
      <c r="AD30" s="135"/>
      <c r="AE30" s="135">
        <f>AC30*$C$30</f>
        <v>0</v>
      </c>
      <c r="AF30" s="135"/>
      <c r="AG30" s="135">
        <f>AE30*$C$30</f>
        <v>0</v>
      </c>
    </row>
    <row r="31" spans="1:33" s="123" customFormat="1" ht="14">
      <c r="A31" s="123" t="s">
        <v>2754</v>
      </c>
      <c r="C31" s="1096">
        <v>1.02</v>
      </c>
      <c r="E31" s="135">
        <f>Application!AC892</f>
        <v>0</v>
      </c>
      <c r="F31" s="135"/>
      <c r="G31" s="135">
        <f>E31*$C$31</f>
        <v>0</v>
      </c>
      <c r="H31" s="135"/>
      <c r="I31" s="135">
        <f>G31*$C$31</f>
        <v>0</v>
      </c>
      <c r="J31" s="135"/>
      <c r="K31" s="135">
        <f>I31*$C$31</f>
        <v>0</v>
      </c>
      <c r="L31" s="135"/>
      <c r="M31" s="135">
        <f>K31*$C$31</f>
        <v>0</v>
      </c>
      <c r="N31" s="135"/>
      <c r="O31" s="135">
        <f>M31*$C$31</f>
        <v>0</v>
      </c>
      <c r="P31" s="135"/>
      <c r="Q31" s="135">
        <f>O31*$C$31</f>
        <v>0</v>
      </c>
      <c r="R31" s="135"/>
      <c r="S31" s="135">
        <f>Q31*$C$31</f>
        <v>0</v>
      </c>
      <c r="T31" s="135"/>
      <c r="U31" s="135">
        <f>S31*$C$31</f>
        <v>0</v>
      </c>
      <c r="V31" s="135"/>
      <c r="W31" s="135">
        <f>U31*$C$31</f>
        <v>0</v>
      </c>
      <c r="X31" s="135"/>
      <c r="Y31" s="135">
        <f>W31*$C$31</f>
        <v>0</v>
      </c>
      <c r="Z31" s="135"/>
      <c r="AA31" s="135">
        <f>Y31*$C$31</f>
        <v>0</v>
      </c>
      <c r="AB31" s="135"/>
      <c r="AC31" s="135">
        <f>AA31*$C$31</f>
        <v>0</v>
      </c>
      <c r="AD31" s="135"/>
      <c r="AE31" s="135">
        <f>AC31*$C$31</f>
        <v>0</v>
      </c>
      <c r="AF31" s="135"/>
      <c r="AG31" s="135">
        <f>AE31*$C$31</f>
        <v>0</v>
      </c>
    </row>
    <row r="32" spans="1:33" s="123" customFormat="1" ht="14">
      <c r="A32" s="123" t="str">
        <f>Application!C893</f>
        <v>Other (Specify):</v>
      </c>
      <c r="C32" s="1098">
        <v>1.0349999999999999</v>
      </c>
      <c r="E32" s="135">
        <f>Application!AC893</f>
        <v>0</v>
      </c>
      <c r="F32" s="135"/>
      <c r="G32" s="135">
        <f>E32*$C$32</f>
        <v>0</v>
      </c>
      <c r="H32" s="135"/>
      <c r="I32" s="135">
        <f>G32*$C$32</f>
        <v>0</v>
      </c>
      <c r="J32" s="135"/>
      <c r="K32" s="135">
        <f>I32*$C$32</f>
        <v>0</v>
      </c>
      <c r="L32" s="135"/>
      <c r="M32" s="135">
        <f>K32*$C$32</f>
        <v>0</v>
      </c>
      <c r="N32" s="135"/>
      <c r="O32" s="135">
        <f>M32*$C$32</f>
        <v>0</v>
      </c>
      <c r="P32" s="135"/>
      <c r="Q32" s="135">
        <f>O32*$C$32</f>
        <v>0</v>
      </c>
      <c r="R32" s="135"/>
      <c r="S32" s="135">
        <f>Q32*$C$32</f>
        <v>0</v>
      </c>
      <c r="T32" s="135"/>
      <c r="U32" s="135">
        <f>S32*$C$32</f>
        <v>0</v>
      </c>
      <c r="V32" s="135"/>
      <c r="W32" s="135">
        <f>U32*$C$32</f>
        <v>0</v>
      </c>
      <c r="X32" s="135"/>
      <c r="Y32" s="135">
        <f>W32*$C$32</f>
        <v>0</v>
      </c>
      <c r="Z32" s="135"/>
      <c r="AA32" s="135">
        <f>Y32*$C$32</f>
        <v>0</v>
      </c>
      <c r="AB32" s="135"/>
      <c r="AC32" s="135">
        <f>AA32*$C$32</f>
        <v>0</v>
      </c>
      <c r="AD32" s="135"/>
      <c r="AE32" s="135">
        <f>AC32*$C$32</f>
        <v>0</v>
      </c>
      <c r="AF32" s="135"/>
      <c r="AG32" s="135">
        <f>AE32*$C$32</f>
        <v>0</v>
      </c>
    </row>
    <row r="33" spans="1:33" s="123" customFormat="1" ht="14">
      <c r="A33" s="123" t="str">
        <f>Application!C894</f>
        <v>Other (Specify):</v>
      </c>
      <c r="C33" s="1098">
        <v>1.0349999999999999</v>
      </c>
      <c r="E33" s="135">
        <f>Application!AC894</f>
        <v>0</v>
      </c>
      <c r="F33" s="135"/>
      <c r="G33" s="135">
        <f>E33*$C$33</f>
        <v>0</v>
      </c>
      <c r="H33" s="135"/>
      <c r="I33" s="135">
        <f>G33*$C$33</f>
        <v>0</v>
      </c>
      <c r="J33" s="135"/>
      <c r="K33" s="135">
        <f>I33*$C$33</f>
        <v>0</v>
      </c>
      <c r="L33" s="135"/>
      <c r="M33" s="135">
        <f>K33*$C$33</f>
        <v>0</v>
      </c>
      <c r="N33" s="135"/>
      <c r="O33" s="135">
        <f>M33*$C$33</f>
        <v>0</v>
      </c>
      <c r="P33" s="135"/>
      <c r="Q33" s="135">
        <f>O33*$C$33</f>
        <v>0</v>
      </c>
      <c r="R33" s="135"/>
      <c r="S33" s="135">
        <f>Q33*$C$33</f>
        <v>0</v>
      </c>
      <c r="T33" s="135"/>
      <c r="U33" s="135">
        <f>S33*$C$33</f>
        <v>0</v>
      </c>
      <c r="V33" s="135"/>
      <c r="W33" s="135">
        <f>U33*$C$33</f>
        <v>0</v>
      </c>
      <c r="X33" s="135"/>
      <c r="Y33" s="135">
        <f>W33*$C$33</f>
        <v>0</v>
      </c>
      <c r="Z33" s="135"/>
      <c r="AA33" s="135">
        <f>Y33*$C$33</f>
        <v>0</v>
      </c>
      <c r="AB33" s="135"/>
      <c r="AC33" s="135">
        <f>AA33*$C$33</f>
        <v>0</v>
      </c>
      <c r="AD33" s="135"/>
      <c r="AE33" s="135">
        <f>AC33*$C$33</f>
        <v>0</v>
      </c>
      <c r="AF33" s="135"/>
      <c r="AG33" s="135">
        <f>AE33*$C$33</f>
        <v>0</v>
      </c>
    </row>
    <row r="34" spans="1:33" s="123" customFormat="1" ht="14">
      <c r="C34" s="133"/>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row>
    <row r="35" spans="1:33" s="136" customFormat="1" ht="14">
      <c r="A35" s="136" t="s">
        <v>1648</v>
      </c>
      <c r="C35" s="137"/>
      <c r="E35" s="136">
        <f>SUM(E22:E33)</f>
        <v>716939</v>
      </c>
      <c r="G35" s="136">
        <f>SUM(G22:G33)</f>
        <v>741200.61499999987</v>
      </c>
      <c r="I35" s="136">
        <f>SUM(I22:I33)</f>
        <v>766311.38652499986</v>
      </c>
      <c r="K35" s="136">
        <f>SUM(K22:K33)</f>
        <v>792301.03505337471</v>
      </c>
      <c r="M35" s="136">
        <f>SUM(M22:M33)</f>
        <v>819200.32128024288</v>
      </c>
      <c r="O35" s="136">
        <f>SUM(O22:O33)</f>
        <v>847041.08252505132</v>
      </c>
      <c r="Q35" s="136">
        <f>SUM(Q22:Q33)</f>
        <v>875856.27041342808</v>
      </c>
      <c r="S35" s="136">
        <f>SUM(S22:S33)</f>
        <v>905679.98987789801</v>
      </c>
      <c r="U35" s="136">
        <f>SUM(U22:U33)</f>
        <v>936547.53952362435</v>
      </c>
      <c r="W35" s="136">
        <f>SUM(W22:W33)</f>
        <v>968495.45340695116</v>
      </c>
      <c r="Y35" s="136">
        <f>SUM(Y22:Y33)</f>
        <v>1001561.5442761944</v>
      </c>
      <c r="AA35" s="136">
        <f>SUM(AA22:AA33)</f>
        <v>1035784.948325861</v>
      </c>
      <c r="AC35" s="136">
        <f>SUM(AC22:AC33)</f>
        <v>1071206.1715172662</v>
      </c>
      <c r="AE35" s="136">
        <f>SUM(AE22:AE33)</f>
        <v>1107867.1375203703</v>
      </c>
      <c r="AG35" s="136">
        <f>SUM(AG22:AG33)</f>
        <v>1145811.2373335832</v>
      </c>
    </row>
    <row r="36" spans="1:33" s="123" customFormat="1" ht="14">
      <c r="C36" s="133"/>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row>
    <row r="37" spans="1:33" s="136" customFormat="1" ht="14">
      <c r="A37" s="136" t="s">
        <v>2755</v>
      </c>
      <c r="C37" s="137"/>
      <c r="E37" s="136">
        <f ca="1">E11-E35</f>
        <v>547628.79999999981</v>
      </c>
      <c r="G37" s="136">
        <f ca="1">G11-G35</f>
        <v>554981.37999999977</v>
      </c>
      <c r="I37" s="136">
        <f ca="1">I11-I35</f>
        <v>562275.15834999981</v>
      </c>
      <c r="K37" s="136">
        <f ca="1">K11-K35</f>
        <v>569500.17344349995</v>
      </c>
      <c r="M37" s="136">
        <f ca="1">M11-M35</f>
        <v>576645.91742905346</v>
      </c>
      <c r="O37" s="136">
        <f ca="1">O11-O35</f>
        <v>583701.31215197721</v>
      </c>
      <c r="Q37" s="136">
        <f ca="1">Q11-Q35</f>
        <v>590654.68413052615</v>
      </c>
      <c r="S37" s="136">
        <f ca="1">S11-S35</f>
        <v>597493.73852965492</v>
      </c>
      <c r="U37" s="136">
        <f ca="1">U11-U35</f>
        <v>604205.53209411725</v>
      </c>
      <c r="W37" s="136">
        <f ca="1">W11-W35</f>
        <v>610776.44500123383</v>
      </c>
      <c r="Y37" s="136">
        <f ca="1">Y11-Y35</f>
        <v>617192.15159219457</v>
      </c>
      <c r="AA37" s="136">
        <f ca="1">AA11-AA35</f>
        <v>623437.58993923804</v>
      </c>
      <c r="AC37" s="136">
        <f ca="1">AC11-AC35</f>
        <v>629496.93020446016</v>
      </c>
      <c r="AE37" s="136">
        <f ca="1">AE11-AE35</f>
        <v>635353.54174439912</v>
      </c>
      <c r="AG37" s="136">
        <f ca="1">AG11-AG35</f>
        <v>640989.95891280542</v>
      </c>
    </row>
    <row r="38" spans="1:33" s="123" customFormat="1" ht="14">
      <c r="C38" s="133"/>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row>
    <row r="39" spans="1:33" s="123" customFormat="1" ht="14">
      <c r="A39" s="131" t="s">
        <v>2756</v>
      </c>
      <c r="C39" s="133"/>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row>
    <row r="40" spans="1:33" s="123" customFormat="1" ht="14">
      <c r="A40" s="138" t="str">
        <f>Application!C627</f>
        <v>Citi Permanent Loan</v>
      </c>
      <c r="B40" s="139"/>
      <c r="C40" s="133"/>
      <c r="E40" s="135">
        <f>Application!AF627</f>
        <v>475220.43478299998</v>
      </c>
      <c r="F40" s="135"/>
      <c r="G40" s="135">
        <f>$E$40</f>
        <v>475220.43478299998</v>
      </c>
      <c r="H40" s="135"/>
      <c r="I40" s="135">
        <f>$E$40</f>
        <v>475220.43478299998</v>
      </c>
      <c r="J40" s="135"/>
      <c r="K40" s="135">
        <f>$E$40</f>
        <v>475220.43478299998</v>
      </c>
      <c r="L40" s="135"/>
      <c r="M40" s="135">
        <f>$E$40</f>
        <v>475220.43478299998</v>
      </c>
      <c r="N40" s="135"/>
      <c r="O40" s="135">
        <f>$E$40</f>
        <v>475220.43478299998</v>
      </c>
      <c r="P40" s="135"/>
      <c r="Q40" s="135">
        <f>$E$40</f>
        <v>475220.43478299998</v>
      </c>
      <c r="R40" s="135"/>
      <c r="S40" s="135">
        <f>$E$40</f>
        <v>475220.43478299998</v>
      </c>
      <c r="T40" s="135"/>
      <c r="U40" s="135">
        <f>$E$40</f>
        <v>475220.43478299998</v>
      </c>
      <c r="V40" s="135"/>
      <c r="W40" s="135">
        <f>$E$40</f>
        <v>475220.43478299998</v>
      </c>
      <c r="X40" s="135"/>
      <c r="Y40" s="135">
        <f>$E$40</f>
        <v>475220.43478299998</v>
      </c>
      <c r="Z40" s="135"/>
      <c r="AA40" s="135">
        <f>$E$40</f>
        <v>475220.43478299998</v>
      </c>
      <c r="AB40" s="135"/>
      <c r="AC40" s="135">
        <f>$E$40</f>
        <v>475220.43478299998</v>
      </c>
      <c r="AD40" s="135"/>
      <c r="AE40" s="135">
        <f>$E$40</f>
        <v>475220.43478299998</v>
      </c>
      <c r="AF40" s="135"/>
      <c r="AG40" s="135">
        <f>$E$40</f>
        <v>475220.43478299998</v>
      </c>
    </row>
    <row r="41" spans="1:33" s="123" customFormat="1" ht="14">
      <c r="A41" s="138"/>
      <c r="B41" s="139"/>
      <c r="C41" s="133"/>
      <c r="E41" s="135"/>
      <c r="F41" s="135"/>
      <c r="G41" s="135">
        <f>$E$41</f>
        <v>0</v>
      </c>
      <c r="H41" s="135"/>
      <c r="I41" s="135">
        <f>$E$41</f>
        <v>0</v>
      </c>
      <c r="J41" s="135"/>
      <c r="K41" s="135">
        <f>$E$41</f>
        <v>0</v>
      </c>
      <c r="L41" s="135"/>
      <c r="M41" s="135">
        <f>$E$41</f>
        <v>0</v>
      </c>
      <c r="N41" s="135"/>
      <c r="O41" s="135">
        <f>$E$41</f>
        <v>0</v>
      </c>
      <c r="P41" s="135"/>
      <c r="Q41" s="135">
        <f>$E$41</f>
        <v>0</v>
      </c>
      <c r="R41" s="135"/>
      <c r="S41" s="135">
        <f>$E$41</f>
        <v>0</v>
      </c>
      <c r="T41" s="135"/>
      <c r="U41" s="135">
        <f>$E$41</f>
        <v>0</v>
      </c>
      <c r="V41" s="135"/>
      <c r="W41" s="135">
        <f>$E$41</f>
        <v>0</v>
      </c>
      <c r="X41" s="135"/>
      <c r="Y41" s="135">
        <f>$E$41</f>
        <v>0</v>
      </c>
      <c r="Z41" s="135"/>
      <c r="AA41" s="135">
        <f>$E$41</f>
        <v>0</v>
      </c>
      <c r="AB41" s="135"/>
      <c r="AC41" s="135">
        <f>$E$41</f>
        <v>0</v>
      </c>
      <c r="AD41" s="135"/>
      <c r="AE41" s="135">
        <f>$E$41</f>
        <v>0</v>
      </c>
      <c r="AF41" s="135"/>
      <c r="AG41" s="135">
        <f>$E$41</f>
        <v>0</v>
      </c>
    </row>
    <row r="42" spans="1:33" s="123" customFormat="1" ht="14">
      <c r="A42" s="138"/>
      <c r="B42" s="139"/>
      <c r="C42" s="133"/>
      <c r="E42" s="145"/>
      <c r="F42" s="135"/>
      <c r="G42" s="145">
        <f>$E$42</f>
        <v>0</v>
      </c>
      <c r="H42" s="135"/>
      <c r="I42" s="145">
        <f>$E$42</f>
        <v>0</v>
      </c>
      <c r="J42" s="135"/>
      <c r="K42" s="145">
        <f>$E$42</f>
        <v>0</v>
      </c>
      <c r="L42" s="135"/>
      <c r="M42" s="145">
        <f>$E$42</f>
        <v>0</v>
      </c>
      <c r="N42" s="135"/>
      <c r="O42" s="145">
        <f>$E$42</f>
        <v>0</v>
      </c>
      <c r="P42" s="135"/>
      <c r="Q42" s="145">
        <f>$E$42</f>
        <v>0</v>
      </c>
      <c r="R42" s="135"/>
      <c r="S42" s="145">
        <f>$E$42</f>
        <v>0</v>
      </c>
      <c r="T42" s="135"/>
      <c r="U42" s="145">
        <f>$E$42</f>
        <v>0</v>
      </c>
      <c r="V42" s="135"/>
      <c r="W42" s="145">
        <f>$E$42</f>
        <v>0</v>
      </c>
      <c r="X42" s="135"/>
      <c r="Y42" s="145">
        <f>$E$42</f>
        <v>0</v>
      </c>
      <c r="Z42" s="135"/>
      <c r="AA42" s="145">
        <f>$E$42</f>
        <v>0</v>
      </c>
      <c r="AB42" s="135"/>
      <c r="AC42" s="145">
        <f>$E$42</f>
        <v>0</v>
      </c>
      <c r="AD42" s="135"/>
      <c r="AE42" s="145">
        <f>$E$42</f>
        <v>0</v>
      </c>
      <c r="AF42" s="135"/>
      <c r="AG42" s="145">
        <f>$E$42</f>
        <v>0</v>
      </c>
    </row>
    <row r="43" spans="1:33" s="136" customFormat="1" ht="14">
      <c r="A43" s="136" t="s">
        <v>2757</v>
      </c>
      <c r="C43" s="137"/>
      <c r="E43" s="136">
        <f>SUM(E40:E42)</f>
        <v>475220.43478299998</v>
      </c>
      <c r="G43" s="136">
        <f>SUM(G40:G42)</f>
        <v>475220.43478299998</v>
      </c>
      <c r="I43" s="136">
        <f>SUM(I40:I42)</f>
        <v>475220.43478299998</v>
      </c>
      <c r="K43" s="136">
        <f>SUM(K40:K42)</f>
        <v>475220.43478299998</v>
      </c>
      <c r="M43" s="136">
        <f>SUM(M40:M42)</f>
        <v>475220.43478299998</v>
      </c>
      <c r="O43" s="136">
        <f>SUM(O40:O42)</f>
        <v>475220.43478299998</v>
      </c>
      <c r="Q43" s="136">
        <f>SUM(Q40:Q42)</f>
        <v>475220.43478299998</v>
      </c>
      <c r="S43" s="136">
        <f>SUM(S40:S42)</f>
        <v>475220.43478299998</v>
      </c>
      <c r="U43" s="136">
        <f>SUM(U40:U42)</f>
        <v>475220.43478299998</v>
      </c>
      <c r="W43" s="136">
        <f>SUM(W40:W42)</f>
        <v>475220.43478299998</v>
      </c>
      <c r="Y43" s="136">
        <f>SUM(Y40:Y42)</f>
        <v>475220.43478299998</v>
      </c>
      <c r="AA43" s="136">
        <f>SUM(AA40:AA42)</f>
        <v>475220.43478299998</v>
      </c>
      <c r="AC43" s="136">
        <f>SUM(AC40:AC42)</f>
        <v>475220.43478299998</v>
      </c>
      <c r="AE43" s="136">
        <f>SUM(AE40:AE42)</f>
        <v>475220.43478299998</v>
      </c>
      <c r="AG43" s="136">
        <f>SUM(AG40:AG42)</f>
        <v>475220.43478299998</v>
      </c>
    </row>
    <row r="44" spans="1:33" s="123" customFormat="1" ht="14">
      <c r="C44" s="133"/>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33" s="136" customFormat="1" ht="14">
      <c r="A45" s="136" t="s">
        <v>2758</v>
      </c>
      <c r="C45" s="137"/>
      <c r="E45" s="136">
        <f ca="1">E37-E43</f>
        <v>72408.365216999839</v>
      </c>
      <c r="G45" s="136">
        <f ca="1">G37-G43</f>
        <v>79760.945216999797</v>
      </c>
      <c r="I45" s="136">
        <f ca="1">I37-I43</f>
        <v>87054.723566999834</v>
      </c>
      <c r="K45" s="136">
        <f ca="1">K37-K43</f>
        <v>94279.738660499977</v>
      </c>
      <c r="M45" s="136">
        <f ca="1">M37-M43</f>
        <v>101425.48264605348</v>
      </c>
      <c r="O45" s="136">
        <f ca="1">O37-O43</f>
        <v>108480.87736897724</v>
      </c>
      <c r="Q45" s="136">
        <f ca="1">Q37-Q43</f>
        <v>115434.24934752617</v>
      </c>
      <c r="S45" s="136">
        <f ca="1">S37-S43</f>
        <v>122273.30374665494</v>
      </c>
      <c r="U45" s="136">
        <f ca="1">U37-U43</f>
        <v>128985.09731111728</v>
      </c>
      <c r="W45" s="136">
        <f ca="1">W37-W43</f>
        <v>135556.01021823386</v>
      </c>
      <c r="Y45" s="136">
        <f ca="1">Y37-Y43</f>
        <v>141971.71680919459</v>
      </c>
      <c r="AA45" s="136">
        <f ca="1">AA37-AA43</f>
        <v>148217.15515623806</v>
      </c>
      <c r="AC45" s="136">
        <f ca="1">AC37-AC43</f>
        <v>154276.49542146019</v>
      </c>
      <c r="AE45" s="136">
        <f ca="1">AE37-AE43</f>
        <v>160133.10696139914</v>
      </c>
      <c r="AG45" s="136">
        <f ca="1">AG37-AG43</f>
        <v>165769.52412980545</v>
      </c>
    </row>
    <row r="46" spans="1:33" s="123" customFormat="1" ht="14">
      <c r="C46" s="133"/>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row>
    <row r="47" spans="1:33" s="140" customFormat="1" ht="14">
      <c r="A47" s="140" t="s">
        <v>2759</v>
      </c>
      <c r="C47" s="133"/>
      <c r="E47" s="140">
        <f ca="1">E45/(E4+E6+E8)</f>
        <v>5.4396408762068638E-2</v>
      </c>
      <c r="G47" s="140">
        <f ca="1">G45/(G4+G6+G8)</f>
        <v>5.8458533021167158E-2</v>
      </c>
      <c r="I47" s="140">
        <f ca="1">I45/(I4+I6+I8)</f>
        <v>6.2248099461545338E-2</v>
      </c>
      <c r="K47" s="140">
        <f ca="1">K45/(K4+K6+K8)</f>
        <v>6.5770063331296078E-2</v>
      </c>
      <c r="M47" s="140">
        <f ca="1">M45/(M4+M6+M8)</f>
        <v>6.9029242506572289E-2</v>
      </c>
      <c r="O47" s="140">
        <f ca="1">O45/(O4+O6+O8)</f>
        <v>7.2030320681028048E-2</v>
      </c>
      <c r="Q47" s="140">
        <f ca="1">Q45/(Q4+Q6+Q8)</f>
        <v>7.4777850475895011E-2</v>
      </c>
      <c r="S47" s="140">
        <f ca="1">S45/(S4+S6+S8)</f>
        <v>7.7276256472617127E-2</v>
      </c>
      <c r="U47" s="140">
        <f ca="1">U45/(U4+U6+U8)</f>
        <v>7.9529838169916933E-2</v>
      </c>
      <c r="W47" s="140">
        <f ca="1">W45/(W4+W6+W8)</f>
        <v>8.1542772867118821E-2</v>
      </c>
      <c r="Y47" s="140">
        <f ca="1">Y45/(Y4+Y6+Y8)</f>
        <v>8.3319118475514237E-2</v>
      </c>
      <c r="AA47" s="140">
        <f ca="1">AA45/(AA4+AA6+AA8)</f>
        <v>8.4862816259508353E-2</v>
      </c>
      <c r="AC47" s="140">
        <f ca="1">AC45/(AC4+AC6+AC8)</f>
        <v>8.6177693509239081E-2</v>
      </c>
      <c r="AE47" s="140">
        <f ca="1">AE45/(AE4+AE6+AE8)</f>
        <v>8.7267466146334891E-2</v>
      </c>
      <c r="AG47" s="140">
        <f ca="1">AG45/(AG4+AG6+AG8)</f>
        <v>8.8135741264412912E-2</v>
      </c>
    </row>
    <row r="48" spans="1:33" s="140" customFormat="1" ht="14">
      <c r="A48" s="140" t="s">
        <v>2760</v>
      </c>
      <c r="C48" s="133"/>
      <c r="E48" s="140">
        <f ca="1">E45/E43</f>
        <v>0.15236795372670303</v>
      </c>
      <c r="G48" s="140">
        <f ca="1">G45/G43</f>
        <v>0.16783988940505273</v>
      </c>
      <c r="I48" s="140">
        <f ca="1">I45/I43</f>
        <v>0.18318808955837865</v>
      </c>
      <c r="K48" s="140">
        <f ca="1">K45/K43</f>
        <v>0.19839159211146076</v>
      </c>
      <c r="M48" s="140">
        <f ca="1">M45/M43</f>
        <v>0.21342828553314933</v>
      </c>
      <c r="O48" s="140">
        <f ca="1">O45/O43</f>
        <v>0.22827485821082774</v>
      </c>
      <c r="Q48" s="140">
        <f ca="1">Q45/Q43</f>
        <v>0.24290674579311167</v>
      </c>
      <c r="S48" s="140">
        <f ca="1">S45/S43</f>
        <v>0.25729807642318375</v>
      </c>
      <c r="U48" s="140">
        <f ca="1">U45/U43</f>
        <v>0.27142161378227719</v>
      </c>
      <c r="W48" s="140">
        <f ca="1">W45/W43</f>
        <v>0.28524869785983181</v>
      </c>
      <c r="Y48" s="140">
        <f ca="1">Y45/Y43</f>
        <v>0.29874918336376499</v>
      </c>
      <c r="AA48" s="140">
        <f ca="1">AA45/AA43</f>
        <v>0.31189137568109526</v>
      </c>
      <c r="AC48" s="140">
        <f ca="1">AC45/AC43</f>
        <v>0.32464196429580622</v>
      </c>
      <c r="AE48" s="140">
        <f ca="1">AE45/AE43</f>
        <v>0.3369659535674655</v>
      </c>
      <c r="AG48" s="140">
        <f ca="1">AG45/AG43</f>
        <v>0.34882659077045125</v>
      </c>
    </row>
    <row r="49" spans="1:35" s="141" customFormat="1" ht="14">
      <c r="A49" s="141" t="s">
        <v>2091</v>
      </c>
      <c r="C49" s="142"/>
      <c r="E49" s="141">
        <f ca="1">E37/E43</f>
        <v>1.1523679537267031</v>
      </c>
      <c r="G49" s="141">
        <f ca="1">G37/G43</f>
        <v>1.1678398894050528</v>
      </c>
      <c r="I49" s="141">
        <f ca="1">I37/I43</f>
        <v>1.1831880895583786</v>
      </c>
      <c r="K49" s="141">
        <f ca="1">K37/K43</f>
        <v>1.1983915921114607</v>
      </c>
      <c r="M49" s="141">
        <f ca="1">M37/M43</f>
        <v>1.2134282855331493</v>
      </c>
      <c r="O49" s="141">
        <f ca="1">O37/O43</f>
        <v>1.2282748582108278</v>
      </c>
      <c r="Q49" s="141">
        <f ca="1">Q37/Q43</f>
        <v>1.2429067457931116</v>
      </c>
      <c r="S49" s="141">
        <f ca="1">S37/S43</f>
        <v>1.2572980764231838</v>
      </c>
      <c r="U49" s="141">
        <f ca="1">U37/U43</f>
        <v>1.2714216137822771</v>
      </c>
      <c r="W49" s="141">
        <f ca="1">W37/W43</f>
        <v>1.2852486978598319</v>
      </c>
      <c r="Y49" s="141">
        <f ca="1">Y37/Y43</f>
        <v>1.298749183363765</v>
      </c>
      <c r="AA49" s="141">
        <f ca="1">AA37/AA43</f>
        <v>1.3118913756810953</v>
      </c>
      <c r="AC49" s="141">
        <f ca="1">AC37/AC43</f>
        <v>1.3246419642958063</v>
      </c>
      <c r="AE49" s="141">
        <f ca="1">AE37/AE43</f>
        <v>1.3369659535674656</v>
      </c>
      <c r="AG49" s="141">
        <f ca="1">AG37/AG43</f>
        <v>1.3488265907704513</v>
      </c>
    </row>
    <row r="50" spans="1:35" s="123" customFormat="1" ht="14">
      <c r="A50" s="143"/>
      <c r="B50" s="143"/>
      <c r="C50" s="144"/>
      <c r="D50" s="143"/>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5" s="2" customFormat="1">
      <c r="A51" s="2" t="s">
        <v>2761</v>
      </c>
      <c r="C51" s="783"/>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c r="AF51" s="782"/>
      <c r="AG51" s="782"/>
    </row>
    <row r="52" spans="1:35" s="2" customFormat="1">
      <c r="A52" s="2599" t="s">
        <v>1077</v>
      </c>
      <c r="B52" s="2599"/>
      <c r="C52" s="2599"/>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c r="AF52" s="782"/>
      <c r="AG52" s="782"/>
    </row>
    <row r="53" spans="1:35" s="784" customFormat="1">
      <c r="A53" s="784" t="s">
        <v>2633</v>
      </c>
      <c r="C53" s="785">
        <v>1.0349999999999999</v>
      </c>
      <c r="E53" s="786">
        <v>10800</v>
      </c>
      <c r="G53" s="782">
        <f>E53*$C$53</f>
        <v>11178</v>
      </c>
      <c r="I53" s="782">
        <f>G53*$C$53</f>
        <v>11569.23</v>
      </c>
      <c r="K53" s="782">
        <f>I53*$C$53</f>
        <v>11974.153049999999</v>
      </c>
      <c r="M53" s="782">
        <f>K53*$C$53</f>
        <v>12393.248406749997</v>
      </c>
      <c r="O53" s="782">
        <f>M53*$C$53</f>
        <v>12827.012100986247</v>
      </c>
      <c r="Q53" s="782">
        <f>O53*$C$53</f>
        <v>13275.957524520765</v>
      </c>
      <c r="S53" s="782">
        <f>Q53*$C$53</f>
        <v>13740.616037878992</v>
      </c>
      <c r="U53" s="782">
        <f>S53*$C$53</f>
        <v>14221.537599204756</v>
      </c>
      <c r="W53" s="782">
        <f>U53*$C$53</f>
        <v>14719.291415176922</v>
      </c>
      <c r="Y53" s="782">
        <f>W53*$C$53</f>
        <v>15234.466614708113</v>
      </c>
      <c r="AA53" s="782">
        <f>Y53*$C$53</f>
        <v>15767.672946222896</v>
      </c>
      <c r="AC53" s="782">
        <f>AA53*$C$53</f>
        <v>16319.541499340696</v>
      </c>
      <c r="AE53" s="782">
        <f>AC53*$C$53</f>
        <v>16890.72545181762</v>
      </c>
      <c r="AG53" s="782">
        <f>AE53*$C$53</f>
        <v>17481.900842631236</v>
      </c>
    </row>
    <row r="54" spans="1:35" s="2" customFormat="1">
      <c r="A54" s="2" t="s">
        <v>2762</v>
      </c>
      <c r="C54" s="780">
        <v>1.0349999999999999</v>
      </c>
      <c r="E54" s="787">
        <v>5000</v>
      </c>
      <c r="F54" s="782"/>
      <c r="G54" s="782">
        <f t="shared" ref="G54:AG57" si="1">E54*$C$53</f>
        <v>5175</v>
      </c>
      <c r="H54" s="782"/>
      <c r="I54" s="782">
        <f t="shared" si="1"/>
        <v>5356.125</v>
      </c>
      <c r="J54" s="782"/>
      <c r="K54" s="782">
        <f t="shared" si="1"/>
        <v>5543.5893749999996</v>
      </c>
      <c r="L54" s="782"/>
      <c r="M54" s="782">
        <f t="shared" si="1"/>
        <v>5737.615003124999</v>
      </c>
      <c r="N54" s="782"/>
      <c r="O54" s="782">
        <f t="shared" si="1"/>
        <v>5938.4315282343732</v>
      </c>
      <c r="P54" s="782"/>
      <c r="Q54" s="782">
        <f t="shared" si="1"/>
        <v>6146.276631722576</v>
      </c>
      <c r="R54" s="782"/>
      <c r="S54" s="782">
        <f t="shared" si="1"/>
        <v>6361.3963138328654</v>
      </c>
      <c r="T54" s="782"/>
      <c r="U54" s="782">
        <f t="shared" si="1"/>
        <v>6584.0451848170151</v>
      </c>
      <c r="V54" s="782"/>
      <c r="W54" s="782">
        <f t="shared" si="1"/>
        <v>6814.4867662856104</v>
      </c>
      <c r="X54" s="782"/>
      <c r="Y54" s="782">
        <f t="shared" si="1"/>
        <v>7052.9938031056063</v>
      </c>
      <c r="Z54" s="782"/>
      <c r="AA54" s="782">
        <f t="shared" si="1"/>
        <v>7299.8485862143016</v>
      </c>
      <c r="AB54" s="782"/>
      <c r="AC54" s="782">
        <f t="shared" si="1"/>
        <v>7555.3432867318015</v>
      </c>
      <c r="AD54" s="782"/>
      <c r="AE54" s="782">
        <f t="shared" si="1"/>
        <v>7819.7803017674141</v>
      </c>
      <c r="AF54" s="782"/>
      <c r="AG54" s="782">
        <f t="shared" si="1"/>
        <v>8093.472612329273</v>
      </c>
      <c r="AH54" s="782"/>
      <c r="AI54" s="782"/>
    </row>
    <row r="55" spans="1:35" s="2" customFormat="1">
      <c r="A55" s="2" t="s">
        <v>2763</v>
      </c>
      <c r="C55" s="780"/>
      <c r="E55" s="787"/>
      <c r="F55" s="782"/>
      <c r="G55" s="782">
        <f t="shared" si="1"/>
        <v>0</v>
      </c>
      <c r="H55" s="782"/>
      <c r="I55" s="782">
        <f t="shared" si="1"/>
        <v>0</v>
      </c>
      <c r="J55" s="782"/>
      <c r="K55" s="782">
        <f t="shared" si="1"/>
        <v>0</v>
      </c>
      <c r="L55" s="782"/>
      <c r="M55" s="782">
        <f t="shared" si="1"/>
        <v>0</v>
      </c>
      <c r="N55" s="782"/>
      <c r="O55" s="782">
        <f t="shared" si="1"/>
        <v>0</v>
      </c>
      <c r="P55" s="782"/>
      <c r="Q55" s="782">
        <f t="shared" si="1"/>
        <v>0</v>
      </c>
      <c r="R55" s="782"/>
      <c r="S55" s="782">
        <f t="shared" si="1"/>
        <v>0</v>
      </c>
      <c r="T55" s="782"/>
      <c r="U55" s="782">
        <f t="shared" si="1"/>
        <v>0</v>
      </c>
      <c r="V55" s="782"/>
      <c r="W55" s="782">
        <f t="shared" si="1"/>
        <v>0</v>
      </c>
      <c r="X55" s="782"/>
      <c r="Y55" s="782">
        <f t="shared" si="1"/>
        <v>0</v>
      </c>
      <c r="Z55" s="782"/>
      <c r="AA55" s="782">
        <f t="shared" si="1"/>
        <v>0</v>
      </c>
      <c r="AB55" s="782"/>
      <c r="AC55" s="782">
        <f t="shared" si="1"/>
        <v>0</v>
      </c>
      <c r="AD55" s="782"/>
      <c r="AE55" s="782">
        <f t="shared" si="1"/>
        <v>0</v>
      </c>
      <c r="AF55" s="782"/>
      <c r="AG55" s="782">
        <f t="shared" si="1"/>
        <v>0</v>
      </c>
      <c r="AH55" s="782"/>
      <c r="AI55" s="782"/>
    </row>
    <row r="56" spans="1:35" s="2" customFormat="1">
      <c r="A56" s="788"/>
      <c r="B56" s="788"/>
      <c r="C56" s="780"/>
      <c r="E56" s="787"/>
      <c r="F56" s="782"/>
      <c r="G56" s="782">
        <f t="shared" si="1"/>
        <v>0</v>
      </c>
      <c r="H56" s="782"/>
      <c r="I56" s="782">
        <f t="shared" si="1"/>
        <v>0</v>
      </c>
      <c r="J56" s="782"/>
      <c r="K56" s="782">
        <f t="shared" si="1"/>
        <v>0</v>
      </c>
      <c r="L56" s="782"/>
      <c r="M56" s="782">
        <f t="shared" si="1"/>
        <v>0</v>
      </c>
      <c r="N56" s="782"/>
      <c r="O56" s="782">
        <f t="shared" si="1"/>
        <v>0</v>
      </c>
      <c r="P56" s="782"/>
      <c r="Q56" s="782">
        <f t="shared" si="1"/>
        <v>0</v>
      </c>
      <c r="R56" s="782"/>
      <c r="S56" s="782">
        <f t="shared" si="1"/>
        <v>0</v>
      </c>
      <c r="T56" s="782"/>
      <c r="U56" s="782">
        <f t="shared" si="1"/>
        <v>0</v>
      </c>
      <c r="V56" s="782"/>
      <c r="W56" s="782">
        <f t="shared" si="1"/>
        <v>0</v>
      </c>
      <c r="X56" s="782"/>
      <c r="Y56" s="782">
        <f t="shared" si="1"/>
        <v>0</v>
      </c>
      <c r="Z56" s="782"/>
      <c r="AA56" s="782">
        <f t="shared" si="1"/>
        <v>0</v>
      </c>
      <c r="AB56" s="782"/>
      <c r="AC56" s="782">
        <f t="shared" si="1"/>
        <v>0</v>
      </c>
      <c r="AD56" s="782"/>
      <c r="AE56" s="782">
        <f t="shared" si="1"/>
        <v>0</v>
      </c>
      <c r="AF56" s="782"/>
      <c r="AG56" s="782">
        <f t="shared" si="1"/>
        <v>0</v>
      </c>
      <c r="AH56" s="782"/>
      <c r="AI56" s="782"/>
    </row>
    <row r="57" spans="1:35" s="2" customFormat="1">
      <c r="A57" s="788"/>
      <c r="B57" s="788"/>
      <c r="C57" s="780"/>
      <c r="E57" s="789"/>
      <c r="F57" s="782"/>
      <c r="G57" s="790">
        <f t="shared" si="1"/>
        <v>0</v>
      </c>
      <c r="H57" s="782"/>
      <c r="I57" s="790">
        <f t="shared" si="1"/>
        <v>0</v>
      </c>
      <c r="J57" s="782"/>
      <c r="K57" s="790">
        <f t="shared" si="1"/>
        <v>0</v>
      </c>
      <c r="L57" s="782"/>
      <c r="M57" s="790">
        <f t="shared" si="1"/>
        <v>0</v>
      </c>
      <c r="N57" s="782"/>
      <c r="O57" s="790">
        <f t="shared" si="1"/>
        <v>0</v>
      </c>
      <c r="P57" s="782"/>
      <c r="Q57" s="790">
        <f t="shared" si="1"/>
        <v>0</v>
      </c>
      <c r="R57" s="782"/>
      <c r="S57" s="790">
        <f t="shared" si="1"/>
        <v>0</v>
      </c>
      <c r="T57" s="782"/>
      <c r="U57" s="790">
        <f t="shared" si="1"/>
        <v>0</v>
      </c>
      <c r="V57" s="782"/>
      <c r="W57" s="790">
        <f t="shared" si="1"/>
        <v>0</v>
      </c>
      <c r="X57" s="782"/>
      <c r="Y57" s="790">
        <f t="shared" si="1"/>
        <v>0</v>
      </c>
      <c r="Z57" s="782"/>
      <c r="AA57" s="790">
        <f t="shared" si="1"/>
        <v>0</v>
      </c>
      <c r="AB57" s="782"/>
      <c r="AC57" s="790">
        <f t="shared" si="1"/>
        <v>0</v>
      </c>
      <c r="AD57" s="782"/>
      <c r="AE57" s="790">
        <f t="shared" si="1"/>
        <v>0</v>
      </c>
      <c r="AF57" s="782"/>
      <c r="AG57" s="790">
        <f t="shared" si="1"/>
        <v>0</v>
      </c>
      <c r="AH57" s="782"/>
      <c r="AI57" s="782"/>
    </row>
    <row r="58" spans="1:35" s="2" customFormat="1">
      <c r="A58" s="784" t="s">
        <v>2764</v>
      </c>
      <c r="C58" s="783"/>
      <c r="E58" s="782">
        <f>SUM(E53:E57)</f>
        <v>15800</v>
      </c>
      <c r="F58" s="782"/>
      <c r="G58" s="782">
        <f>SUM(G53:G57)</f>
        <v>16353</v>
      </c>
      <c r="H58" s="782"/>
      <c r="I58" s="782">
        <f>SUM(I53:I57)</f>
        <v>16925.355</v>
      </c>
      <c r="J58" s="782"/>
      <c r="K58" s="782">
        <f>SUM(K53:K57)</f>
        <v>17517.742424999997</v>
      </c>
      <c r="L58" s="782"/>
      <c r="M58" s="782">
        <f>SUM(M53:M57)</f>
        <v>18130.863409874997</v>
      </c>
      <c r="N58" s="782"/>
      <c r="O58" s="782">
        <f>SUM(O53:O57)</f>
        <v>18765.443629220619</v>
      </c>
      <c r="P58" s="782"/>
      <c r="Q58" s="782">
        <f>SUM(Q53:Q57)</f>
        <v>19422.234156243343</v>
      </c>
      <c r="R58" s="782"/>
      <c r="S58" s="782">
        <f>SUM(S53:S57)</f>
        <v>20102.012351711855</v>
      </c>
      <c r="T58" s="782"/>
      <c r="U58" s="782">
        <f>SUM(U53:U57)</f>
        <v>20805.582784021772</v>
      </c>
      <c r="V58" s="782"/>
      <c r="W58" s="782">
        <f>SUM(W53:W57)</f>
        <v>21533.778181462534</v>
      </c>
      <c r="X58" s="782"/>
      <c r="Y58" s="782">
        <f>SUM(Y53:Y57)</f>
        <v>22287.46041781372</v>
      </c>
      <c r="Z58" s="782"/>
      <c r="AA58" s="782">
        <f>SUM(AA53:AA57)</f>
        <v>23067.521532437197</v>
      </c>
      <c r="AB58" s="782"/>
      <c r="AC58" s="782">
        <f>SUM(AC53:AC57)</f>
        <v>23874.884786072496</v>
      </c>
      <c r="AD58" s="782"/>
      <c r="AE58" s="782">
        <f>SUM(AE53:AE57)</f>
        <v>24710.505753585036</v>
      </c>
      <c r="AF58" s="782"/>
      <c r="AG58" s="782">
        <f>SUM(AG53:AG57)</f>
        <v>25575.373454960507</v>
      </c>
      <c r="AH58" s="782"/>
      <c r="AI58" s="782"/>
    </row>
    <row r="59" spans="1:35" s="2" customFormat="1" ht="12.75" customHeight="1">
      <c r="A59" s="784"/>
      <c r="C59" s="783"/>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row>
    <row r="60" spans="1:35" s="784" customFormat="1">
      <c r="A60" s="784" t="s">
        <v>2765</v>
      </c>
      <c r="C60" s="791"/>
      <c r="E60" s="784">
        <f ca="1">E45-E58</f>
        <v>56608.365216999839</v>
      </c>
      <c r="G60" s="784">
        <f ca="1">G45-G58</f>
        <v>63407.945216999797</v>
      </c>
      <c r="I60" s="784">
        <f ca="1">I45-I58</f>
        <v>70129.368566999838</v>
      </c>
      <c r="K60" s="784">
        <f ca="1">K45-K58</f>
        <v>76761.996235499973</v>
      </c>
      <c r="M60" s="784">
        <f ca="1">M45-M58</f>
        <v>83294.619236178492</v>
      </c>
      <c r="O60" s="784">
        <f ca="1">O45-O58</f>
        <v>89715.433739756612</v>
      </c>
      <c r="Q60" s="784">
        <f ca="1">Q45-Q58</f>
        <v>96012.01519128283</v>
      </c>
      <c r="S60" s="784">
        <f ca="1">S45-S58</f>
        <v>102171.29139494308</v>
      </c>
      <c r="U60" s="784">
        <f ca="1">U45-U58</f>
        <v>108179.51452709551</v>
      </c>
      <c r="W60" s="784">
        <f ca="1">W45-W58</f>
        <v>114022.23203677133</v>
      </c>
      <c r="Y60" s="784">
        <f ca="1">Y45-Y58</f>
        <v>119684.25639138087</v>
      </c>
      <c r="AA60" s="784">
        <f ca="1">AA45-AA58</f>
        <v>125149.63362380087</v>
      </c>
      <c r="AC60" s="784">
        <f ca="1">AC45-AC58</f>
        <v>130401.6106353877</v>
      </c>
      <c r="AE60" s="784">
        <f ca="1">AE45-AE58</f>
        <v>135422.60120781412</v>
      </c>
      <c r="AG60" s="784">
        <f ca="1">AG45-AG58</f>
        <v>140194.15067484495</v>
      </c>
    </row>
    <row r="61" spans="1:35" s="2" customFormat="1" ht="8.25" customHeight="1">
      <c r="C61" s="783"/>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c r="AI61" s="782"/>
    </row>
    <row r="62" spans="1:35" s="784" customFormat="1">
      <c r="A62" s="784" t="s">
        <v>2766</v>
      </c>
      <c r="C62" s="781">
        <v>1</v>
      </c>
      <c r="E62" s="786">
        <f ca="1">E60*$C$62</f>
        <v>56608.365216999839</v>
      </c>
      <c r="G62" s="784">
        <f ca="1">G60*$C$62</f>
        <v>63407.945216999797</v>
      </c>
      <c r="I62" s="784">
        <f ca="1">I60*$C$62</f>
        <v>70129.368566999838</v>
      </c>
      <c r="K62" s="784">
        <f ca="1">K60*$C$62</f>
        <v>76761.996235499973</v>
      </c>
      <c r="M62" s="784">
        <f ca="1">M60*$C$62</f>
        <v>83294.619236178492</v>
      </c>
      <c r="O62" s="784">
        <f ca="1">O60*$C$62</f>
        <v>89715.433739756612</v>
      </c>
      <c r="Q62" s="784">
        <f ca="1">Q60*$C$62</f>
        <v>96012.01519128283</v>
      </c>
      <c r="S62" s="784">
        <f ca="1">S60*$C$62</f>
        <v>102171.29139494308</v>
      </c>
      <c r="U62" s="784">
        <f ca="1">U60*$C$62</f>
        <v>108179.51452709551</v>
      </c>
      <c r="W62" s="784">
        <f ca="1">W60*$C$62</f>
        <v>114022.23203677133</v>
      </c>
      <c r="Y62" s="784">
        <f ca="1">Y60*$C$62</f>
        <v>119684.25639138087</v>
      </c>
      <c r="AA62" s="784">
        <f ca="1">AA60*$C$62</f>
        <v>125149.63362380087</v>
      </c>
      <c r="AC62" s="784">
        <f ca="1">AC60*$C$62</f>
        <v>130401.6106353877</v>
      </c>
      <c r="AE62" s="784">
        <f ca="1">AE60*$C$62</f>
        <v>135422.60120781412</v>
      </c>
      <c r="AG62" s="784">
        <f ca="1">AG60*$C$62</f>
        <v>140194.15067484495</v>
      </c>
    </row>
    <row r="63" spans="1:35" s="784" customFormat="1">
      <c r="A63" s="2599" t="s">
        <v>1077</v>
      </c>
      <c r="B63" s="2599"/>
      <c r="C63" s="2599"/>
    </row>
    <row r="64" spans="1:35" s="2" customFormat="1" ht="8.25" customHeight="1">
      <c r="C64" s="783"/>
      <c r="E64" s="782"/>
      <c r="F64" s="782"/>
      <c r="G64" s="782"/>
      <c r="H64" s="782"/>
      <c r="I64" s="782"/>
      <c r="J64" s="782"/>
      <c r="K64" s="782"/>
      <c r="L64" s="782"/>
      <c r="M64" s="782"/>
      <c r="N64" s="782"/>
      <c r="O64" s="782"/>
      <c r="P64" s="782"/>
      <c r="Q64" s="782"/>
      <c r="R64" s="782"/>
      <c r="S64" s="782"/>
      <c r="T64" s="782"/>
      <c r="U64" s="782"/>
      <c r="V64" s="782"/>
      <c r="W64" s="782"/>
      <c r="X64" s="782"/>
      <c r="Y64" s="782"/>
      <c r="Z64" s="782"/>
      <c r="AA64" s="782"/>
      <c r="AB64" s="782"/>
      <c r="AC64" s="782"/>
      <c r="AD64" s="782"/>
      <c r="AE64" s="782"/>
      <c r="AF64" s="782"/>
      <c r="AG64" s="782"/>
      <c r="AH64" s="782"/>
      <c r="AI64" s="782"/>
    </row>
    <row r="65" spans="1:35" s="2" customFormat="1">
      <c r="A65" s="2" t="s">
        <v>2767</v>
      </c>
      <c r="C65" s="781"/>
      <c r="E65" s="782"/>
      <c r="F65" s="782"/>
      <c r="G65" s="782"/>
      <c r="H65" s="782"/>
      <c r="I65" s="782"/>
      <c r="J65" s="782"/>
      <c r="K65" s="782"/>
      <c r="L65" s="782"/>
      <c r="M65" s="782"/>
      <c r="N65" s="782"/>
      <c r="O65" s="782"/>
      <c r="P65" s="782"/>
      <c r="Q65" s="782"/>
      <c r="R65" s="782"/>
      <c r="S65" s="782"/>
      <c r="T65" s="782"/>
      <c r="U65" s="782"/>
      <c r="V65" s="782"/>
      <c r="W65" s="782"/>
      <c r="X65" s="782"/>
      <c r="Y65" s="782"/>
      <c r="Z65" s="782"/>
      <c r="AA65" s="782"/>
      <c r="AB65" s="782"/>
      <c r="AC65" s="782"/>
      <c r="AD65" s="782"/>
      <c r="AE65" s="782"/>
      <c r="AF65" s="782"/>
      <c r="AG65" s="782"/>
      <c r="AH65" s="782"/>
      <c r="AI65" s="782"/>
    </row>
    <row r="66" spans="1:35" s="784" customFormat="1">
      <c r="A66" s="786"/>
      <c r="B66" s="786"/>
      <c r="C66" s="785"/>
      <c r="E66" s="786">
        <f ca="1">$E60*$C$65</f>
        <v>0</v>
      </c>
      <c r="G66" s="782">
        <f ca="1">G60*$C$65</f>
        <v>0</v>
      </c>
      <c r="I66" s="782">
        <f ca="1">I60*$C$65</f>
        <v>0</v>
      </c>
      <c r="K66" s="782">
        <f ca="1">K60*$C$65</f>
        <v>0</v>
      </c>
      <c r="M66" s="782">
        <f ca="1">M60*$C$65</f>
        <v>0</v>
      </c>
      <c r="O66" s="782">
        <f ca="1">O60*$C$65</f>
        <v>0</v>
      </c>
      <c r="Q66" s="782">
        <f ca="1">Q60*$C$65</f>
        <v>0</v>
      </c>
      <c r="S66" s="782">
        <f ca="1">S60*$C$65</f>
        <v>0</v>
      </c>
      <c r="U66" s="782">
        <f ca="1">U60*$C$65</f>
        <v>0</v>
      </c>
      <c r="W66" s="782">
        <f ca="1">W60*$C$65</f>
        <v>0</v>
      </c>
      <c r="Y66" s="782">
        <f ca="1">Y60*$C$65</f>
        <v>0</v>
      </c>
      <c r="AA66" s="782">
        <f ca="1">AA60*$C$65</f>
        <v>0</v>
      </c>
      <c r="AC66" s="782">
        <f ca="1">AC60*$C$65</f>
        <v>0</v>
      </c>
      <c r="AE66" s="782">
        <f ca="1">AE60*$C$65</f>
        <v>0</v>
      </c>
      <c r="AG66" s="782">
        <f ca="1">AG60*$C$65</f>
        <v>0</v>
      </c>
    </row>
    <row r="67" spans="1:35" s="782" customFormat="1">
      <c r="A67" s="787"/>
      <c r="B67" s="787"/>
      <c r="C67" s="792"/>
      <c r="E67" s="786">
        <f ca="1">$E60*$C$65</f>
        <v>0</v>
      </c>
      <c r="G67" s="782">
        <f ca="1">G60*$C$65</f>
        <v>0</v>
      </c>
      <c r="I67" s="782">
        <f ca="1">I60*$C$65</f>
        <v>0</v>
      </c>
      <c r="K67" s="782">
        <f ca="1">K60*$C$65</f>
        <v>0</v>
      </c>
      <c r="M67" s="782">
        <f ca="1">M60*$C$65</f>
        <v>0</v>
      </c>
      <c r="O67" s="782">
        <f ca="1">O60*$C$65</f>
        <v>0</v>
      </c>
      <c r="Q67" s="782">
        <f ca="1">Q60*$C$65</f>
        <v>0</v>
      </c>
      <c r="S67" s="782">
        <f ca="1">S60*$C$65</f>
        <v>0</v>
      </c>
      <c r="U67" s="782">
        <f ca="1">U60*$C$65</f>
        <v>0</v>
      </c>
      <c r="W67" s="782">
        <f ca="1">W60*$C$65</f>
        <v>0</v>
      </c>
      <c r="Y67" s="782">
        <f ca="1">Y60*$C$65</f>
        <v>0</v>
      </c>
      <c r="AA67" s="782">
        <f ca="1">AA60*$C$65</f>
        <v>0</v>
      </c>
      <c r="AC67" s="782">
        <f ca="1">AC60*$C$65</f>
        <v>0</v>
      </c>
      <c r="AE67" s="782">
        <f ca="1">AE60*$C$65</f>
        <v>0</v>
      </c>
      <c r="AG67" s="782">
        <f ca="1">AG60*$C$65</f>
        <v>0</v>
      </c>
    </row>
    <row r="68" spans="1:35" s="782" customFormat="1">
      <c r="A68" s="787"/>
      <c r="B68" s="787"/>
      <c r="C68" s="792"/>
      <c r="E68" s="787"/>
      <c r="G68" s="782">
        <f t="shared" ref="G68:AG69" si="2">E68*$C$66</f>
        <v>0</v>
      </c>
      <c r="I68" s="782">
        <f t="shared" si="2"/>
        <v>0</v>
      </c>
      <c r="K68" s="782">
        <f t="shared" si="2"/>
        <v>0</v>
      </c>
      <c r="M68" s="782">
        <f t="shared" si="2"/>
        <v>0</v>
      </c>
      <c r="O68" s="782">
        <f t="shared" si="2"/>
        <v>0</v>
      </c>
      <c r="Q68" s="782">
        <f t="shared" si="2"/>
        <v>0</v>
      </c>
      <c r="S68" s="782">
        <f t="shared" si="2"/>
        <v>0</v>
      </c>
      <c r="U68" s="782">
        <f t="shared" si="2"/>
        <v>0</v>
      </c>
      <c r="W68" s="782">
        <f t="shared" si="2"/>
        <v>0</v>
      </c>
      <c r="Y68" s="782">
        <f t="shared" si="2"/>
        <v>0</v>
      </c>
      <c r="AA68" s="782">
        <f t="shared" si="2"/>
        <v>0</v>
      </c>
      <c r="AC68" s="782">
        <f t="shared" si="2"/>
        <v>0</v>
      </c>
      <c r="AE68" s="782">
        <f t="shared" si="2"/>
        <v>0</v>
      </c>
      <c r="AG68" s="782">
        <f t="shared" si="2"/>
        <v>0</v>
      </c>
    </row>
    <row r="69" spans="1:35" s="782" customFormat="1">
      <c r="A69" s="787"/>
      <c r="B69" s="787"/>
      <c r="C69" s="792"/>
      <c r="E69" s="789"/>
      <c r="G69" s="790">
        <f t="shared" si="2"/>
        <v>0</v>
      </c>
      <c r="I69" s="790">
        <f t="shared" si="2"/>
        <v>0</v>
      </c>
      <c r="K69" s="790">
        <f t="shared" si="2"/>
        <v>0</v>
      </c>
      <c r="M69" s="790">
        <f t="shared" si="2"/>
        <v>0</v>
      </c>
      <c r="O69" s="790">
        <f t="shared" si="2"/>
        <v>0</v>
      </c>
      <c r="Q69" s="790">
        <f t="shared" si="2"/>
        <v>0</v>
      </c>
      <c r="S69" s="790">
        <f t="shared" si="2"/>
        <v>0</v>
      </c>
      <c r="U69" s="790">
        <f t="shared" si="2"/>
        <v>0</v>
      </c>
      <c r="W69" s="790">
        <f t="shared" si="2"/>
        <v>0</v>
      </c>
      <c r="Y69" s="790">
        <f t="shared" si="2"/>
        <v>0</v>
      </c>
      <c r="AA69" s="790">
        <f t="shared" si="2"/>
        <v>0</v>
      </c>
      <c r="AC69" s="790">
        <f t="shared" si="2"/>
        <v>0</v>
      </c>
      <c r="AE69" s="790">
        <f t="shared" si="2"/>
        <v>0</v>
      </c>
      <c r="AG69" s="790">
        <f t="shared" si="2"/>
        <v>0</v>
      </c>
    </row>
    <row r="70" spans="1:35" s="782" customFormat="1">
      <c r="A70" s="784" t="s">
        <v>2764</v>
      </c>
      <c r="C70" s="792"/>
      <c r="E70" s="782">
        <f ca="1">SUM(E66:E69)</f>
        <v>0</v>
      </c>
      <c r="G70" s="782">
        <f ca="1">SUM(G66:G69)</f>
        <v>0</v>
      </c>
      <c r="I70" s="782">
        <f ca="1">SUM(I66:I69)</f>
        <v>0</v>
      </c>
      <c r="K70" s="782">
        <f ca="1">SUM(K66:K69)</f>
        <v>0</v>
      </c>
      <c r="M70" s="782">
        <f ca="1">SUM(M66:M69)</f>
        <v>0</v>
      </c>
      <c r="O70" s="782">
        <f ca="1">SUM(O66:O69)</f>
        <v>0</v>
      </c>
      <c r="Q70" s="782">
        <f ca="1">SUM(Q66:Q69)</f>
        <v>0</v>
      </c>
      <c r="S70" s="782">
        <f ca="1">SUM(S66:S69)</f>
        <v>0</v>
      </c>
      <c r="U70" s="782">
        <f ca="1">SUM(U66:U69)</f>
        <v>0</v>
      </c>
      <c r="W70" s="782">
        <f ca="1">SUM(W66:W69)</f>
        <v>0</v>
      </c>
      <c r="Y70" s="782">
        <f ca="1">SUM(Y66:Y69)</f>
        <v>0</v>
      </c>
      <c r="AA70" s="782">
        <f ca="1">SUM(AA66:AA69)</f>
        <v>0</v>
      </c>
      <c r="AC70" s="782">
        <f ca="1">SUM(AC66:AC69)</f>
        <v>0</v>
      </c>
      <c r="AE70" s="782">
        <f ca="1">SUM(AE66:AE69)</f>
        <v>0</v>
      </c>
      <c r="AG70" s="782">
        <f ca="1">SUM(AG66:AG69)</f>
        <v>0</v>
      </c>
    </row>
    <row r="71" spans="1:35" s="782" customFormat="1">
      <c r="A71" s="784"/>
      <c r="C71" s="792"/>
    </row>
    <row r="72" spans="1:35" s="782" customFormat="1">
      <c r="A72" s="784" t="s">
        <v>2768</v>
      </c>
      <c r="C72" s="792"/>
      <c r="E72" s="784">
        <f ca="1">E60-E62-E70</f>
        <v>0</v>
      </c>
      <c r="G72" s="784">
        <f ca="1">G60-G62-G70</f>
        <v>0</v>
      </c>
      <c r="I72" s="784">
        <f ca="1">I60-I62-I70</f>
        <v>0</v>
      </c>
      <c r="K72" s="784">
        <f ca="1">K60-K62-K70</f>
        <v>0</v>
      </c>
      <c r="M72" s="784">
        <f ca="1">M60-M62-M70</f>
        <v>0</v>
      </c>
      <c r="O72" s="784">
        <f ca="1">O60-O62-O70</f>
        <v>0</v>
      </c>
      <c r="Q72" s="784">
        <f ca="1">Q60-Q62-Q70</f>
        <v>0</v>
      </c>
      <c r="S72" s="784">
        <f ca="1">S60-S62-S70</f>
        <v>0</v>
      </c>
      <c r="U72" s="784">
        <f ca="1">U60-U62-U70</f>
        <v>0</v>
      </c>
      <c r="W72" s="784">
        <f ca="1">W60-W62-W70</f>
        <v>0</v>
      </c>
      <c r="Y72" s="784">
        <f ca="1">Y60-Y62-Y70</f>
        <v>0</v>
      </c>
      <c r="AA72" s="784">
        <f ca="1">AA60-AA62-AA70</f>
        <v>0</v>
      </c>
      <c r="AC72" s="784">
        <f ca="1">AC60-AC62-AC70</f>
        <v>0</v>
      </c>
      <c r="AE72" s="784">
        <f ca="1">AE60-AE62-AE70</f>
        <v>0</v>
      </c>
      <c r="AG72" s="784">
        <f ca="1">AG60-AG62-AG70</f>
        <v>0</v>
      </c>
    </row>
    <row r="73" spans="1:35" s="782" customFormat="1">
      <c r="A73" s="398"/>
      <c r="C73" s="792"/>
    </row>
    <row r="74" spans="1:35" s="130" customFormat="1">
      <c r="A74" s="398"/>
      <c r="B74" s="782"/>
      <c r="C74" s="79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row>
    <row r="75" spans="1:35" s="130" customFormat="1">
      <c r="A75" s="782" t="s">
        <v>2769</v>
      </c>
      <c r="B75" s="782"/>
      <c r="C75" s="792"/>
      <c r="D75" s="782"/>
      <c r="E75" s="782"/>
      <c r="F75" s="782"/>
      <c r="G75" s="782"/>
      <c r="H75" s="782"/>
      <c r="I75" s="782"/>
      <c r="J75" s="782"/>
      <c r="K75" s="782"/>
      <c r="L75" s="782"/>
      <c r="M75" s="782"/>
      <c r="N75" s="782"/>
      <c r="O75" s="782"/>
      <c r="P75" s="782"/>
      <c r="Q75" s="782"/>
      <c r="R75" s="782"/>
      <c r="S75" s="782"/>
      <c r="T75" s="782"/>
      <c r="U75" s="782"/>
      <c r="V75" s="782"/>
      <c r="W75" s="782"/>
      <c r="X75" s="782"/>
      <c r="Y75" s="782"/>
      <c r="Z75" s="782"/>
      <c r="AA75" s="782"/>
      <c r="AB75" s="782"/>
      <c r="AC75" s="782"/>
      <c r="AD75" s="782"/>
      <c r="AE75" s="782"/>
      <c r="AF75" s="782"/>
      <c r="AG75" s="782"/>
      <c r="AH75" s="782"/>
      <c r="AI75" s="782"/>
    </row>
    <row r="76" spans="1:35" s="130" customFormat="1">
      <c r="A76" s="782"/>
      <c r="B76" s="782"/>
      <c r="C76" s="79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c r="AI76" s="782"/>
    </row>
    <row r="77" spans="1:35" s="146" customFormat="1" ht="30" customHeight="1">
      <c r="A77" s="2598" t="s">
        <v>2770</v>
      </c>
      <c r="B77" s="2598"/>
      <c r="C77" s="2598"/>
      <c r="D77" s="2598"/>
      <c r="E77" s="2598"/>
      <c r="F77" s="2598"/>
      <c r="G77" s="2598"/>
      <c r="H77" s="2598"/>
      <c r="I77" s="2598"/>
      <c r="J77" s="2598"/>
      <c r="K77" s="2598"/>
      <c r="L77" s="2598"/>
      <c r="M77" s="2598"/>
      <c r="N77" s="2598"/>
      <c r="O77" s="2598"/>
      <c r="P77" s="2598"/>
      <c r="Q77" s="2598"/>
      <c r="R77" s="2598"/>
      <c r="S77" s="2598"/>
      <c r="T77" s="2598"/>
      <c r="U77" s="2598"/>
      <c r="V77" s="2598"/>
      <c r="W77" s="2598"/>
      <c r="X77" s="2598"/>
      <c r="Y77" s="2598"/>
      <c r="Z77" s="2598"/>
      <c r="AA77" s="2598"/>
      <c r="AB77" s="2598"/>
      <c r="AC77" s="2598"/>
      <c r="AD77" s="2598"/>
      <c r="AE77" s="2598"/>
      <c r="AF77" s="2598"/>
      <c r="AG77" s="2598"/>
      <c r="AH77" s="1099"/>
      <c r="AI77" s="1099"/>
    </row>
    <row r="78" spans="1:35" s="127" customFormat="1" hidden="1">
      <c r="C78" s="129"/>
    </row>
    <row r="79" spans="1:35" s="127" customFormat="1" hidden="1">
      <c r="C79" s="129"/>
    </row>
    <row r="80" spans="1:35"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s="127" customFormat="1" hidden="1">
      <c r="C215" s="129"/>
    </row>
    <row r="216" spans="3:3" s="127" customFormat="1" hidden="1">
      <c r="C216" s="129"/>
    </row>
    <row r="217" spans="3:3" s="127" customFormat="1" hidden="1">
      <c r="C217" s="129"/>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5" customWidth="1"/>
    <col min="2" max="16384" width="8.83203125" hidden="1"/>
  </cols>
  <sheetData>
    <row r="1" spans="1:1" ht="34">
      <c r="A1" s="208" t="s">
        <v>2771</v>
      </c>
    </row>
    <row r="2" spans="1:1" ht="16">
      <c r="A2" s="209"/>
    </row>
    <row r="3" spans="1:1" ht="16">
      <c r="A3" s="210" t="s">
        <v>2772</v>
      </c>
    </row>
    <row r="4" spans="1:1" ht="16">
      <c r="A4" s="210" t="s">
        <v>2773</v>
      </c>
    </row>
    <row r="5" spans="1:1" ht="16">
      <c r="A5" s="210" t="s">
        <v>2774</v>
      </c>
    </row>
    <row r="6" spans="1:1" ht="16">
      <c r="A6" s="210" t="s">
        <v>2775</v>
      </c>
    </row>
    <row r="7" spans="1:1" ht="16">
      <c r="A7" s="210" t="s">
        <v>2776</v>
      </c>
    </row>
    <row r="8" spans="1:1" ht="16">
      <c r="A8" s="237" t="s">
        <v>2777</v>
      </c>
    </row>
    <row r="9" spans="1:1" ht="16">
      <c r="A9" s="210" t="s">
        <v>2778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5" style="118" customWidth="1"/>
    <col min="2" max="4" width="14.5" style="118" customWidth="1"/>
    <col min="5" max="5" width="50.5" style="118" customWidth="1"/>
    <col min="6" max="253" width="9.1640625" style="118" customWidth="1"/>
    <col min="254" max="16384" width="9.1640625" style="118"/>
  </cols>
  <sheetData>
    <row r="1" spans="1:7" s="173" customFormat="1" ht="18" customHeight="1">
      <c r="A1" s="384" t="s">
        <v>2779</v>
      </c>
      <c r="D1" s="178"/>
    </row>
    <row r="2" spans="1:7" s="173" customFormat="1">
      <c r="A2" s="156" t="s">
        <v>2780</v>
      </c>
      <c r="B2" s="158"/>
      <c r="C2" s="158"/>
      <c r="D2" s="155"/>
      <c r="E2" s="159"/>
      <c r="F2" s="158"/>
    </row>
    <row r="3" spans="1:7" s="242" customFormat="1" ht="80.25" customHeight="1">
      <c r="A3" s="175"/>
      <c r="B3" s="160" t="s">
        <v>2781</v>
      </c>
      <c r="C3" s="160" t="s">
        <v>2782</v>
      </c>
      <c r="D3" s="160" t="s">
        <v>2783</v>
      </c>
      <c r="E3" s="157" t="s">
        <v>2784</v>
      </c>
      <c r="F3" s="157"/>
      <c r="G3" s="245"/>
    </row>
    <row r="4" spans="1:7" s="243" customFormat="1" ht="14">
      <c r="A4" s="161" t="s">
        <v>1805</v>
      </c>
      <c r="B4" s="161"/>
      <c r="C4" s="161"/>
      <c r="D4" s="161"/>
      <c r="E4" s="180"/>
      <c r="F4" s="161"/>
      <c r="G4" s="246"/>
    </row>
    <row r="5" spans="1:7" s="243" customFormat="1">
      <c r="A5" s="257" t="s">
        <v>1806</v>
      </c>
      <c r="B5" s="163">
        <f>'Sources and Uses Budget'!$C4</f>
        <v>4550000</v>
      </c>
      <c r="C5" s="163">
        <f>'Sources and Uses Budget'!$C4</f>
        <v>4550000</v>
      </c>
      <c r="D5" s="167">
        <f>C5-B5</f>
        <v>0</v>
      </c>
      <c r="E5" s="165"/>
      <c r="F5" s="164"/>
      <c r="G5" s="246"/>
    </row>
    <row r="6" spans="1:7" s="243" customFormat="1">
      <c r="A6" s="257" t="s">
        <v>1807</v>
      </c>
      <c r="B6" s="163">
        <f>'Sources and Uses Budget'!$C5</f>
        <v>100000</v>
      </c>
      <c r="C6" s="163">
        <f>'Sources and Uses Budget'!$C5</f>
        <v>100000</v>
      </c>
      <c r="D6" s="167">
        <f t="shared" ref="D6:D77" si="0">C6-B6</f>
        <v>0</v>
      </c>
      <c r="E6" s="165"/>
      <c r="F6" s="164"/>
      <c r="G6" s="246"/>
    </row>
    <row r="7" spans="1:7" s="243" customFormat="1">
      <c r="A7" s="257" t="s">
        <v>1808</v>
      </c>
      <c r="B7" s="163">
        <f>'Sources and Uses Budget'!$C6</f>
        <v>0</v>
      </c>
      <c r="C7" s="163">
        <f>'Sources and Uses Budget'!$C6</f>
        <v>0</v>
      </c>
      <c r="D7" s="167">
        <f t="shared" si="0"/>
        <v>0</v>
      </c>
      <c r="E7" s="165"/>
      <c r="F7" s="164"/>
      <c r="G7" s="246"/>
    </row>
    <row r="8" spans="1:7" s="243" customFormat="1">
      <c r="A8" s="257" t="s">
        <v>1809</v>
      </c>
      <c r="B8" s="163">
        <f>'Sources and Uses Budget'!$C7</f>
        <v>0</v>
      </c>
      <c r="C8" s="163">
        <f>'Sources and Uses Budget'!$C7</f>
        <v>0</v>
      </c>
      <c r="D8" s="167">
        <f t="shared" si="0"/>
        <v>0</v>
      </c>
      <c r="E8" s="165"/>
      <c r="F8" s="164"/>
      <c r="G8" s="246"/>
    </row>
    <row r="9" spans="1:7" s="243" customFormat="1">
      <c r="A9" s="258" t="s">
        <v>1810</v>
      </c>
      <c r="B9" s="167">
        <f>SUM(B5:B8)</f>
        <v>4650000</v>
      </c>
      <c r="C9" s="167">
        <f>SUM(C5:C8)</f>
        <v>4650000</v>
      </c>
      <c r="D9" s="167">
        <f t="shared" si="0"/>
        <v>0</v>
      </c>
      <c r="E9" s="165"/>
      <c r="F9" s="164"/>
      <c r="G9" s="246"/>
    </row>
    <row r="10" spans="1:7" s="243" customFormat="1">
      <c r="A10" s="257" t="s">
        <v>1811</v>
      </c>
      <c r="B10" s="163">
        <f>'Sources and Uses Budget'!$C9</f>
        <v>0</v>
      </c>
      <c r="C10" s="163">
        <f>'Sources and Uses Budget'!$C9</f>
        <v>0</v>
      </c>
      <c r="D10" s="167">
        <f t="shared" si="0"/>
        <v>0</v>
      </c>
      <c r="E10" s="165"/>
      <c r="F10" s="164"/>
      <c r="G10" s="246"/>
    </row>
    <row r="11" spans="1:7" s="243" customFormat="1">
      <c r="A11" s="257" t="s">
        <v>1812</v>
      </c>
      <c r="B11" s="163">
        <f>'Sources and Uses Budget'!$C10</f>
        <v>500000</v>
      </c>
      <c r="C11" s="163">
        <f>'Sources and Uses Budget'!$C10</f>
        <v>500000</v>
      </c>
      <c r="D11" s="167">
        <f t="shared" si="0"/>
        <v>0</v>
      </c>
      <c r="E11" s="165"/>
      <c r="F11" s="164"/>
      <c r="G11" s="246"/>
    </row>
    <row r="12" spans="1:7" s="243" customFormat="1">
      <c r="A12" s="258" t="s">
        <v>1813</v>
      </c>
      <c r="B12" s="167">
        <f>SUM(B10:B11)</f>
        <v>500000</v>
      </c>
      <c r="C12" s="167">
        <f>SUM(C10:C11)</f>
        <v>500000</v>
      </c>
      <c r="D12" s="167">
        <f t="shared" si="0"/>
        <v>0</v>
      </c>
      <c r="E12" s="165"/>
      <c r="F12" s="164"/>
      <c r="G12" s="246"/>
    </row>
    <row r="13" spans="1:7" s="243" customFormat="1">
      <c r="A13" s="258" t="s">
        <v>1814</v>
      </c>
      <c r="B13" s="167">
        <f>SUM(B9+B12)</f>
        <v>5150000</v>
      </c>
      <c r="C13" s="167">
        <f>SUM(C9+C12)</f>
        <v>5150000</v>
      </c>
      <c r="D13" s="167">
        <f t="shared" si="0"/>
        <v>0</v>
      </c>
      <c r="E13" s="165"/>
      <c r="F13" s="164"/>
      <c r="G13" s="246"/>
    </row>
    <row r="14" spans="1:7" s="243" customFormat="1">
      <c r="A14" s="259" t="s">
        <v>1815</v>
      </c>
      <c r="B14" s="163">
        <f>'Sources and Uses Budget'!$C13</f>
        <v>0</v>
      </c>
      <c r="C14" s="163">
        <f>'Sources and Uses Budget'!$C13</f>
        <v>0</v>
      </c>
      <c r="D14" s="167">
        <f t="shared" si="0"/>
        <v>0</v>
      </c>
      <c r="E14" s="165"/>
      <c r="F14" s="164"/>
      <c r="G14" s="246"/>
    </row>
    <row r="15" spans="1:7" s="243" customFormat="1" ht="26">
      <c r="A15" s="257" t="s">
        <v>1936</v>
      </c>
      <c r="B15" s="163">
        <f>'Sources and Uses Budget'!$C14</f>
        <v>0</v>
      </c>
      <c r="C15" s="163">
        <f>'Sources and Uses Budget'!$C14</f>
        <v>0</v>
      </c>
      <c r="D15" s="167">
        <f t="shared" si="0"/>
        <v>0</v>
      </c>
      <c r="E15" s="165"/>
      <c r="F15" s="164"/>
      <c r="G15" s="246"/>
    </row>
    <row r="16" spans="1:7" s="243" customFormat="1">
      <c r="A16" s="257" t="s">
        <v>1817</v>
      </c>
      <c r="B16" s="163">
        <f>'Sources and Uses Budget'!$C15</f>
        <v>0</v>
      </c>
      <c r="C16" s="163">
        <f>'Sources and Uses Budget'!$C15</f>
        <v>0</v>
      </c>
      <c r="D16" s="167">
        <f t="shared" si="0"/>
        <v>0</v>
      </c>
      <c r="E16" s="165"/>
      <c r="F16" s="164"/>
      <c r="G16" s="246"/>
    </row>
    <row r="17" spans="1:7" s="243" customFormat="1" ht="14">
      <c r="A17" s="161" t="s">
        <v>1818</v>
      </c>
      <c r="B17" s="161"/>
      <c r="C17" s="161"/>
      <c r="D17" s="161"/>
      <c r="E17" s="180"/>
      <c r="F17" s="161"/>
      <c r="G17" s="246"/>
    </row>
    <row r="18" spans="1:7" s="243" customFormat="1">
      <c r="A18" s="181" t="s">
        <v>1819</v>
      </c>
      <c r="B18" s="163">
        <f>'Sources and Uses Budget'!$C17</f>
        <v>0</v>
      </c>
      <c r="C18" s="163">
        <f>'Sources and Uses Budget'!$C17</f>
        <v>0</v>
      </c>
      <c r="D18" s="167">
        <f t="shared" si="0"/>
        <v>0</v>
      </c>
      <c r="E18" s="165"/>
      <c r="F18" s="164"/>
      <c r="G18" s="246"/>
    </row>
    <row r="19" spans="1:7" s="243" customFormat="1">
      <c r="A19" s="181" t="s">
        <v>1820</v>
      </c>
      <c r="B19" s="163">
        <f>'Sources and Uses Budget'!$C18</f>
        <v>0</v>
      </c>
      <c r="C19" s="163">
        <f>'Sources and Uses Budget'!$C18</f>
        <v>0</v>
      </c>
      <c r="D19" s="167">
        <f t="shared" si="0"/>
        <v>0</v>
      </c>
      <c r="E19" s="165"/>
      <c r="F19" s="164"/>
      <c r="G19" s="246"/>
    </row>
    <row r="20" spans="1:7" s="243" customFormat="1">
      <c r="A20" s="181" t="s">
        <v>1821</v>
      </c>
      <c r="B20" s="163">
        <f>'Sources and Uses Budget'!$C19</f>
        <v>0</v>
      </c>
      <c r="C20" s="163">
        <f>'Sources and Uses Budget'!$C19</f>
        <v>0</v>
      </c>
      <c r="D20" s="167">
        <f t="shared" si="0"/>
        <v>0</v>
      </c>
      <c r="E20" s="165"/>
      <c r="F20" s="164"/>
      <c r="G20" s="246"/>
    </row>
    <row r="21" spans="1:7" s="243" customFormat="1">
      <c r="A21" s="181" t="s">
        <v>1822</v>
      </c>
      <c r="B21" s="163">
        <f>'Sources and Uses Budget'!$C20</f>
        <v>0</v>
      </c>
      <c r="C21" s="163">
        <f>'Sources and Uses Budget'!$C20</f>
        <v>0</v>
      </c>
      <c r="D21" s="167">
        <f t="shared" si="0"/>
        <v>0</v>
      </c>
      <c r="E21" s="165"/>
      <c r="F21" s="164"/>
      <c r="G21" s="246"/>
    </row>
    <row r="22" spans="1:7" s="243" customFormat="1">
      <c r="A22" s="181" t="s">
        <v>1823</v>
      </c>
      <c r="B22" s="163">
        <f>'Sources and Uses Budget'!$C21</f>
        <v>0</v>
      </c>
      <c r="C22" s="163">
        <f>'Sources and Uses Budget'!$C21</f>
        <v>0</v>
      </c>
      <c r="D22" s="167">
        <f t="shared" si="0"/>
        <v>0</v>
      </c>
      <c r="E22" s="165"/>
      <c r="F22" s="164"/>
      <c r="G22" s="246"/>
    </row>
    <row r="23" spans="1:7" s="243" customFormat="1">
      <c r="A23" s="181" t="s">
        <v>1824</v>
      </c>
      <c r="B23" s="163">
        <f>'Sources and Uses Budget'!$C22</f>
        <v>0</v>
      </c>
      <c r="C23" s="163">
        <f>'Sources and Uses Budget'!$C22</f>
        <v>0</v>
      </c>
      <c r="D23" s="167">
        <f t="shared" si="0"/>
        <v>0</v>
      </c>
      <c r="E23" s="165"/>
      <c r="F23" s="164"/>
      <c r="G23" s="246"/>
    </row>
    <row r="24" spans="1:7" s="243" customFormat="1">
      <c r="A24" s="181" t="s">
        <v>1825</v>
      </c>
      <c r="B24" s="163">
        <f>'Sources and Uses Budget'!$C23</f>
        <v>0</v>
      </c>
      <c r="C24" s="163">
        <f>'Sources and Uses Budget'!$C23</f>
        <v>0</v>
      </c>
      <c r="D24" s="167">
        <f t="shared" si="0"/>
        <v>0</v>
      </c>
      <c r="E24" s="165"/>
      <c r="F24" s="164"/>
      <c r="G24" s="246"/>
    </row>
    <row r="25" spans="1:7" s="243" customFormat="1">
      <c r="A25" s="380" t="s">
        <v>1826</v>
      </c>
      <c r="B25" s="163">
        <f>'Sources and Uses Budget'!$C24</f>
        <v>0</v>
      </c>
      <c r="C25" s="163">
        <f>'Sources and Uses Budget'!$C24</f>
        <v>0</v>
      </c>
      <c r="D25" s="167">
        <f t="shared" si="0"/>
        <v>0</v>
      </c>
      <c r="E25" s="165"/>
      <c r="F25" s="164"/>
      <c r="G25" s="246"/>
    </row>
    <row r="26" spans="1:7" s="243" customFormat="1">
      <c r="A26" s="380" t="str">
        <f>'Sources and Uses Budget'!A25</f>
        <v>Other: (Specify)</v>
      </c>
      <c r="B26" s="163">
        <f>'Sources and Uses Budget'!$C25</f>
        <v>0</v>
      </c>
      <c r="C26" s="163">
        <f>'Sources and Uses Budget'!$C25</f>
        <v>0</v>
      </c>
      <c r="D26" s="167">
        <f t="shared" si="0"/>
        <v>0</v>
      </c>
      <c r="E26" s="165"/>
      <c r="F26" s="164"/>
      <c r="G26" s="246"/>
    </row>
    <row r="27" spans="1:7" s="243" customFormat="1" ht="14">
      <c r="A27" s="828" t="s">
        <v>1828</v>
      </c>
      <c r="B27" s="167">
        <f>SUM(B18:B26)</f>
        <v>0</v>
      </c>
      <c r="C27" s="167">
        <f>SUM(C18:C26)</f>
        <v>0</v>
      </c>
      <c r="D27" s="167">
        <f>SUM(D18:D26)</f>
        <v>0</v>
      </c>
      <c r="E27" s="165"/>
      <c r="F27" s="164"/>
      <c r="G27" s="246"/>
    </row>
    <row r="28" spans="1:7" s="243" customFormat="1" ht="14">
      <c r="A28" s="168" t="s">
        <v>1829</v>
      </c>
      <c r="B28" s="163">
        <f>'Sources and Uses Budget'!$C$27</f>
        <v>0</v>
      </c>
      <c r="C28" s="163">
        <f>'Sources and Uses Budget'!$C$27</f>
        <v>0</v>
      </c>
      <c r="D28" s="167">
        <f t="shared" si="0"/>
        <v>0</v>
      </c>
      <c r="E28" s="165"/>
      <c r="F28" s="164"/>
      <c r="G28" s="246"/>
    </row>
    <row r="29" spans="1:7" s="243" customFormat="1" ht="14">
      <c r="A29" s="161" t="s">
        <v>1830</v>
      </c>
      <c r="B29" s="161"/>
      <c r="C29" s="161"/>
      <c r="D29" s="161"/>
      <c r="E29" s="180"/>
      <c r="F29" s="161"/>
      <c r="G29" s="246"/>
    </row>
    <row r="30" spans="1:7" s="243" customFormat="1">
      <c r="A30" s="181" t="s">
        <v>1819</v>
      </c>
      <c r="B30" s="163">
        <f>'Sources and Uses Budget'!$C29</f>
        <v>1000000</v>
      </c>
      <c r="C30" s="163">
        <f>'Sources and Uses Budget'!$C29</f>
        <v>1000000</v>
      </c>
      <c r="D30" s="167">
        <f t="shared" si="0"/>
        <v>0</v>
      </c>
      <c r="E30" s="165"/>
      <c r="F30" s="164"/>
      <c r="G30" s="246"/>
    </row>
    <row r="31" spans="1:7" s="243" customFormat="1">
      <c r="A31" s="181" t="s">
        <v>1820</v>
      </c>
      <c r="B31" s="163">
        <f>'Sources and Uses Budget'!$C30</f>
        <v>22280624</v>
      </c>
      <c r="C31" s="163">
        <f>'Sources and Uses Budget'!$C30</f>
        <v>22280624</v>
      </c>
      <c r="D31" s="167">
        <f t="shared" si="0"/>
        <v>0</v>
      </c>
      <c r="E31" s="165"/>
      <c r="F31" s="164"/>
      <c r="G31" s="246"/>
    </row>
    <row r="32" spans="1:7" s="243" customFormat="1">
      <c r="A32" s="181" t="s">
        <v>1821</v>
      </c>
      <c r="B32" s="163">
        <f>'Sources and Uses Budget'!$C31</f>
        <v>1712205</v>
      </c>
      <c r="C32" s="163">
        <f>'Sources and Uses Budget'!$C31</f>
        <v>1712205</v>
      </c>
      <c r="D32" s="167">
        <f t="shared" si="0"/>
        <v>0</v>
      </c>
      <c r="E32" s="165"/>
      <c r="F32" s="164"/>
      <c r="G32" s="246"/>
    </row>
    <row r="33" spans="1:7" s="243" customFormat="1">
      <c r="A33" s="181" t="s">
        <v>1822</v>
      </c>
      <c r="B33" s="163">
        <f>'Sources and Uses Budget'!$C32</f>
        <v>1141470</v>
      </c>
      <c r="C33" s="163">
        <f>'Sources and Uses Budget'!$C32</f>
        <v>1141470</v>
      </c>
      <c r="D33" s="167">
        <f t="shared" si="0"/>
        <v>0</v>
      </c>
      <c r="E33" s="165"/>
      <c r="F33" s="164"/>
      <c r="G33" s="246"/>
    </row>
    <row r="34" spans="1:7" s="243" customFormat="1">
      <c r="A34" s="181" t="s">
        <v>1823</v>
      </c>
      <c r="B34" s="163">
        <f>'Sources and Uses Budget'!$C33</f>
        <v>1141470</v>
      </c>
      <c r="C34" s="163">
        <f>'Sources and Uses Budget'!$C33</f>
        <v>1141470</v>
      </c>
      <c r="D34" s="167">
        <f t="shared" si="0"/>
        <v>0</v>
      </c>
      <c r="E34" s="165"/>
      <c r="F34" s="164"/>
      <c r="G34" s="246"/>
    </row>
    <row r="35" spans="1:7" s="243" customFormat="1">
      <c r="A35" s="181" t="s">
        <v>1824</v>
      </c>
      <c r="B35" s="163">
        <f>'Sources and Uses Budget'!$C34</f>
        <v>4756125</v>
      </c>
      <c r="C35" s="163">
        <f>'Sources and Uses Budget'!$C34</f>
        <v>4756125</v>
      </c>
      <c r="D35" s="167">
        <f t="shared" si="0"/>
        <v>0</v>
      </c>
      <c r="E35" s="165"/>
      <c r="F35" s="164"/>
      <c r="G35" s="246"/>
    </row>
    <row r="36" spans="1:7" s="243" customFormat="1">
      <c r="A36" s="181" t="s">
        <v>1825</v>
      </c>
      <c r="B36" s="163">
        <f>'Sources and Uses Budget'!$C35</f>
        <v>325319</v>
      </c>
      <c r="C36" s="163">
        <f>'Sources and Uses Budget'!$C35</f>
        <v>325319</v>
      </c>
      <c r="D36" s="167">
        <f t="shared" si="0"/>
        <v>0</v>
      </c>
      <c r="E36" s="165"/>
      <c r="F36" s="164"/>
      <c r="G36" s="246"/>
    </row>
    <row r="37" spans="1:7" s="243" customFormat="1">
      <c r="A37" s="181" t="s">
        <v>1826</v>
      </c>
      <c r="B37" s="163">
        <f>'Sources and Uses Budget'!$C36</f>
        <v>0</v>
      </c>
      <c r="C37" s="163">
        <f>'Sources and Uses Budget'!$C36</f>
        <v>0</v>
      </c>
      <c r="D37" s="167"/>
      <c r="E37" s="165"/>
      <c r="F37" s="164"/>
      <c r="G37" s="246"/>
    </row>
    <row r="38" spans="1:7" s="243" customFormat="1">
      <c r="A38" s="380" t="str">
        <f>'Sources and Uses Budget'!A37</f>
        <v>Other: (Specify)</v>
      </c>
      <c r="B38" s="163">
        <f>'Sources and Uses Budget'!$C37</f>
        <v>0</v>
      </c>
      <c r="C38" s="163">
        <f>'Sources and Uses Budget'!$C37</f>
        <v>0</v>
      </c>
      <c r="D38" s="167">
        <f t="shared" si="0"/>
        <v>0</v>
      </c>
      <c r="E38" s="165"/>
      <c r="F38" s="164"/>
      <c r="G38" s="246"/>
    </row>
    <row r="39" spans="1:7" s="243" customFormat="1" ht="14">
      <c r="A39" s="168" t="s">
        <v>1831</v>
      </c>
      <c r="B39" s="167">
        <f>SUM(B30:B38)</f>
        <v>32357213</v>
      </c>
      <c r="C39" s="167">
        <f>SUM(C30:C38)</f>
        <v>32357213</v>
      </c>
      <c r="D39" s="167">
        <f t="shared" si="0"/>
        <v>0</v>
      </c>
      <c r="E39" s="165"/>
      <c r="F39" s="164"/>
      <c r="G39" s="246"/>
    </row>
    <row r="40" spans="1:7" s="243" customFormat="1" ht="14">
      <c r="A40" s="161" t="s">
        <v>1832</v>
      </c>
      <c r="B40" s="161"/>
      <c r="C40" s="161"/>
      <c r="D40" s="161"/>
      <c r="E40" s="180"/>
      <c r="F40" s="161"/>
      <c r="G40" s="246"/>
    </row>
    <row r="41" spans="1:7" s="243" customFormat="1" ht="14">
      <c r="A41" s="166" t="s">
        <v>1833</v>
      </c>
      <c r="B41" s="163">
        <f>'Sources and Uses Budget'!$C40</f>
        <v>990000</v>
      </c>
      <c r="C41" s="163">
        <f>'Sources and Uses Budget'!$C40</f>
        <v>990000</v>
      </c>
      <c r="D41" s="167">
        <f t="shared" si="0"/>
        <v>0</v>
      </c>
      <c r="E41" s="165"/>
      <c r="F41" s="164"/>
      <c r="G41" s="246"/>
    </row>
    <row r="42" spans="1:7" s="243" customFormat="1" ht="14">
      <c r="A42" s="166" t="s">
        <v>1834</v>
      </c>
      <c r="B42" s="163">
        <f>'Sources and Uses Budget'!$C41</f>
        <v>0</v>
      </c>
      <c r="C42" s="163">
        <f>'Sources and Uses Budget'!$C41</f>
        <v>0</v>
      </c>
      <c r="D42" s="167">
        <f t="shared" si="0"/>
        <v>0</v>
      </c>
      <c r="E42" s="165"/>
      <c r="F42" s="164"/>
      <c r="G42" s="246"/>
    </row>
    <row r="43" spans="1:7" s="243" customFormat="1" ht="14">
      <c r="A43" s="168" t="s">
        <v>1835</v>
      </c>
      <c r="B43" s="167">
        <f>SUM(B41:B42)</f>
        <v>990000</v>
      </c>
      <c r="C43" s="167">
        <f>SUM(C41:C42)</f>
        <v>990000</v>
      </c>
      <c r="D43" s="167">
        <f t="shared" si="0"/>
        <v>0</v>
      </c>
      <c r="E43" s="165"/>
      <c r="F43" s="164"/>
      <c r="G43" s="246"/>
    </row>
    <row r="44" spans="1:7" s="243" customFormat="1" ht="14">
      <c r="A44" s="168" t="s">
        <v>1836</v>
      </c>
      <c r="B44" s="163">
        <f>'Sources and Uses Budget'!$C43</f>
        <v>650000</v>
      </c>
      <c r="C44" s="163">
        <f>'Sources and Uses Budget'!$C43</f>
        <v>650000</v>
      </c>
      <c r="D44" s="167">
        <f t="shared" si="0"/>
        <v>0</v>
      </c>
      <c r="E44" s="165"/>
      <c r="F44" s="164"/>
      <c r="G44" s="246"/>
    </row>
    <row r="45" spans="1:7" s="243" customFormat="1" ht="12" customHeight="1">
      <c r="A45" s="161" t="s">
        <v>1837</v>
      </c>
      <c r="B45" s="161"/>
      <c r="C45" s="161"/>
      <c r="D45" s="161"/>
      <c r="E45" s="180"/>
      <c r="F45" s="161"/>
      <c r="G45" s="246"/>
    </row>
    <row r="46" spans="1:7" s="243" customFormat="1">
      <c r="A46" s="181" t="s">
        <v>1838</v>
      </c>
      <c r="B46" s="163">
        <f>'Sources and Uses Budget'!$C45</f>
        <v>2595406</v>
      </c>
      <c r="C46" s="163">
        <f>'Sources and Uses Budget'!$C45</f>
        <v>2595406</v>
      </c>
      <c r="D46" s="167">
        <f t="shared" si="0"/>
        <v>0</v>
      </c>
      <c r="E46" s="165"/>
      <c r="F46" s="164"/>
      <c r="G46" s="246"/>
    </row>
    <row r="47" spans="1:7" s="243" customFormat="1">
      <c r="A47" s="181" t="s">
        <v>1839</v>
      </c>
      <c r="B47" s="163">
        <f>'Sources and Uses Budget'!$C46</f>
        <v>241139</v>
      </c>
      <c r="C47" s="163">
        <f>'Sources and Uses Budget'!$C46</f>
        <v>241139</v>
      </c>
      <c r="D47" s="167">
        <f t="shared" si="0"/>
        <v>0</v>
      </c>
      <c r="E47" s="165"/>
      <c r="F47" s="164"/>
      <c r="G47" s="246"/>
    </row>
    <row r="48" spans="1:7" s="243" customFormat="1" ht="12" customHeight="1">
      <c r="A48" s="1085" t="s">
        <v>1840</v>
      </c>
      <c r="B48" s="163">
        <f>'Sources and Uses Budget'!$C47</f>
        <v>15000</v>
      </c>
      <c r="C48" s="163">
        <f>'Sources and Uses Budget'!$C47</f>
        <v>15000</v>
      </c>
      <c r="D48" s="167">
        <f t="shared" si="0"/>
        <v>0</v>
      </c>
      <c r="E48" s="165"/>
      <c r="F48" s="164"/>
      <c r="G48" s="246"/>
    </row>
    <row r="49" spans="1:7" s="243" customFormat="1">
      <c r="A49" s="181" t="s">
        <v>1841</v>
      </c>
      <c r="B49" s="163">
        <f>'Sources and Uses Budget'!$C48</f>
        <v>292787</v>
      </c>
      <c r="C49" s="163">
        <f>'Sources and Uses Budget'!$C48</f>
        <v>292787</v>
      </c>
      <c r="D49" s="167">
        <f t="shared" si="0"/>
        <v>0</v>
      </c>
      <c r="E49" s="165"/>
      <c r="F49" s="164"/>
      <c r="G49" s="246"/>
    </row>
    <row r="50" spans="1:7" s="243" customFormat="1">
      <c r="A50" s="181" t="s">
        <v>1842</v>
      </c>
      <c r="B50" s="163">
        <f>'Sources and Uses Budget'!$C49</f>
        <v>60285</v>
      </c>
      <c r="C50" s="163">
        <f>'Sources and Uses Budget'!$C49</f>
        <v>60285</v>
      </c>
      <c r="D50" s="167">
        <f t="shared" si="0"/>
        <v>0</v>
      </c>
      <c r="E50" s="165"/>
      <c r="F50" s="164"/>
      <c r="G50" s="246"/>
    </row>
    <row r="51" spans="1:7" s="243" customFormat="1">
      <c r="A51" s="181" t="s">
        <v>1843</v>
      </c>
      <c r="B51" s="163">
        <f>'Sources and Uses Budget'!$C50</f>
        <v>100000</v>
      </c>
      <c r="C51" s="163">
        <f>'Sources and Uses Budget'!$C50</f>
        <v>100000</v>
      </c>
      <c r="D51" s="167">
        <f t="shared" si="0"/>
        <v>0</v>
      </c>
      <c r="E51" s="165"/>
      <c r="F51" s="164"/>
      <c r="G51" s="246"/>
    </row>
    <row r="52" spans="1:7" s="243" customFormat="1">
      <c r="A52" s="181" t="s">
        <v>1844</v>
      </c>
      <c r="B52" s="163">
        <f>'Sources and Uses Budget'!$C51</f>
        <v>105000</v>
      </c>
      <c r="C52" s="163">
        <f>'Sources and Uses Budget'!$C51</f>
        <v>105000</v>
      </c>
      <c r="D52" s="167">
        <f t="shared" si="0"/>
        <v>0</v>
      </c>
      <c r="E52" s="165"/>
      <c r="F52" s="164"/>
      <c r="G52" s="246"/>
    </row>
    <row r="53" spans="1:7" s="243" customFormat="1">
      <c r="A53" s="181" t="s">
        <v>1845</v>
      </c>
      <c r="B53" s="163">
        <f>'Sources and Uses Budget'!$C52</f>
        <v>497000</v>
      </c>
      <c r="C53" s="163">
        <f>'Sources and Uses Budget'!$C52</f>
        <v>497000</v>
      </c>
      <c r="D53" s="167">
        <f t="shared" si="0"/>
        <v>0</v>
      </c>
      <c r="E53" s="165"/>
      <c r="F53" s="164"/>
      <c r="G53" s="246"/>
    </row>
    <row r="54" spans="1:7" s="243" customFormat="1">
      <c r="A54" s="380" t="str">
        <f>'Sources and Uses Budget'!A53</f>
        <v>Other: Employment Reporting</v>
      </c>
      <c r="B54" s="163">
        <f>'Sources and Uses Budget'!$C53</f>
        <v>25000</v>
      </c>
      <c r="C54" s="163">
        <f>'Sources and Uses Budget'!$C53</f>
        <v>25000</v>
      </c>
      <c r="D54" s="167">
        <f t="shared" si="0"/>
        <v>0</v>
      </c>
      <c r="E54" s="165"/>
      <c r="F54" s="164"/>
      <c r="G54" s="246"/>
    </row>
    <row r="55" spans="1:7" s="244" customFormat="1" ht="14">
      <c r="A55" s="168" t="s">
        <v>1847</v>
      </c>
      <c r="B55" s="170">
        <f>SUM(B46:B54)</f>
        <v>3931617</v>
      </c>
      <c r="C55" s="170">
        <f>SUM(C46:C54)</f>
        <v>3931617</v>
      </c>
      <c r="D55" s="167">
        <f t="shared" si="0"/>
        <v>0</v>
      </c>
      <c r="E55" s="165"/>
      <c r="F55" s="164"/>
      <c r="G55" s="247"/>
    </row>
    <row r="56" spans="1:7" s="243" customFormat="1" ht="14">
      <c r="A56" s="161" t="s">
        <v>1413</v>
      </c>
      <c r="B56" s="161"/>
      <c r="C56" s="161"/>
      <c r="D56" s="161"/>
      <c r="E56" s="180"/>
      <c r="F56" s="161"/>
      <c r="G56" s="246"/>
    </row>
    <row r="57" spans="1:7" s="243" customFormat="1" ht="14">
      <c r="A57" s="166" t="s">
        <v>1848</v>
      </c>
      <c r="B57" s="163">
        <f>'Sources and Uses Budget'!$C56</f>
        <v>0</v>
      </c>
      <c r="C57" s="163">
        <f>'Sources and Uses Budget'!$C56</f>
        <v>0</v>
      </c>
      <c r="D57" s="167">
        <f t="shared" si="0"/>
        <v>0</v>
      </c>
      <c r="E57" s="165"/>
      <c r="F57" s="164"/>
      <c r="G57" s="246"/>
    </row>
    <row r="58" spans="1:7" s="243" customFormat="1" ht="12" customHeight="1">
      <c r="A58" s="166" t="s">
        <v>1840</v>
      </c>
      <c r="B58" s="163">
        <f>'Sources and Uses Budget'!$C57</f>
        <v>0</v>
      </c>
      <c r="C58" s="163">
        <f>'Sources and Uses Budget'!$C57</f>
        <v>0</v>
      </c>
      <c r="D58" s="167">
        <f t="shared" si="0"/>
        <v>0</v>
      </c>
      <c r="E58" s="165"/>
      <c r="F58" s="164"/>
      <c r="G58" s="246"/>
    </row>
    <row r="59" spans="1:7" s="243" customFormat="1" ht="14">
      <c r="A59" s="166" t="s">
        <v>1843</v>
      </c>
      <c r="B59" s="163">
        <f>'Sources and Uses Budget'!$C58</f>
        <v>10000</v>
      </c>
      <c r="C59" s="163">
        <f>'Sources and Uses Budget'!$C58</f>
        <v>10000</v>
      </c>
      <c r="D59" s="167">
        <f t="shared" si="0"/>
        <v>0</v>
      </c>
      <c r="E59" s="165"/>
      <c r="F59" s="164"/>
      <c r="G59" s="246"/>
    </row>
    <row r="60" spans="1:7" s="243" customFormat="1" ht="14">
      <c r="A60" s="166" t="s">
        <v>1844</v>
      </c>
      <c r="B60" s="163">
        <f>'Sources and Uses Budget'!$C59</f>
        <v>0</v>
      </c>
      <c r="C60" s="163">
        <f>'Sources and Uses Budget'!$C59</f>
        <v>0</v>
      </c>
      <c r="D60" s="167">
        <f t="shared" si="0"/>
        <v>0</v>
      </c>
      <c r="E60" s="165"/>
      <c r="F60" s="164"/>
      <c r="G60" s="246"/>
    </row>
    <row r="61" spans="1:7" s="243" customFormat="1" ht="14">
      <c r="A61" s="166" t="s">
        <v>1845</v>
      </c>
      <c r="B61" s="163">
        <f>'Sources and Uses Budget'!$C60</f>
        <v>0</v>
      </c>
      <c r="C61" s="163">
        <f>'Sources and Uses Budget'!$C60</f>
        <v>0</v>
      </c>
      <c r="D61" s="167">
        <f t="shared" si="0"/>
        <v>0</v>
      </c>
      <c r="E61" s="165"/>
      <c r="F61" s="164"/>
      <c r="G61" s="246"/>
    </row>
    <row r="62" spans="1:7" s="243" customFormat="1" ht="14">
      <c r="A62" s="829" t="str">
        <f>'Sources and Uses Budget'!A61</f>
        <v>Other: Legal Fees</v>
      </c>
      <c r="B62" s="163">
        <f>'Sources and Uses Budget'!$C61</f>
        <v>15000</v>
      </c>
      <c r="C62" s="163">
        <f>'Sources and Uses Budget'!$C61</f>
        <v>15000</v>
      </c>
      <c r="D62" s="167">
        <f t="shared" si="0"/>
        <v>0</v>
      </c>
      <c r="E62" s="165"/>
      <c r="F62" s="164"/>
      <c r="G62" s="246"/>
    </row>
    <row r="63" spans="1:7" s="243" customFormat="1" ht="13.75" customHeight="1">
      <c r="A63" s="168" t="s">
        <v>1850</v>
      </c>
      <c r="B63" s="167">
        <f>SUM(B57:B62)</f>
        <v>25000</v>
      </c>
      <c r="C63" s="167">
        <f>SUM(C57:C62)</f>
        <v>25000</v>
      </c>
      <c r="D63" s="167">
        <f t="shared" si="0"/>
        <v>0</v>
      </c>
      <c r="E63" s="165"/>
      <c r="F63" s="164"/>
      <c r="G63" s="246"/>
    </row>
    <row r="64" spans="1:7" s="243" customFormat="1" ht="14">
      <c r="A64" s="171" t="s">
        <v>1851</v>
      </c>
      <c r="B64" s="167">
        <f>SUM(B9+B12+B14+B15+B17+B26+B28+B39+B43+B44+B55+B63)</f>
        <v>43103830</v>
      </c>
      <c r="C64" s="167">
        <f>SUM(C9+C12+C14+C15+C17+C26+C28+C39+C43+C44+C55+C63)</f>
        <v>43103830</v>
      </c>
      <c r="D64" s="167">
        <f t="shared" si="0"/>
        <v>0</v>
      </c>
      <c r="E64" s="165"/>
      <c r="F64" s="164"/>
      <c r="G64" s="246"/>
    </row>
    <row r="65" spans="1:7" s="243" customFormat="1" ht="26">
      <c r="A65" s="82" t="s">
        <v>1852</v>
      </c>
      <c r="B65" s="161"/>
      <c r="C65" s="161"/>
      <c r="D65" s="161"/>
      <c r="E65" s="180"/>
      <c r="F65" s="161"/>
      <c r="G65" s="246"/>
    </row>
    <row r="66" spans="1:7" s="243" customFormat="1">
      <c r="A66" s="181" t="s">
        <v>1853</v>
      </c>
      <c r="B66" s="163">
        <f>'Sources and Uses Budget'!$C65</f>
        <v>100000</v>
      </c>
      <c r="C66" s="163">
        <f>'Sources and Uses Budget'!$C65</f>
        <v>100000</v>
      </c>
      <c r="D66" s="167">
        <f t="shared" si="0"/>
        <v>0</v>
      </c>
      <c r="E66" s="165"/>
      <c r="F66" s="164"/>
      <c r="G66" s="246"/>
    </row>
    <row r="67" spans="1:7" s="243" customFormat="1" ht="26">
      <c r="A67" s="181" t="s">
        <v>1854</v>
      </c>
      <c r="B67" s="163">
        <f>'Sources and Uses Budget'!$C66</f>
        <v>0</v>
      </c>
      <c r="C67" s="163">
        <f>'Sources and Uses Budget'!$C66</f>
        <v>0</v>
      </c>
      <c r="D67" s="167"/>
      <c r="E67" s="165"/>
      <c r="F67" s="164"/>
      <c r="G67" s="246"/>
    </row>
    <row r="68" spans="1:7" s="243" customFormat="1">
      <c r="A68" s="181" t="s">
        <v>1855</v>
      </c>
      <c r="B68" s="163">
        <f>'Sources and Uses Budget'!$C67</f>
        <v>0</v>
      </c>
      <c r="C68" s="163">
        <f>'Sources and Uses Budget'!$C67</f>
        <v>0</v>
      </c>
      <c r="D68" s="167"/>
      <c r="E68" s="165"/>
      <c r="F68" s="164"/>
      <c r="G68" s="246"/>
    </row>
    <row r="69" spans="1:7" s="243" customFormat="1">
      <c r="A69" s="181" t="s">
        <v>1856</v>
      </c>
      <c r="B69" s="163">
        <f>'Sources and Uses Budget'!$C68</f>
        <v>0</v>
      </c>
      <c r="C69" s="163">
        <f>'Sources and Uses Budget'!$C68</f>
        <v>0</v>
      </c>
      <c r="D69" s="167"/>
      <c r="E69" s="165"/>
      <c r="F69" s="164"/>
      <c r="G69" s="246"/>
    </row>
    <row r="70" spans="1:7" s="243" customFormat="1" ht="26">
      <c r="A70" s="380" t="str">
        <f>'Sources and Uses Budget'!A69</f>
        <v>Other: Lender Legal, Investor Lega, Bond Issuer Legal, MGP Legal</v>
      </c>
      <c r="B70" s="163">
        <f>'Sources and Uses Budget'!$C69</f>
        <v>225000</v>
      </c>
      <c r="C70" s="163">
        <f>'Sources and Uses Budget'!$C69</f>
        <v>225000</v>
      </c>
      <c r="D70" s="167">
        <f t="shared" si="0"/>
        <v>0</v>
      </c>
      <c r="E70" s="165"/>
      <c r="F70" s="164"/>
      <c r="G70" s="246"/>
    </row>
    <row r="71" spans="1:7" s="243" customFormat="1">
      <c r="A71" s="84" t="s">
        <v>1858</v>
      </c>
      <c r="B71" s="167">
        <f>SUM(B66:B70)</f>
        <v>325000</v>
      </c>
      <c r="C71" s="167">
        <f>SUM(C66:C70)</f>
        <v>325000</v>
      </c>
      <c r="D71" s="167">
        <f t="shared" si="0"/>
        <v>0</v>
      </c>
      <c r="E71" s="165"/>
      <c r="F71" s="164"/>
      <c r="G71" s="246"/>
    </row>
    <row r="72" spans="1:7" s="243" customFormat="1" ht="14">
      <c r="A72" s="161" t="s">
        <v>1859</v>
      </c>
      <c r="B72" s="161"/>
      <c r="C72" s="161"/>
      <c r="D72" s="161"/>
      <c r="E72" s="180"/>
      <c r="F72" s="161"/>
      <c r="G72" s="246"/>
    </row>
    <row r="73" spans="1:7" s="243" customFormat="1" ht="14">
      <c r="A73" s="166" t="s">
        <v>1860</v>
      </c>
      <c r="B73" s="163">
        <f>'Sources and Uses Budget'!$C72</f>
        <v>0</v>
      </c>
      <c r="C73" s="163">
        <f>'Sources and Uses Budget'!$C72</f>
        <v>0</v>
      </c>
      <c r="D73" s="167">
        <f t="shared" si="0"/>
        <v>0</v>
      </c>
      <c r="E73" s="165"/>
      <c r="F73" s="164"/>
      <c r="G73" s="246"/>
    </row>
    <row r="74" spans="1:7" s="243" customFormat="1" ht="14">
      <c r="A74" s="166" t="s">
        <v>1861</v>
      </c>
      <c r="B74" s="163">
        <f>'Sources and Uses Budget'!$C73</f>
        <v>0</v>
      </c>
      <c r="C74" s="163">
        <f>'Sources and Uses Budget'!$C73</f>
        <v>0</v>
      </c>
      <c r="D74" s="167">
        <f t="shared" si="0"/>
        <v>0</v>
      </c>
      <c r="E74" s="165"/>
      <c r="F74" s="164"/>
      <c r="G74" s="246"/>
    </row>
    <row r="75" spans="1:7" s="243" customFormat="1">
      <c r="A75" s="184" t="s">
        <v>1862</v>
      </c>
      <c r="B75" s="163">
        <f>'Sources and Uses Budget'!$C74</f>
        <v>0</v>
      </c>
      <c r="C75" s="163">
        <f>'Sources and Uses Budget'!$C74</f>
        <v>0</v>
      </c>
      <c r="D75" s="167">
        <f t="shared" si="0"/>
        <v>0</v>
      </c>
      <c r="E75" s="165"/>
      <c r="F75" s="164"/>
      <c r="G75" s="246"/>
    </row>
    <row r="76" spans="1:7" s="243" customFormat="1" ht="14">
      <c r="A76" s="166" t="s">
        <v>1863</v>
      </c>
      <c r="B76" s="163">
        <f>'Sources and Uses Budget'!$C75</f>
        <v>298040</v>
      </c>
      <c r="C76" s="163">
        <f>'Sources and Uses Budget'!$C75</f>
        <v>298040</v>
      </c>
      <c r="D76" s="167">
        <f t="shared" si="0"/>
        <v>0</v>
      </c>
      <c r="E76" s="165"/>
      <c r="F76" s="164"/>
      <c r="G76" s="246"/>
    </row>
    <row r="77" spans="1:7" s="243" customFormat="1" ht="14">
      <c r="A77" s="169" t="s">
        <v>1827</v>
      </c>
      <c r="B77" s="163">
        <f>'Sources and Uses Budget'!$C76</f>
        <v>0</v>
      </c>
      <c r="C77" s="163">
        <f>'Sources and Uses Budget'!$C76</f>
        <v>0</v>
      </c>
      <c r="D77" s="167">
        <f t="shared" si="0"/>
        <v>0</v>
      </c>
      <c r="E77" s="165"/>
      <c r="F77" s="164"/>
      <c r="G77" s="246"/>
    </row>
    <row r="78" spans="1:7" s="243" customFormat="1" ht="14">
      <c r="A78" s="168" t="s">
        <v>1864</v>
      </c>
      <c r="B78" s="167">
        <f>SUM(B73:B77)</f>
        <v>298040</v>
      </c>
      <c r="C78" s="167">
        <f>SUM(C73:C77)</f>
        <v>298040</v>
      </c>
      <c r="D78" s="167">
        <f t="shared" ref="D78:D106" si="1">C78-B78</f>
        <v>0</v>
      </c>
      <c r="E78" s="165"/>
      <c r="F78" s="164"/>
      <c r="G78" s="246"/>
    </row>
    <row r="79" spans="1:7" s="243" customFormat="1" ht="14">
      <c r="A79" s="161" t="s">
        <v>1865</v>
      </c>
      <c r="B79" s="161"/>
      <c r="C79" s="161"/>
      <c r="D79" s="161"/>
      <c r="E79" s="180"/>
      <c r="F79" s="161"/>
      <c r="G79" s="246"/>
    </row>
    <row r="80" spans="1:7" s="243" customFormat="1" ht="14">
      <c r="A80" s="381" t="s">
        <v>1866</v>
      </c>
      <c r="B80" s="163">
        <f>'Sources and Uses Budget'!$C79</f>
        <v>1662500</v>
      </c>
      <c r="C80" s="163">
        <f>'Sources and Uses Budget'!$C79</f>
        <v>1662500</v>
      </c>
      <c r="D80" s="167">
        <f t="shared" si="1"/>
        <v>0</v>
      </c>
      <c r="E80" s="165"/>
      <c r="F80" s="164"/>
      <c r="G80" s="246"/>
    </row>
    <row r="81" spans="1:7" s="243" customFormat="1" ht="14">
      <c r="A81" s="381" t="s">
        <v>1867</v>
      </c>
      <c r="B81" s="163">
        <f>'Sources and Uses Budget'!$C80</f>
        <v>381963</v>
      </c>
      <c r="C81" s="163">
        <f>'Sources and Uses Budget'!$C80</f>
        <v>381963</v>
      </c>
      <c r="D81" s="167">
        <f>C81-B81</f>
        <v>0</v>
      </c>
      <c r="E81" s="165"/>
      <c r="F81" s="164"/>
      <c r="G81" s="246"/>
    </row>
    <row r="82" spans="1:7" s="243" customFormat="1" ht="14">
      <c r="A82" s="168" t="s">
        <v>1868</v>
      </c>
      <c r="B82" s="167">
        <f>SUM(B80:B81)</f>
        <v>2044463</v>
      </c>
      <c r="C82" s="167">
        <f>SUM(C80:C81)</f>
        <v>2044463</v>
      </c>
      <c r="D82" s="167">
        <f t="shared" si="1"/>
        <v>0</v>
      </c>
      <c r="E82" s="165"/>
      <c r="F82" s="164"/>
      <c r="G82" s="246"/>
    </row>
    <row r="83" spans="1:7" s="243" customFormat="1" ht="14">
      <c r="A83" s="161" t="s">
        <v>1869</v>
      </c>
      <c r="B83" s="161"/>
      <c r="C83" s="161"/>
      <c r="D83" s="161"/>
      <c r="E83" s="180"/>
      <c r="F83" s="161"/>
      <c r="G83" s="246"/>
    </row>
    <row r="84" spans="1:7" s="243" customFormat="1" ht="13.75" customHeight="1">
      <c r="A84" s="166" t="s">
        <v>2785</v>
      </c>
      <c r="B84" s="163">
        <f>'Sources and Uses Budget'!$C83</f>
        <v>72141</v>
      </c>
      <c r="C84" s="163">
        <f>'Sources and Uses Budget'!$C83</f>
        <v>72141</v>
      </c>
      <c r="D84" s="167">
        <f t="shared" si="1"/>
        <v>0</v>
      </c>
      <c r="E84" s="165"/>
      <c r="F84" s="164"/>
      <c r="G84" s="246"/>
    </row>
    <row r="85" spans="1:7" s="243" customFormat="1" ht="14">
      <c r="A85" s="166" t="s">
        <v>1871</v>
      </c>
      <c r="B85" s="163">
        <f>'Sources and Uses Budget'!$C84</f>
        <v>50000</v>
      </c>
      <c r="C85" s="163">
        <f>'Sources and Uses Budget'!$C84</f>
        <v>50000</v>
      </c>
      <c r="D85" s="167">
        <f t="shared" si="1"/>
        <v>0</v>
      </c>
      <c r="E85" s="165"/>
      <c r="F85" s="164"/>
      <c r="G85" s="246"/>
    </row>
    <row r="86" spans="1:7" s="243" customFormat="1" ht="14">
      <c r="A86" s="166" t="s">
        <v>1872</v>
      </c>
      <c r="B86" s="163">
        <f>'Sources and Uses Budget'!$C85</f>
        <v>2195085</v>
      </c>
      <c r="C86" s="163">
        <f>'Sources and Uses Budget'!$C85</f>
        <v>2195085</v>
      </c>
      <c r="D86" s="167">
        <f t="shared" si="1"/>
        <v>0</v>
      </c>
      <c r="E86" s="165"/>
      <c r="F86" s="164"/>
      <c r="G86" s="246"/>
    </row>
    <row r="87" spans="1:7" s="243" customFormat="1" ht="14">
      <c r="A87" s="166" t="s">
        <v>1873</v>
      </c>
      <c r="B87" s="163">
        <f>'Sources and Uses Budget'!$C86</f>
        <v>79915</v>
      </c>
      <c r="C87" s="163">
        <f>'Sources and Uses Budget'!$C86</f>
        <v>79915</v>
      </c>
      <c r="D87" s="167">
        <f t="shared" si="1"/>
        <v>0</v>
      </c>
      <c r="E87" s="165"/>
      <c r="F87" s="164"/>
      <c r="G87" s="246"/>
    </row>
    <row r="88" spans="1:7" s="243" customFormat="1" ht="14">
      <c r="A88" s="166" t="s">
        <v>1874</v>
      </c>
      <c r="B88" s="163">
        <f>'Sources and Uses Budget'!$C87</f>
        <v>0</v>
      </c>
      <c r="C88" s="163">
        <f>'Sources and Uses Budget'!$C87</f>
        <v>0</v>
      </c>
      <c r="D88" s="167">
        <f t="shared" si="1"/>
        <v>0</v>
      </c>
      <c r="E88" s="165"/>
      <c r="F88" s="164"/>
      <c r="G88" s="246"/>
    </row>
    <row r="89" spans="1:7" s="243" customFormat="1" ht="14">
      <c r="A89" s="166" t="s">
        <v>1875</v>
      </c>
      <c r="B89" s="163">
        <f>'Sources and Uses Budget'!$C88</f>
        <v>100000</v>
      </c>
      <c r="C89" s="163">
        <f>'Sources and Uses Budget'!$C88</f>
        <v>100000</v>
      </c>
      <c r="D89" s="167">
        <f t="shared" si="1"/>
        <v>0</v>
      </c>
      <c r="E89" s="165"/>
      <c r="F89" s="164"/>
      <c r="G89" s="246"/>
    </row>
    <row r="90" spans="1:7" s="243" customFormat="1" ht="14">
      <c r="A90" s="166" t="s">
        <v>1876</v>
      </c>
      <c r="B90" s="163">
        <f>'Sources and Uses Budget'!$C89</f>
        <v>75000</v>
      </c>
      <c r="C90" s="163">
        <f>'Sources and Uses Budget'!$C89</f>
        <v>75000</v>
      </c>
      <c r="D90" s="167">
        <f t="shared" si="1"/>
        <v>0</v>
      </c>
      <c r="E90" s="165"/>
      <c r="F90" s="164"/>
      <c r="G90" s="246"/>
    </row>
    <row r="91" spans="1:7" s="243" customFormat="1" ht="14">
      <c r="A91" s="166" t="s">
        <v>1877</v>
      </c>
      <c r="B91" s="163">
        <f>'Sources and Uses Budget'!$C90</f>
        <v>15000</v>
      </c>
      <c r="C91" s="163">
        <f>'Sources and Uses Budget'!$C90</f>
        <v>15000</v>
      </c>
      <c r="D91" s="167">
        <f t="shared" si="1"/>
        <v>0</v>
      </c>
      <c r="E91" s="165"/>
      <c r="F91" s="164"/>
      <c r="G91" s="246"/>
    </row>
    <row r="92" spans="1:7" s="243" customFormat="1" ht="14">
      <c r="A92" s="166" t="s">
        <v>1878</v>
      </c>
      <c r="B92" s="163">
        <f>'Sources and Uses Budget'!$C91</f>
        <v>50000</v>
      </c>
      <c r="C92" s="163">
        <f>'Sources and Uses Budget'!$C91</f>
        <v>50000</v>
      </c>
      <c r="D92" s="167">
        <f t="shared" si="1"/>
        <v>0</v>
      </c>
      <c r="E92" s="165"/>
      <c r="F92" s="164"/>
      <c r="G92" s="246"/>
    </row>
    <row r="93" spans="1:7" s="243" customFormat="1" ht="14">
      <c r="A93" s="381" t="s">
        <v>1879</v>
      </c>
      <c r="B93" s="163">
        <f>'Sources and Uses Budget'!$C92</f>
        <v>20000</v>
      </c>
      <c r="C93" s="163">
        <f>'Sources and Uses Budget'!$C92</f>
        <v>20000</v>
      </c>
      <c r="D93" s="167">
        <f t="shared" si="1"/>
        <v>0</v>
      </c>
      <c r="E93" s="165"/>
      <c r="F93" s="164"/>
      <c r="G93" s="246"/>
    </row>
    <row r="94" spans="1:7" s="243" customFormat="1" ht="14">
      <c r="A94" s="169" t="s">
        <v>1827</v>
      </c>
      <c r="B94" s="163">
        <f>'Sources and Uses Budget'!$C93</f>
        <v>42000</v>
      </c>
      <c r="C94" s="163">
        <f>'Sources and Uses Budget'!$C93</f>
        <v>42000</v>
      </c>
      <c r="D94" s="167">
        <f t="shared" si="1"/>
        <v>0</v>
      </c>
      <c r="E94" s="165"/>
      <c r="F94" s="164"/>
      <c r="G94" s="246"/>
    </row>
    <row r="95" spans="1:7" s="243" customFormat="1" ht="14">
      <c r="A95" s="169" t="s">
        <v>1827</v>
      </c>
      <c r="B95" s="163">
        <f>'Sources and Uses Budget'!$C94</f>
        <v>47000</v>
      </c>
      <c r="C95" s="163">
        <f>'Sources and Uses Budget'!$C94</f>
        <v>47000</v>
      </c>
      <c r="D95" s="167">
        <f t="shared" si="1"/>
        <v>0</v>
      </c>
      <c r="E95" s="165"/>
      <c r="F95" s="164"/>
      <c r="G95" s="246"/>
    </row>
    <row r="96" spans="1:7" s="243" customFormat="1" ht="14">
      <c r="A96" s="169" t="s">
        <v>1827</v>
      </c>
      <c r="B96" s="163">
        <f>'Sources and Uses Budget'!$C95</f>
        <v>360089</v>
      </c>
      <c r="C96" s="163">
        <f>'Sources and Uses Budget'!$C95</f>
        <v>360089</v>
      </c>
      <c r="D96" s="167">
        <f t="shared" si="1"/>
        <v>0</v>
      </c>
      <c r="E96" s="165"/>
      <c r="F96" s="164"/>
      <c r="G96" s="246"/>
    </row>
    <row r="97" spans="1:7" s="243" customFormat="1" ht="14">
      <c r="A97" s="168" t="s">
        <v>1883</v>
      </c>
      <c r="B97" s="167">
        <f>SUM(B84:B96)</f>
        <v>3106230</v>
      </c>
      <c r="C97" s="167">
        <f>SUM(C84:C96)</f>
        <v>3106230</v>
      </c>
      <c r="D97" s="167">
        <f t="shared" si="1"/>
        <v>0</v>
      </c>
      <c r="E97" s="165"/>
      <c r="F97" s="164"/>
      <c r="G97" s="246"/>
    </row>
    <row r="98" spans="1:7" s="243" customFormat="1" ht="14">
      <c r="A98" s="168" t="s">
        <v>1884</v>
      </c>
      <c r="B98" s="167">
        <f>SUM(B64+B71+B78+B82+B97)</f>
        <v>48877563</v>
      </c>
      <c r="C98" s="167">
        <f>SUM(C64+C71+C78+C82+C97)</f>
        <v>48877563</v>
      </c>
      <c r="D98" s="167">
        <f t="shared" si="1"/>
        <v>0</v>
      </c>
      <c r="E98" s="165"/>
      <c r="F98" s="164"/>
      <c r="G98" s="246"/>
    </row>
    <row r="99" spans="1:7" s="243" customFormat="1" ht="14">
      <c r="A99" s="161" t="s">
        <v>1885</v>
      </c>
      <c r="B99" s="161"/>
      <c r="C99" s="161"/>
      <c r="D99" s="161"/>
      <c r="E99" s="180"/>
      <c r="F99" s="161"/>
      <c r="G99" s="246"/>
    </row>
    <row r="100" spans="1:7" s="243" customFormat="1">
      <c r="A100" s="181" t="s">
        <v>1886</v>
      </c>
      <c r="B100" s="163">
        <f>'Sources and Uses Budget'!$C99</f>
        <v>6356332</v>
      </c>
      <c r="C100" s="163">
        <f>'Sources and Uses Budget'!$C99</f>
        <v>6356332</v>
      </c>
      <c r="D100" s="167">
        <f t="shared" si="1"/>
        <v>0</v>
      </c>
      <c r="E100" s="165"/>
      <c r="F100" s="164"/>
      <c r="G100" s="246"/>
    </row>
    <row r="101" spans="1:7" s="243" customFormat="1">
      <c r="A101" s="181" t="s">
        <v>1887</v>
      </c>
      <c r="B101" s="163">
        <f>'Sources and Uses Budget'!$C100</f>
        <v>0</v>
      </c>
      <c r="C101" s="163">
        <f>'Sources and Uses Budget'!$C100</f>
        <v>0</v>
      </c>
      <c r="D101" s="167">
        <f t="shared" si="1"/>
        <v>0</v>
      </c>
      <c r="E101" s="165"/>
      <c r="F101" s="164"/>
      <c r="G101" s="246"/>
    </row>
    <row r="102" spans="1:7" s="243" customFormat="1">
      <c r="A102" s="181" t="s">
        <v>1888</v>
      </c>
      <c r="B102" s="163">
        <f>'Sources and Uses Budget'!$C101</f>
        <v>0</v>
      </c>
      <c r="C102" s="163">
        <f>'Sources and Uses Budget'!$C101</f>
        <v>0</v>
      </c>
      <c r="D102" s="167">
        <f t="shared" si="1"/>
        <v>0</v>
      </c>
      <c r="E102" s="165"/>
      <c r="F102" s="164"/>
      <c r="G102" s="246"/>
    </row>
    <row r="103" spans="1:7" s="243" customFormat="1" ht="12" customHeight="1">
      <c r="A103" s="181" t="s">
        <v>1889</v>
      </c>
      <c r="B103" s="163">
        <f>'Sources and Uses Budget'!$C102</f>
        <v>0</v>
      </c>
      <c r="C103" s="163">
        <f>'Sources and Uses Budget'!$C102</f>
        <v>0</v>
      </c>
      <c r="D103" s="167">
        <f t="shared" si="1"/>
        <v>0</v>
      </c>
      <c r="E103" s="165"/>
      <c r="F103" s="164"/>
      <c r="G103" s="246"/>
    </row>
    <row r="104" spans="1:7" s="243" customFormat="1" ht="14">
      <c r="A104" s="829" t="str">
        <f>'Sources and Uses Budget'!A103</f>
        <v>Other: (Specify)</v>
      </c>
      <c r="B104" s="163">
        <f>'Sources and Uses Budget'!$C103</f>
        <v>0</v>
      </c>
      <c r="C104" s="163">
        <f>'Sources and Uses Budget'!$C103</f>
        <v>0</v>
      </c>
      <c r="D104" s="167">
        <f t="shared" si="1"/>
        <v>0</v>
      </c>
      <c r="E104" s="165"/>
      <c r="F104" s="164"/>
      <c r="G104" s="246"/>
    </row>
    <row r="105" spans="1:7" s="243" customFormat="1" ht="14">
      <c r="A105" s="168" t="s">
        <v>1890</v>
      </c>
      <c r="B105" s="167">
        <f>SUM(B100:B104)</f>
        <v>6356332</v>
      </c>
      <c r="C105" s="167">
        <f>SUM(C100:C104)</f>
        <v>6356332</v>
      </c>
      <c r="D105" s="167">
        <f t="shared" si="1"/>
        <v>0</v>
      </c>
      <c r="E105" s="165"/>
      <c r="F105" s="164"/>
      <c r="G105" s="246"/>
    </row>
    <row r="106" spans="1:7" s="243" customFormat="1" ht="14">
      <c r="A106" s="168" t="s">
        <v>1891</v>
      </c>
      <c r="B106" s="170">
        <f>SUM(B98+B105)</f>
        <v>55233895</v>
      </c>
      <c r="C106" s="170">
        <f>SUM(C98+C105)</f>
        <v>55233895</v>
      </c>
      <c r="D106" s="167">
        <f t="shared" si="1"/>
        <v>0</v>
      </c>
      <c r="E106" s="165"/>
      <c r="F106" s="164"/>
      <c r="G106" s="246"/>
    </row>
    <row r="107" spans="1:7" s="243" customFormat="1">
      <c r="A107" s="175" t="s">
        <v>2786</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5" style="5" customWidth="1"/>
    <col min="2" max="2" width="13.5" style="5" customWidth="1"/>
    <col min="3" max="3" width="2.5" style="5" customWidth="1"/>
    <col min="4" max="5" width="3.5" style="3" customWidth="1"/>
    <col min="6" max="6" width="65.5" style="3" customWidth="1"/>
    <col min="7" max="7" width="1.5" style="3" customWidth="1"/>
    <col min="8" max="8" width="3.5" hidden="1" customWidth="1"/>
    <col min="9" max="9" width="14" hidden="1" customWidth="1"/>
    <col min="10" max="16384" width="8.83203125" hidden="1"/>
  </cols>
  <sheetData>
    <row r="1" spans="1:9">
      <c r="A1" s="1141"/>
      <c r="B1" s="1141"/>
      <c r="C1" s="1141"/>
      <c r="D1" s="2"/>
      <c r="E1" s="2"/>
      <c r="F1" s="2"/>
      <c r="G1" s="2"/>
    </row>
    <row r="2" spans="1:9">
      <c r="A2" s="1257" t="s">
        <v>292</v>
      </c>
      <c r="B2" s="1257"/>
      <c r="C2" s="1223"/>
      <c r="D2" s="1223"/>
      <c r="E2" s="1223"/>
      <c r="F2" s="1223"/>
      <c r="G2" s="1223"/>
    </row>
    <row r="3" spans="1:9" s="97" customFormat="1">
      <c r="A3" s="1257" t="s">
        <v>293</v>
      </c>
      <c r="B3" s="1257"/>
      <c r="C3" s="1223"/>
      <c r="D3" s="1223"/>
      <c r="E3" s="1223"/>
      <c r="F3" s="1223"/>
      <c r="G3" s="1223"/>
      <c r="I3" t="s">
        <v>294</v>
      </c>
    </row>
    <row r="4" spans="1:9">
      <c r="A4" s="1141"/>
      <c r="B4" s="1141"/>
      <c r="C4" s="1141"/>
      <c r="D4" s="2"/>
      <c r="E4" s="2"/>
      <c r="F4" s="2"/>
      <c r="G4" s="2"/>
      <c r="I4" s="2" t="s">
        <v>295</v>
      </c>
    </row>
    <row r="5" spans="1:9">
      <c r="A5" s="1259" t="s">
        <v>296</v>
      </c>
      <c r="B5" s="1259"/>
      <c r="C5" s="1223"/>
      <c r="D5" s="1223"/>
      <c r="E5" s="1223"/>
      <c r="F5" s="1223"/>
      <c r="G5" s="1223"/>
      <c r="I5" s="2" t="s">
        <v>297</v>
      </c>
    </row>
    <row r="6" spans="1:9">
      <c r="A6" s="1259" t="s">
        <v>298</v>
      </c>
      <c r="B6" s="1259"/>
      <c r="C6" s="1223"/>
      <c r="D6" s="1223"/>
      <c r="E6" s="1223"/>
      <c r="F6" s="1223"/>
      <c r="G6" s="1223"/>
      <c r="I6" t="s">
        <v>299</v>
      </c>
    </row>
    <row r="7" spans="1:9" ht="11.75" customHeight="1">
      <c r="A7" s="1141"/>
      <c r="B7" s="1141"/>
      <c r="C7" s="1141"/>
      <c r="D7" s="2"/>
      <c r="E7" s="2"/>
      <c r="F7" s="2"/>
      <c r="G7" s="2"/>
    </row>
    <row r="8" spans="1:9">
      <c r="A8" s="1257" t="s">
        <v>300</v>
      </c>
      <c r="B8" s="1257"/>
      <c r="C8" s="1258"/>
      <c r="D8" s="1258"/>
      <c r="E8" s="1258"/>
      <c r="F8" s="1258"/>
      <c r="G8" s="1258"/>
    </row>
    <row r="9" spans="1:9">
      <c r="A9" s="1257" t="s">
        <v>301</v>
      </c>
      <c r="B9" s="1257"/>
      <c r="C9" s="1258"/>
      <c r="D9" s="1258"/>
      <c r="E9" s="1258"/>
      <c r="F9" s="1258"/>
      <c r="G9" s="1258"/>
    </row>
    <row r="10" spans="1:9">
      <c r="A10" s="1108"/>
      <c r="B10" s="1108"/>
      <c r="C10" s="1116"/>
      <c r="D10" s="1116"/>
      <c r="E10" s="1116"/>
      <c r="F10" s="1116"/>
      <c r="G10" s="2"/>
    </row>
    <row r="11" spans="1:9">
      <c r="A11" s="1242" t="s">
        <v>302</v>
      </c>
      <c r="B11" s="1242"/>
      <c r="C11" s="1242"/>
      <c r="D11" s="1242"/>
      <c r="E11" s="1242"/>
      <c r="F11" s="1242"/>
      <c r="G11" s="1242"/>
    </row>
    <row r="12" spans="1:9">
      <c r="A12" s="1116"/>
      <c r="B12" s="1116"/>
      <c r="C12" s="1141"/>
      <c r="D12" s="2"/>
      <c r="E12" s="1"/>
      <c r="F12" s="2"/>
      <c r="G12" s="2"/>
    </row>
    <row r="13" spans="1:9" ht="13.25" customHeight="1">
      <c r="A13" s="1141"/>
      <c r="B13" s="1141"/>
      <c r="C13" s="1116"/>
      <c r="D13" s="1244" t="s">
        <v>303</v>
      </c>
      <c r="E13" s="1244"/>
      <c r="F13" s="1244"/>
      <c r="G13" s="2"/>
    </row>
    <row r="14" spans="1:9">
      <c r="A14" s="1141"/>
      <c r="B14" s="1141"/>
      <c r="C14" s="1116"/>
      <c r="D14" s="1244"/>
      <c r="E14" s="1244"/>
      <c r="F14" s="1244"/>
      <c r="G14" s="2"/>
    </row>
    <row r="15" spans="1:9">
      <c r="A15" s="98"/>
      <c r="B15" s="98"/>
      <c r="C15" s="98"/>
      <c r="D15" s="1241" t="s">
        <v>304</v>
      </c>
      <c r="E15" s="1241"/>
      <c r="F15" s="1241"/>
      <c r="G15" s="2"/>
    </row>
    <row r="16" spans="1:9">
      <c r="A16" s="98"/>
      <c r="B16" s="98"/>
      <c r="C16" s="98"/>
      <c r="D16" s="118"/>
      <c r="E16" s="2"/>
      <c r="F16" s="2"/>
      <c r="G16" s="2"/>
    </row>
    <row r="17" spans="1:6">
      <c r="A17" s="99"/>
      <c r="B17" s="1175" t="s">
        <v>294</v>
      </c>
      <c r="C17" s="98"/>
      <c r="D17" s="1221" t="s">
        <v>305</v>
      </c>
      <c r="E17" s="1221"/>
      <c r="F17" s="1221"/>
    </row>
    <row r="18" spans="1:6">
      <c r="A18" s="98"/>
      <c r="B18" s="98"/>
      <c r="C18" s="98"/>
      <c r="D18" s="1221"/>
      <c r="E18" s="1221"/>
      <c r="F18" s="1221"/>
    </row>
    <row r="19" spans="1:6">
      <c r="A19" s="98"/>
      <c r="B19" s="98"/>
      <c r="C19" s="98"/>
      <c r="D19" s="1221"/>
      <c r="E19" s="1221"/>
      <c r="F19" s="1221"/>
    </row>
    <row r="20" spans="1:6">
      <c r="A20" s="98"/>
      <c r="B20" s="98"/>
      <c r="C20" s="98"/>
      <c r="D20" s="2"/>
      <c r="E20" s="2"/>
      <c r="F20" s="2"/>
    </row>
    <row r="21" spans="1:6">
      <c r="A21" s="99"/>
      <c r="B21" s="1175" t="s">
        <v>294</v>
      </c>
      <c r="C21" s="1141"/>
      <c r="D21" s="1239" t="s">
        <v>306</v>
      </c>
      <c r="E21" s="1239"/>
      <c r="F21" s="1239"/>
    </row>
    <row r="22" spans="1:6">
      <c r="A22" s="99"/>
      <c r="B22" s="99"/>
      <c r="C22" s="1141"/>
      <c r="D22" s="68"/>
      <c r="E22" s="2"/>
      <c r="F22" s="2"/>
    </row>
    <row r="23" spans="1:6">
      <c r="A23" s="99"/>
      <c r="B23" s="1175" t="s">
        <v>294</v>
      </c>
      <c r="C23" s="1141"/>
      <c r="D23" s="1221" t="s">
        <v>307</v>
      </c>
      <c r="E23" s="1221"/>
      <c r="F23" s="1221"/>
    </row>
    <row r="24" spans="1:6">
      <c r="A24" s="99"/>
      <c r="B24" s="99"/>
      <c r="C24" s="1141"/>
      <c r="D24" s="1221"/>
      <c r="E24" s="1221"/>
      <c r="F24" s="1221"/>
    </row>
    <row r="25" spans="1:6">
      <c r="A25" s="1141"/>
      <c r="B25" s="1141"/>
      <c r="C25" s="1141"/>
      <c r="D25" s="2"/>
      <c r="E25" s="2"/>
      <c r="F25" s="2"/>
    </row>
    <row r="26" spans="1:6">
      <c r="A26" s="99"/>
      <c r="B26" s="1175" t="s">
        <v>294</v>
      </c>
      <c r="C26" s="1141"/>
      <c r="D26" s="1221" t="s">
        <v>308</v>
      </c>
      <c r="E26" s="1221"/>
      <c r="F26" s="1221"/>
    </row>
    <row r="27" spans="1:6">
      <c r="A27" s="1141"/>
      <c r="B27" s="1141"/>
      <c r="C27" s="1141"/>
      <c r="D27" s="1221"/>
      <c r="E27" s="1221"/>
      <c r="F27" s="1221"/>
    </row>
    <row r="28" spans="1:6">
      <c r="A28" s="1141"/>
      <c r="B28" s="1141"/>
      <c r="C28" s="1141"/>
      <c r="D28" s="1221"/>
      <c r="E28" s="1221"/>
      <c r="F28" s="1221"/>
    </row>
    <row r="29" spans="1:6">
      <c r="A29" s="1141"/>
      <c r="B29" s="1141"/>
      <c r="C29" s="1141"/>
      <c r="D29" s="1221"/>
      <c r="E29" s="1221"/>
      <c r="F29" s="1221"/>
    </row>
    <row r="30" spans="1:6">
      <c r="A30" s="1141"/>
      <c r="B30" s="1141"/>
      <c r="C30" s="1141"/>
      <c r="D30" s="1221"/>
      <c r="E30" s="1221"/>
      <c r="F30" s="1221"/>
    </row>
    <row r="31" spans="1:6">
      <c r="A31" s="1141"/>
      <c r="B31" s="1141"/>
      <c r="C31" s="1141"/>
      <c r="D31" s="120"/>
      <c r="E31" s="2"/>
      <c r="F31" s="2"/>
    </row>
    <row r="32" spans="1:6">
      <c r="A32" s="1141"/>
      <c r="B32" s="1175" t="s">
        <v>294</v>
      </c>
      <c r="C32" s="1141"/>
      <c r="D32" s="1221" t="s">
        <v>309</v>
      </c>
      <c r="E32" s="1221"/>
      <c r="F32" s="1221"/>
    </row>
    <row r="33" spans="1:6">
      <c r="A33" s="1141"/>
      <c r="B33" s="1141"/>
      <c r="C33" s="1141"/>
      <c r="D33" s="1221"/>
      <c r="E33" s="1221"/>
      <c r="F33" s="1221"/>
    </row>
    <row r="34" spans="1:6">
      <c r="A34" s="99"/>
      <c r="B34" s="99"/>
      <c r="C34" s="1141"/>
      <c r="D34" s="120"/>
      <c r="E34" s="2"/>
      <c r="F34" s="2"/>
    </row>
    <row r="35" spans="1:6" ht="14.5" customHeight="1">
      <c r="A35" s="99"/>
      <c r="B35" s="1175" t="s">
        <v>294</v>
      </c>
      <c r="C35" s="1141"/>
      <c r="D35" s="1221" t="s">
        <v>310</v>
      </c>
      <c r="E35" s="1221"/>
      <c r="F35" s="1221"/>
    </row>
    <row r="36" spans="1:6">
      <c r="A36" s="99"/>
      <c r="B36" s="99"/>
      <c r="C36" s="1141"/>
      <c r="D36" s="1221"/>
      <c r="E36" s="1221"/>
      <c r="F36" s="1221"/>
    </row>
    <row r="37" spans="1:6">
      <c r="A37" s="99"/>
      <c r="B37" s="99"/>
      <c r="C37" s="1141"/>
      <c r="D37" s="1221"/>
      <c r="E37" s="1221"/>
      <c r="F37" s="1221"/>
    </row>
    <row r="38" spans="1:6">
      <c r="A38" s="99"/>
      <c r="B38" s="99"/>
      <c r="C38" s="1141"/>
      <c r="D38"/>
      <c r="E38" s="2"/>
      <c r="F38" s="2"/>
    </row>
    <row r="39" spans="1:6">
      <c r="A39" s="99"/>
      <c r="B39" s="1175" t="s">
        <v>294</v>
      </c>
      <c r="C39" s="1141"/>
      <c r="D39" s="1221" t="s">
        <v>311</v>
      </c>
      <c r="E39" s="1221"/>
      <c r="F39" s="1221"/>
    </row>
    <row r="40" spans="1:6">
      <c r="A40" s="99"/>
      <c r="B40" s="99"/>
      <c r="C40" s="1141"/>
      <c r="D40" s="1221"/>
      <c r="E40" s="1221"/>
      <c r="F40" s="1221"/>
    </row>
    <row r="41" spans="1:6">
      <c r="A41" s="99"/>
      <c r="B41" s="99"/>
      <c r="C41" s="1141"/>
      <c r="D41" s="1221"/>
      <c r="E41" s="1221"/>
      <c r="F41" s="1221"/>
    </row>
    <row r="42" spans="1:6">
      <c r="A42" s="99"/>
      <c r="B42" s="99"/>
      <c r="C42" s="1141"/>
      <c r="D42" s="1221"/>
      <c r="E42" s="1221"/>
      <c r="F42" s="1221"/>
    </row>
    <row r="43" spans="1:6">
      <c r="A43" s="99"/>
      <c r="B43" s="99"/>
      <c r="C43" s="1141"/>
      <c r="D43" s="1221"/>
      <c r="E43" s="1221"/>
      <c r="F43" s="1221"/>
    </row>
    <row r="44" spans="1:6">
      <c r="A44" s="99"/>
      <c r="B44" s="99"/>
      <c r="C44" s="1141"/>
      <c r="D44" s="1100"/>
      <c r="E44" s="1100"/>
      <c r="F44" s="1100"/>
    </row>
    <row r="45" spans="1:6">
      <c r="A45" s="99"/>
      <c r="B45" s="1175" t="s">
        <v>294</v>
      </c>
      <c r="C45" s="1141"/>
      <c r="D45" s="1221" t="s">
        <v>312</v>
      </c>
      <c r="E45" s="1221"/>
      <c r="F45" s="1221"/>
    </row>
    <row r="46" spans="1:6">
      <c r="A46" s="99"/>
      <c r="B46" s="99"/>
      <c r="C46" s="1141"/>
      <c r="D46" s="1221"/>
      <c r="E46" s="1221"/>
      <c r="F46" s="1221"/>
    </row>
    <row r="47" spans="1:6">
      <c r="A47" s="99"/>
      <c r="B47" s="99"/>
      <c r="C47" s="1141"/>
      <c r="D47" s="1221"/>
      <c r="E47" s="1221"/>
      <c r="F47" s="1221"/>
    </row>
    <row r="48" spans="1:6" ht="23.25" customHeight="1">
      <c r="A48" s="99"/>
      <c r="B48" s="99"/>
      <c r="C48" s="1141"/>
      <c r="D48" s="1221"/>
      <c r="E48" s="1221"/>
      <c r="F48" s="1221"/>
    </row>
    <row r="49" spans="1:7">
      <c r="A49" s="99"/>
      <c r="B49" s="99"/>
      <c r="C49" s="1141"/>
      <c r="D49" s="68"/>
      <c r="E49" s="2"/>
      <c r="F49" s="2"/>
      <c r="G49" s="2"/>
    </row>
    <row r="50" spans="1:7" ht="14.5" customHeight="1">
      <c r="A50" s="99"/>
      <c r="B50" s="1175" t="s">
        <v>294</v>
      </c>
      <c r="C50" s="1141"/>
      <c r="D50" s="1221" t="s">
        <v>313</v>
      </c>
      <c r="E50" s="1221"/>
      <c r="F50" s="1221"/>
      <c r="G50" s="2"/>
    </row>
    <row r="51" spans="1:7">
      <c r="A51" s="99"/>
      <c r="B51" s="99"/>
      <c r="C51" s="1141"/>
      <c r="D51" s="1221"/>
      <c r="E51" s="1221"/>
      <c r="F51" s="1221"/>
      <c r="G51" s="2"/>
    </row>
    <row r="52" spans="1:7">
      <c r="A52" s="99"/>
      <c r="B52" s="99"/>
      <c r="C52" s="1141"/>
      <c r="D52" s="1221"/>
      <c r="E52" s="1221"/>
      <c r="F52" s="1221"/>
      <c r="G52" s="2"/>
    </row>
    <row r="53" spans="1:7">
      <c r="A53" s="99"/>
      <c r="B53" s="99"/>
      <c r="C53" s="1141"/>
      <c r="D53" s="2"/>
      <c r="E53" s="2"/>
      <c r="F53" s="2"/>
      <c r="G53" s="2"/>
    </row>
    <row r="54" spans="1:7">
      <c r="A54" s="99"/>
      <c r="B54" s="1175" t="s">
        <v>294</v>
      </c>
      <c r="C54" s="1141"/>
      <c r="D54" s="1221" t="s">
        <v>314</v>
      </c>
      <c r="E54" s="1221"/>
      <c r="F54" s="1221"/>
      <c r="G54" s="2"/>
    </row>
    <row r="55" spans="1:7">
      <c r="A55" s="99"/>
      <c r="B55" s="99"/>
      <c r="C55" s="1141"/>
      <c r="D55" s="1221"/>
      <c r="E55" s="1221"/>
      <c r="F55" s="1221"/>
      <c r="G55" s="2"/>
    </row>
    <row r="56" spans="1:7">
      <c r="A56" s="1141"/>
      <c r="B56" s="1141"/>
      <c r="C56" s="1141"/>
      <c r="D56" s="120"/>
      <c r="E56" s="2"/>
      <c r="F56" s="2"/>
      <c r="G56" s="2"/>
    </row>
    <row r="57" spans="1:7">
      <c r="A57" s="99"/>
      <c r="B57" s="1175" t="s">
        <v>294</v>
      </c>
      <c r="C57" s="1141"/>
      <c r="D57" s="1221" t="s">
        <v>315</v>
      </c>
      <c r="E57" s="1221"/>
      <c r="F57" s="1221"/>
      <c r="G57" s="2"/>
    </row>
    <row r="58" spans="1:7">
      <c r="A58" s="1141"/>
      <c r="B58" s="1141"/>
      <c r="C58" s="1141"/>
      <c r="D58" s="1221"/>
      <c r="E58" s="1221"/>
      <c r="F58" s="1221"/>
      <c r="G58" s="2"/>
    </row>
    <row r="59" spans="1:7">
      <c r="A59" s="1141"/>
      <c r="B59" s="1141"/>
      <c r="C59" s="1141"/>
      <c r="D59" s="1221"/>
      <c r="E59" s="1221"/>
      <c r="F59" s="1221"/>
      <c r="G59" s="2"/>
    </row>
    <row r="60" spans="1:7">
      <c r="A60" s="1141"/>
      <c r="B60" s="1141"/>
      <c r="C60" s="1141"/>
      <c r="D60" s="2"/>
      <c r="E60" s="2"/>
      <c r="F60" s="2"/>
      <c r="G60" s="2"/>
    </row>
    <row r="61" spans="1:7">
      <c r="A61" s="99"/>
      <c r="B61" s="1175" t="s">
        <v>294</v>
      </c>
      <c r="C61" s="1141"/>
      <c r="D61" s="1221" t="s">
        <v>316</v>
      </c>
      <c r="E61" s="1221"/>
      <c r="F61" s="1221"/>
      <c r="G61" s="2"/>
    </row>
    <row r="62" spans="1:7">
      <c r="A62" s="1141"/>
      <c r="B62" s="1141"/>
      <c r="C62" s="1141"/>
      <c r="D62" s="1221"/>
      <c r="E62" s="1221"/>
      <c r="F62" s="1221"/>
      <c r="G62" s="2"/>
    </row>
    <row r="63" spans="1:7">
      <c r="A63" s="1141"/>
      <c r="B63" s="1141"/>
      <c r="C63" s="1141"/>
      <c r="D63" s="2"/>
      <c r="E63" s="2"/>
      <c r="F63" s="2"/>
      <c r="G63" s="2"/>
    </row>
    <row r="64" spans="1:7">
      <c r="A64" s="99"/>
      <c r="B64" s="1175" t="s">
        <v>294</v>
      </c>
      <c r="C64" s="1141"/>
      <c r="D64" s="1221" t="s">
        <v>317</v>
      </c>
      <c r="E64" s="1221"/>
      <c r="F64" s="1221"/>
      <c r="G64" s="2"/>
    </row>
    <row r="65" spans="1:7">
      <c r="A65" s="1141"/>
      <c r="B65" s="1141"/>
      <c r="C65" s="1141"/>
      <c r="D65" s="1221"/>
      <c r="E65" s="1221"/>
      <c r="F65" s="1221"/>
      <c r="G65" s="2"/>
    </row>
    <row r="66" spans="1:7">
      <c r="A66" s="1141"/>
      <c r="B66" s="1141"/>
      <c r="C66" s="1141"/>
      <c r="D66" s="1221"/>
      <c r="E66" s="1221"/>
      <c r="F66" s="1221"/>
      <c r="G66" s="2"/>
    </row>
    <row r="67" spans="1:7">
      <c r="A67" s="1141"/>
      <c r="B67" s="1141"/>
      <c r="C67" s="1141"/>
      <c r="D67"/>
      <c r="E67" s="2"/>
      <c r="F67" s="2"/>
      <c r="G67" s="2"/>
    </row>
    <row r="68" spans="1:7">
      <c r="A68" s="99"/>
      <c r="B68" s="1175" t="s">
        <v>294</v>
      </c>
      <c r="C68" s="1141"/>
      <c r="D68" s="1221" t="s">
        <v>318</v>
      </c>
      <c r="E68" s="1221"/>
      <c r="F68" s="1221"/>
      <c r="G68" s="2"/>
    </row>
    <row r="69" spans="1:7">
      <c r="A69" s="1141"/>
      <c r="B69" s="1141"/>
      <c r="C69" s="1141"/>
      <c r="D69" s="1221"/>
      <c r="E69" s="1221"/>
      <c r="F69" s="1221"/>
      <c r="G69" s="2"/>
    </row>
    <row r="70" spans="1:7">
      <c r="A70" s="99"/>
      <c r="B70" s="99"/>
      <c r="C70" s="1141"/>
      <c r="D70" s="68"/>
      <c r="E70" s="2"/>
      <c r="F70" s="2"/>
      <c r="G70" s="2"/>
    </row>
    <row r="71" spans="1:7">
      <c r="A71" s="1242" t="s">
        <v>319</v>
      </c>
      <c r="B71" s="1242"/>
      <c r="C71" s="1242"/>
      <c r="D71" s="1242"/>
      <c r="E71" s="1242"/>
      <c r="F71" s="1242"/>
      <c r="G71" s="1242"/>
    </row>
    <row r="72" spans="1:7">
      <c r="A72" s="1141"/>
      <c r="B72" s="1141"/>
      <c r="C72" s="1141"/>
      <c r="D72" s="2"/>
      <c r="E72" s="2"/>
      <c r="F72" s="2"/>
      <c r="G72" s="2"/>
    </row>
    <row r="73" spans="1:7">
      <c r="A73" s="1141"/>
      <c r="B73" s="1141"/>
      <c r="C73" s="359"/>
      <c r="D73" s="1251" t="s">
        <v>320</v>
      </c>
      <c r="E73" s="1251"/>
      <c r="F73" s="1251"/>
      <c r="G73" s="2"/>
    </row>
    <row r="74" spans="1:7">
      <c r="A74" s="68"/>
      <c r="B74" s="68"/>
      <c r="C74" s="1141"/>
      <c r="D74" s="1221" t="s">
        <v>321</v>
      </c>
      <c r="E74" s="1221"/>
      <c r="F74" s="1221"/>
      <c r="G74" s="2"/>
    </row>
    <row r="75" spans="1:7">
      <c r="A75" s="68"/>
      <c r="B75" s="68"/>
      <c r="C75" s="1141"/>
      <c r="D75" s="2"/>
      <c r="E75" s="2"/>
      <c r="F75" s="2"/>
      <c r="G75" s="2"/>
    </row>
    <row r="76" spans="1:7">
      <c r="A76" s="99"/>
      <c r="B76" s="1175" t="s">
        <v>294</v>
      </c>
      <c r="C76" s="1141"/>
      <c r="D76" s="1221" t="s">
        <v>322</v>
      </c>
      <c r="E76" s="1221"/>
      <c r="F76" s="1221"/>
      <c r="G76" s="2"/>
    </row>
    <row r="77" spans="1:7">
      <c r="A77" s="99"/>
      <c r="B77" s="99"/>
      <c r="C77" s="1141"/>
      <c r="D77" s="1221"/>
      <c r="E77" s="1221"/>
      <c r="F77" s="1221"/>
      <c r="G77" s="2"/>
    </row>
    <row r="78" spans="1:7">
      <c r="A78" s="99"/>
      <c r="B78" s="99"/>
      <c r="C78" s="1141"/>
      <c r="D78" s="1221"/>
      <c r="E78" s="1221"/>
      <c r="F78" s="1221"/>
      <c r="G78" s="2"/>
    </row>
    <row r="79" spans="1:7">
      <c r="A79" s="99"/>
      <c r="B79" s="99"/>
      <c r="C79" s="1141"/>
      <c r="D79" s="1221"/>
      <c r="E79" s="1221"/>
      <c r="F79" s="1221"/>
      <c r="G79" s="2"/>
    </row>
    <row r="80" spans="1:7">
      <c r="A80" s="99"/>
      <c r="B80" s="99"/>
      <c r="C80" s="1141"/>
      <c r="D80" s="1221"/>
      <c r="E80" s="1221"/>
      <c r="F80" s="1221"/>
      <c r="G80" s="2"/>
    </row>
    <row r="81" spans="1:6">
      <c r="A81" s="99"/>
      <c r="B81" s="99"/>
      <c r="C81" s="1141"/>
      <c r="D81" s="1221"/>
      <c r="E81" s="1221"/>
      <c r="F81" s="1221"/>
    </row>
    <row r="82" spans="1:6">
      <c r="A82" s="99"/>
      <c r="B82" s="99"/>
      <c r="C82" s="1141"/>
      <c r="D82" s="1100"/>
      <c r="E82" s="1100"/>
      <c r="F82" s="1100"/>
    </row>
    <row r="83" spans="1:6" ht="14.5" customHeight="1">
      <c r="A83" s="99"/>
      <c r="B83" s="1175" t="s">
        <v>294</v>
      </c>
      <c r="C83" s="1141"/>
      <c r="D83" s="1224" t="s">
        <v>323</v>
      </c>
      <c r="E83" s="1224"/>
      <c r="F83" s="1224"/>
    </row>
    <row r="84" spans="1:6">
      <c r="A84" s="99"/>
      <c r="B84" s="99"/>
      <c r="C84" s="1141"/>
      <c r="D84" s="1224"/>
      <c r="E84" s="1224"/>
      <c r="F84" s="1224"/>
    </row>
    <row r="85" spans="1:6">
      <c r="A85" s="99"/>
      <c r="B85" s="99"/>
      <c r="C85" s="1141"/>
      <c r="D85" s="1224"/>
      <c r="E85" s="1224"/>
      <c r="F85" s="1224"/>
    </row>
    <row r="86" spans="1:6">
      <c r="A86" s="99"/>
      <c r="B86" s="99"/>
      <c r="C86" s="1141"/>
      <c r="D86" s="1224"/>
      <c r="E86" s="1224"/>
      <c r="F86" s="1224"/>
    </row>
    <row r="87" spans="1:6">
      <c r="A87" s="99"/>
      <c r="B87" s="99"/>
      <c r="C87" s="1141"/>
      <c r="D87" s="1224"/>
      <c r="E87" s="1224"/>
      <c r="F87" s="1224"/>
    </row>
    <row r="88" spans="1:6">
      <c r="A88" s="99"/>
      <c r="B88" s="99"/>
      <c r="C88" s="1141"/>
      <c r="D88" s="1224"/>
      <c r="E88" s="1224"/>
      <c r="F88" s="1224"/>
    </row>
    <row r="89" spans="1:6">
      <c r="A89" s="99"/>
      <c r="B89" s="99"/>
      <c r="C89" s="1141"/>
      <c r="D89" s="1224"/>
      <c r="E89" s="1224"/>
      <c r="F89" s="1224"/>
    </row>
    <row r="90" spans="1:6">
      <c r="A90" s="99"/>
      <c r="B90" s="99"/>
      <c r="C90" s="1141"/>
      <c r="D90" s="1224"/>
      <c r="E90" s="1224"/>
      <c r="F90" s="1224"/>
    </row>
    <row r="91" spans="1:6">
      <c r="A91" s="99"/>
      <c r="B91" s="99"/>
      <c r="C91" s="1141"/>
      <c r="D91" s="1224"/>
      <c r="E91" s="1224"/>
      <c r="F91" s="1224"/>
    </row>
    <row r="92" spans="1:6">
      <c r="A92" s="99"/>
      <c r="B92" s="99"/>
      <c r="C92" s="1141"/>
      <c r="D92" s="1224"/>
      <c r="E92" s="1224"/>
      <c r="F92" s="1224"/>
    </row>
    <row r="93" spans="1:6">
      <c r="A93" s="99"/>
      <c r="B93" s="99"/>
      <c r="C93" s="1141"/>
      <c r="D93" s="1224"/>
      <c r="E93" s="1224"/>
      <c r="F93" s="1224"/>
    </row>
    <row r="94" spans="1:6">
      <c r="A94" s="99"/>
      <c r="B94" s="99"/>
      <c r="C94" s="1141"/>
      <c r="D94" s="1224"/>
      <c r="E94" s="1224"/>
      <c r="F94" s="1224"/>
    </row>
    <row r="95" spans="1:6">
      <c r="A95" s="99"/>
      <c r="B95" s="99"/>
      <c r="C95" s="1141"/>
      <c r="D95" s="1224"/>
      <c r="E95" s="1224"/>
      <c r="F95" s="1224"/>
    </row>
    <row r="96" spans="1:6">
      <c r="A96" s="99"/>
      <c r="B96" s="99"/>
      <c r="C96" s="1141"/>
      <c r="D96" s="1224"/>
      <c r="E96" s="1224"/>
      <c r="F96" s="1224"/>
    </row>
    <row r="97" spans="1:11">
      <c r="A97" s="99"/>
      <c r="B97" s="1175" t="s">
        <v>294</v>
      </c>
      <c r="C97" s="1141"/>
      <c r="D97" s="1221" t="s">
        <v>324</v>
      </c>
      <c r="E97" s="1221"/>
      <c r="F97" s="1221"/>
      <c r="G97" s="2"/>
    </row>
    <row r="98" spans="1:11">
      <c r="A98" s="99"/>
      <c r="B98" s="99"/>
      <c r="C98" s="1141"/>
      <c r="D98" s="1221"/>
      <c r="E98" s="1221"/>
      <c r="F98" s="1221"/>
      <c r="G98" s="2"/>
    </row>
    <row r="99" spans="1:11">
      <c r="A99" s="99"/>
      <c r="B99" s="99"/>
      <c r="C99" s="1141"/>
      <c r="D99" s="1221"/>
      <c r="E99" s="1221"/>
      <c r="F99" s="1221"/>
      <c r="G99" s="2"/>
    </row>
    <row r="100" spans="1:11">
      <c r="A100" s="99"/>
      <c r="B100" s="99"/>
      <c r="C100" s="1141"/>
      <c r="D100" s="1221"/>
      <c r="E100" s="1221"/>
      <c r="F100" s="1221"/>
      <c r="G100" s="2"/>
    </row>
    <row r="101" spans="1:11">
      <c r="A101" s="99"/>
      <c r="B101" s="99"/>
      <c r="C101" s="1141"/>
      <c r="D101" s="1221"/>
      <c r="E101" s="1221"/>
      <c r="F101" s="1221"/>
      <c r="G101" s="2"/>
    </row>
    <row r="102" spans="1:11">
      <c r="A102" s="99"/>
      <c r="B102" s="99"/>
      <c r="C102" s="1141"/>
      <c r="D102" s="1221"/>
      <c r="E102" s="1221"/>
      <c r="F102" s="1221"/>
      <c r="G102" s="2"/>
    </row>
    <row r="103" spans="1:11">
      <c r="A103" s="99"/>
      <c r="B103" s="99"/>
      <c r="C103" s="1141"/>
      <c r="D103" s="1221"/>
      <c r="E103" s="1221"/>
      <c r="F103" s="1221"/>
      <c r="G103" s="2"/>
    </row>
    <row r="104" spans="1:11">
      <c r="A104" s="99"/>
      <c r="B104" s="99"/>
      <c r="C104" s="1141"/>
      <c r="D104" s="1221"/>
      <c r="E104" s="1221"/>
      <c r="F104" s="1221"/>
      <c r="G104" s="2"/>
    </row>
    <row r="105" spans="1:11">
      <c r="A105" s="99"/>
      <c r="B105" s="99"/>
      <c r="C105" s="1141"/>
      <c r="D105" s="1100"/>
      <c r="E105" s="1100"/>
      <c r="F105" s="1100"/>
      <c r="G105" s="2"/>
    </row>
    <row r="106" spans="1:11">
      <c r="A106" s="99"/>
      <c r="B106" s="1175" t="s">
        <v>294</v>
      </c>
      <c r="C106" s="806"/>
      <c r="D106" s="1260" t="s">
        <v>325</v>
      </c>
      <c r="E106" s="1260"/>
      <c r="F106" s="1260"/>
      <c r="G106" s="805"/>
      <c r="H106" s="101"/>
      <c r="I106" s="101"/>
      <c r="J106" s="101"/>
      <c r="K106" s="101"/>
    </row>
    <row r="107" spans="1:11">
      <c r="A107" s="99"/>
      <c r="B107" s="99"/>
      <c r="C107" s="806"/>
      <c r="D107" s="1260"/>
      <c r="E107" s="1260"/>
      <c r="F107" s="1260"/>
      <c r="G107" s="805"/>
      <c r="H107" s="101"/>
      <c r="I107" s="101"/>
      <c r="J107" s="101"/>
      <c r="K107" s="101"/>
    </row>
    <row r="108" spans="1:11">
      <c r="A108" s="99"/>
      <c r="B108" s="99"/>
      <c r="C108" s="806"/>
      <c r="D108" s="1260"/>
      <c r="E108" s="1260"/>
      <c r="F108" s="1260"/>
      <c r="G108" s="805"/>
      <c r="H108" s="101"/>
      <c r="I108" s="101"/>
      <c r="J108" s="101"/>
      <c r="K108" s="101"/>
    </row>
    <row r="109" spans="1:11">
      <c r="A109" s="99"/>
      <c r="B109" s="99"/>
      <c r="C109" s="806"/>
      <c r="D109" s="1260"/>
      <c r="E109" s="1260"/>
      <c r="F109" s="1260"/>
      <c r="G109" s="805"/>
      <c r="H109" s="101"/>
      <c r="I109" s="101"/>
      <c r="J109" s="101"/>
      <c r="K109" s="101"/>
    </row>
    <row r="110" spans="1:11">
      <c r="A110" s="99"/>
      <c r="B110" s="99"/>
      <c r="C110" s="806"/>
      <c r="D110" s="1260"/>
      <c r="E110" s="1260"/>
      <c r="F110" s="1260"/>
      <c r="G110" s="805"/>
      <c r="H110" s="101"/>
      <c r="I110" s="101"/>
      <c r="J110" s="101"/>
      <c r="K110" s="101"/>
    </row>
    <row r="111" spans="1:11">
      <c r="A111" s="1141"/>
      <c r="B111" s="1141"/>
      <c r="C111"/>
      <c r="D111" s="1260"/>
      <c r="E111" s="1260"/>
      <c r="F111" s="1260"/>
      <c r="G111"/>
    </row>
    <row r="112" spans="1:11">
      <c r="A112" s="1141"/>
      <c r="B112" s="1141"/>
      <c r="C112"/>
      <c r="D112" s="1260"/>
      <c r="E112" s="1260"/>
      <c r="F112" s="1260"/>
      <c r="G112"/>
    </row>
    <row r="113" spans="1:7">
      <c r="A113" s="1141"/>
      <c r="B113" s="1141"/>
      <c r="C113"/>
      <c r="D113" s="202"/>
      <c r="E113"/>
      <c r="F113"/>
      <c r="G113"/>
    </row>
    <row r="114" spans="1:7">
      <c r="A114" s="99"/>
      <c r="B114" s="1175" t="s">
        <v>294</v>
      </c>
      <c r="C114"/>
      <c r="D114" s="1261" t="s">
        <v>326</v>
      </c>
      <c r="E114" s="1261"/>
      <c r="F114" s="1261"/>
      <c r="G114"/>
    </row>
    <row r="115" spans="1:7">
      <c r="A115" s="99"/>
      <c r="B115" s="99"/>
      <c r="C115"/>
      <c r="D115" s="1261"/>
      <c r="E115" s="1261"/>
      <c r="F115" s="1261"/>
      <c r="G115"/>
    </row>
    <row r="116" spans="1:7">
      <c r="A116" s="1141"/>
      <c r="B116" s="1141"/>
      <c r="C116" s="1141"/>
      <c r="D116" s="2"/>
      <c r="E116" s="2"/>
      <c r="F116" s="2"/>
      <c r="G116" s="2"/>
    </row>
    <row r="117" spans="1:7">
      <c r="A117" s="99"/>
      <c r="B117" s="1175" t="s">
        <v>294</v>
      </c>
      <c r="C117" s="1141"/>
      <c r="D117" s="1221" t="s">
        <v>327</v>
      </c>
      <c r="E117" s="1221"/>
      <c r="F117" s="1221"/>
      <c r="G117" s="2"/>
    </row>
    <row r="118" spans="1:7">
      <c r="A118" s="1141"/>
      <c r="B118" s="1141"/>
      <c r="C118" s="1141"/>
      <c r="D118" s="1221"/>
      <c r="E118" s="1221"/>
      <c r="F118" s="1221"/>
      <c r="G118" s="2"/>
    </row>
    <row r="119" spans="1:7">
      <c r="A119" s="1141"/>
      <c r="B119" s="1141"/>
      <c r="C119" s="1141"/>
      <c r="D119" s="1221"/>
      <c r="E119" s="1221"/>
      <c r="F119" s="1221"/>
      <c r="G119" s="2"/>
    </row>
    <row r="120" spans="1:7">
      <c r="A120" s="1141"/>
      <c r="B120" s="1141"/>
      <c r="C120" s="1141"/>
      <c r="D120" s="1221"/>
      <c r="E120" s="1221"/>
      <c r="F120" s="1221"/>
      <c r="G120" s="2"/>
    </row>
    <row r="121" spans="1:7">
      <c r="A121" s="1141"/>
      <c r="B121" s="1141"/>
      <c r="C121" s="1141"/>
      <c r="D121" s="1221"/>
      <c r="E121" s="1221"/>
      <c r="F121" s="1221"/>
      <c r="G121" s="2"/>
    </row>
    <row r="122" spans="1:7">
      <c r="A122" s="1141"/>
      <c r="B122" s="1141"/>
      <c r="C122" s="1141"/>
      <c r="D122" s="2"/>
      <c r="E122" s="2"/>
      <c r="F122" s="2"/>
      <c r="G122" s="2"/>
    </row>
    <row r="123" spans="1:7">
      <c r="A123" s="99"/>
      <c r="B123" s="1175" t="s">
        <v>294</v>
      </c>
      <c r="C123" s="1141"/>
      <c r="D123" s="1221" t="s">
        <v>328</v>
      </c>
      <c r="E123" s="1221"/>
      <c r="F123" s="1221"/>
      <c r="G123" s="2"/>
    </row>
    <row r="124" spans="1:7" s="109" customFormat="1" ht="13.75" customHeight="1">
      <c r="A124" s="1030"/>
      <c r="B124" s="1030"/>
      <c r="C124" s="1030"/>
      <c r="D124" s="1221"/>
      <c r="E124" s="1221"/>
      <c r="F124" s="1221"/>
      <c r="G124" s="396"/>
    </row>
    <row r="125" spans="1:7" ht="13.75" customHeight="1">
      <c r="A125" s="1141"/>
      <c r="B125" s="1141"/>
      <c r="C125" s="1141"/>
      <c r="D125" s="1221"/>
      <c r="E125" s="1221"/>
      <c r="F125" s="1221"/>
      <c r="G125" s="2"/>
    </row>
    <row r="126" spans="1:7" ht="13.75" customHeight="1">
      <c r="A126" s="1141"/>
      <c r="B126" s="1141"/>
      <c r="C126" s="1141"/>
      <c r="D126" s="1221"/>
      <c r="E126" s="1221"/>
      <c r="F126" s="1221"/>
      <c r="G126" s="2"/>
    </row>
    <row r="127" spans="1:7" ht="13.75" customHeight="1">
      <c r="A127" s="1141"/>
      <c r="B127" s="1141"/>
      <c r="C127" s="1141"/>
      <c r="D127" s="1221"/>
      <c r="E127" s="1221"/>
      <c r="F127" s="1221"/>
      <c r="G127" s="2"/>
    </row>
    <row r="128" spans="1:7" ht="13.75" customHeight="1">
      <c r="A128" s="150"/>
      <c r="B128" s="150"/>
      <c r="C128" s="1141"/>
      <c r="D128" s="1221"/>
      <c r="E128" s="1221"/>
      <c r="F128" s="1221"/>
      <c r="G128" s="2"/>
    </row>
    <row r="129" spans="2:6" ht="13.75" customHeight="1">
      <c r="B129" s="1141"/>
      <c r="C129" s="1141"/>
      <c r="D129" s="1221"/>
      <c r="E129" s="1221"/>
      <c r="F129" s="1221"/>
    </row>
    <row r="130" spans="2:6" ht="13.75" customHeight="1">
      <c r="B130" s="1141"/>
      <c r="C130" s="1141"/>
      <c r="D130" s="1221"/>
      <c r="E130" s="1221"/>
      <c r="F130" s="1221"/>
    </row>
    <row r="131" spans="2:6" ht="13.75" customHeight="1">
      <c r="B131" s="1141"/>
      <c r="C131" s="1141"/>
      <c r="D131" s="1221"/>
      <c r="E131" s="1221"/>
      <c r="F131" s="1221"/>
    </row>
    <row r="132" spans="2:6" ht="13.75" customHeight="1">
      <c r="B132" s="1141"/>
      <c r="C132" s="1141"/>
      <c r="D132" s="1221"/>
      <c r="E132" s="1221"/>
      <c r="F132" s="1221"/>
    </row>
    <row r="133" spans="2:6" ht="13.75" customHeight="1">
      <c r="B133" s="1141"/>
      <c r="C133" s="1141"/>
      <c r="D133" s="1221"/>
      <c r="E133" s="1221"/>
      <c r="F133" s="1221"/>
    </row>
    <row r="134" spans="2:6" ht="13.75" customHeight="1">
      <c r="B134" s="1141"/>
      <c r="C134" s="1141"/>
      <c r="D134" s="1221"/>
      <c r="E134" s="1221"/>
      <c r="F134" s="1221"/>
    </row>
    <row r="135" spans="2:6" ht="13.75" customHeight="1">
      <c r="B135" s="1141"/>
      <c r="C135" s="1141"/>
      <c r="D135" s="118"/>
      <c r="E135" s="68"/>
      <c r="F135" s="68"/>
    </row>
    <row r="136" spans="2:6" ht="13.75" customHeight="1">
      <c r="B136" s="1175" t="s">
        <v>294</v>
      </c>
      <c r="C136" s="1141"/>
      <c r="D136" s="1221" t="s">
        <v>329</v>
      </c>
      <c r="E136" s="1221"/>
      <c r="F136" s="1221"/>
    </row>
    <row r="137" spans="2:6" ht="13.75" customHeight="1">
      <c r="B137" s="1141"/>
      <c r="C137" s="1141"/>
      <c r="D137" s="1221"/>
      <c r="E137" s="1221"/>
      <c r="F137" s="1221"/>
    </row>
    <row r="138" spans="2:6" ht="13.75" customHeight="1">
      <c r="B138" s="1141"/>
      <c r="C138" s="1141"/>
      <c r="D138" s="1221"/>
      <c r="E138" s="1221"/>
      <c r="F138" s="1221"/>
    </row>
    <row r="139" spans="2:6" ht="13.75" customHeight="1">
      <c r="B139" s="1141"/>
      <c r="C139" s="1141"/>
      <c r="D139" s="1221"/>
      <c r="E139" s="1221"/>
      <c r="F139" s="1221"/>
    </row>
    <row r="140" spans="2:6" ht="13.75" customHeight="1">
      <c r="B140" s="1141"/>
      <c r="C140" s="1141"/>
      <c r="D140" s="1221"/>
      <c r="E140" s="1221"/>
      <c r="F140" s="1221"/>
    </row>
    <row r="141" spans="2:6" ht="13.75" customHeight="1">
      <c r="B141" s="1141"/>
      <c r="C141" s="1141"/>
      <c r="D141" s="1221"/>
      <c r="E141" s="1221"/>
      <c r="F141" s="1221"/>
    </row>
    <row r="142" spans="2:6" ht="13.75" customHeight="1">
      <c r="B142" s="1141"/>
      <c r="C142" s="1141"/>
      <c r="D142" s="1221"/>
      <c r="E142" s="1221"/>
      <c r="F142" s="1221"/>
    </row>
    <row r="143" spans="2:6" ht="13.75" customHeight="1">
      <c r="B143" s="1141"/>
      <c r="C143" s="1141"/>
      <c r="D143" s="1221"/>
      <c r="E143" s="1221"/>
      <c r="F143" s="1221"/>
    </row>
    <row r="144" spans="2:6" ht="13.75" customHeight="1">
      <c r="B144" s="1141"/>
      <c r="C144" s="1141"/>
      <c r="D144" s="1221"/>
      <c r="E144" s="1221"/>
      <c r="F144" s="1221"/>
    </row>
    <row r="145" spans="1:7" ht="13.75" customHeight="1">
      <c r="A145" s="1141"/>
      <c r="B145" s="1141"/>
      <c r="C145" s="1141"/>
      <c r="D145" s="1221"/>
      <c r="E145" s="1221"/>
      <c r="F145" s="1221"/>
      <c r="G145" s="2"/>
    </row>
    <row r="146" spans="1:7" ht="13.75" customHeight="1">
      <c r="A146" s="1141"/>
      <c r="B146" s="1141"/>
      <c r="C146" s="1141"/>
      <c r="D146" s="1221"/>
      <c r="E146" s="1221"/>
      <c r="F146" s="1221"/>
      <c r="G146" s="2"/>
    </row>
    <row r="147" spans="1:7" ht="13.75" customHeight="1">
      <c r="A147" s="1141"/>
      <c r="B147" s="1141"/>
      <c r="C147" s="1141"/>
      <c r="D147" s="1221"/>
      <c r="E147" s="1221"/>
      <c r="F147" s="1221"/>
      <c r="G147" s="2"/>
    </row>
    <row r="148" spans="1:7" ht="13.75" customHeight="1">
      <c r="A148" s="1141"/>
      <c r="B148" s="1141"/>
      <c r="C148" s="1141"/>
      <c r="D148" s="1221"/>
      <c r="E148" s="1221"/>
      <c r="F148" s="1221"/>
      <c r="G148" s="2"/>
    </row>
    <row r="149" spans="1:7" ht="13.75" customHeight="1">
      <c r="A149" s="1141"/>
      <c r="B149" s="1141"/>
      <c r="C149" s="1141"/>
      <c r="D149" s="1221"/>
      <c r="E149" s="1221"/>
      <c r="F149" s="1221"/>
      <c r="G149" s="2"/>
    </row>
    <row r="150" spans="1:7" ht="13.75" customHeight="1">
      <c r="A150" s="1141"/>
      <c r="B150" s="1141"/>
      <c r="C150" s="1141"/>
      <c r="D150" s="1221"/>
      <c r="E150" s="1221"/>
      <c r="F150" s="1221"/>
      <c r="G150" s="2"/>
    </row>
    <row r="151" spans="1:7" ht="13.75" customHeight="1">
      <c r="A151" s="1141"/>
      <c r="B151" s="1141"/>
      <c r="C151" s="1141"/>
      <c r="D151" s="1221"/>
      <c r="E151" s="1221"/>
      <c r="F151" s="1221"/>
      <c r="G151" s="2"/>
    </row>
    <row r="152" spans="1:7" ht="13.75" customHeight="1">
      <c r="A152" s="1141"/>
      <c r="B152" s="1141"/>
      <c r="C152" s="1141"/>
      <c r="D152" s="1221"/>
      <c r="E152" s="1221"/>
      <c r="F152" s="1221"/>
      <c r="G152" s="2"/>
    </row>
    <row r="153" spans="1:7" ht="13.75" customHeight="1">
      <c r="A153" s="1141"/>
      <c r="B153" s="1141"/>
      <c r="C153" s="1141"/>
      <c r="D153" s="1221"/>
      <c r="E153" s="1221"/>
      <c r="F153" s="1221"/>
      <c r="G153" s="2"/>
    </row>
    <row r="154" spans="1:7" ht="13.75" customHeight="1">
      <c r="A154" s="1141"/>
      <c r="B154" s="1141"/>
      <c r="C154" s="1141"/>
      <c r="D154" s="1221"/>
      <c r="E154" s="1221"/>
      <c r="F154" s="1221"/>
      <c r="G154" s="2"/>
    </row>
    <row r="155" spans="1:7" ht="13.75" customHeight="1">
      <c r="A155" s="1141"/>
      <c r="B155" s="1141"/>
      <c r="C155" s="1141"/>
      <c r="D155" s="118"/>
      <c r="E155" s="68"/>
      <c r="F155" s="68"/>
      <c r="G155" s="2"/>
    </row>
    <row r="156" spans="1:7" ht="13.75" customHeight="1">
      <c r="A156" s="150"/>
      <c r="B156" s="1175" t="s">
        <v>294</v>
      </c>
      <c r="C156" s="118"/>
      <c r="D156" s="1224" t="s">
        <v>330</v>
      </c>
      <c r="E156" s="1224"/>
      <c r="F156" s="1224"/>
      <c r="G156" s="118"/>
    </row>
    <row r="157" spans="1:7" ht="13.75" customHeight="1">
      <c r="A157" s="150"/>
      <c r="B157" s="150"/>
      <c r="C157" s="118"/>
      <c r="D157" s="1224"/>
      <c r="E157" s="1224"/>
      <c r="F157" s="1224"/>
      <c r="G157" s="118"/>
    </row>
    <row r="158" spans="1:7" ht="13.75" customHeight="1">
      <c r="A158" s="150"/>
      <c r="B158" s="150"/>
      <c r="C158" s="118"/>
      <c r="D158" s="118"/>
      <c r="E158" s="118"/>
      <c r="F158" s="118"/>
      <c r="G158" s="118"/>
    </row>
    <row r="159" spans="1:7" ht="13.75" customHeight="1">
      <c r="A159" s="150"/>
      <c r="B159" s="1175" t="s">
        <v>294</v>
      </c>
      <c r="C159" s="118"/>
      <c r="D159" s="1224" t="s">
        <v>331</v>
      </c>
      <c r="E159" s="1224"/>
      <c r="F159" s="1224"/>
      <c r="G159" s="118"/>
    </row>
    <row r="160" spans="1:7" ht="13.75" customHeight="1">
      <c r="A160" s="150"/>
      <c r="B160" s="150"/>
      <c r="C160" s="118"/>
      <c r="D160" s="1224"/>
      <c r="E160" s="1224"/>
      <c r="F160" s="1224"/>
      <c r="G160" s="118"/>
    </row>
    <row r="161" spans="1:7" ht="13.75" customHeight="1">
      <c r="A161" s="150"/>
      <c r="B161" s="150"/>
      <c r="C161" s="118"/>
      <c r="D161" s="1224"/>
      <c r="E161" s="1224"/>
      <c r="F161" s="1224"/>
      <c r="G161" s="118"/>
    </row>
    <row r="162" spans="1:7" ht="13.75" customHeight="1">
      <c r="A162" s="150"/>
      <c r="B162" s="150"/>
      <c r="C162" s="118"/>
      <c r="D162" s="1224"/>
      <c r="E162" s="1224"/>
      <c r="F162" s="1224"/>
      <c r="G162" s="118"/>
    </row>
    <row r="163" spans="1:7" ht="13.75" customHeight="1">
      <c r="A163" s="1141"/>
      <c r="B163" s="1141"/>
      <c r="C163" s="1141"/>
      <c r="D163" s="68"/>
      <c r="E163" s="68"/>
      <c r="F163" s="68"/>
      <c r="G163" s="2"/>
    </row>
    <row r="164" spans="1:7" ht="13.75" customHeight="1">
      <c r="A164" s="1141"/>
      <c r="B164" s="1175" t="s">
        <v>294</v>
      </c>
      <c r="C164" s="1141"/>
      <c r="D164" s="1256" t="s">
        <v>332</v>
      </c>
      <c r="E164" s="1256"/>
      <c r="F164" s="1256"/>
      <c r="G164" s="2"/>
    </row>
    <row r="165" spans="1:7" ht="13.75" customHeight="1">
      <c r="A165" s="1141"/>
      <c r="B165" s="1141"/>
      <c r="C165" s="1141"/>
      <c r="D165" s="1256"/>
      <c r="E165" s="1256"/>
      <c r="F165" s="1256"/>
      <c r="G165" s="2"/>
    </row>
    <row r="166" spans="1:7" ht="13.75" customHeight="1">
      <c r="A166" s="1141"/>
      <c r="B166" s="1141"/>
      <c r="C166" s="1141"/>
      <c r="D166" s="1256"/>
      <c r="E166" s="1256"/>
      <c r="F166" s="1256"/>
      <c r="G166" s="2"/>
    </row>
    <row r="167" spans="1:7" ht="13.75" customHeight="1">
      <c r="A167" s="1118"/>
      <c r="B167" s="1118"/>
      <c r="C167" s="1141"/>
      <c r="D167" s="2"/>
      <c r="E167" s="68"/>
      <c r="F167" s="68"/>
      <c r="G167" s="2"/>
    </row>
    <row r="168" spans="1:7">
      <c r="A168" s="1242" t="s">
        <v>333</v>
      </c>
      <c r="B168" s="1242"/>
      <c r="C168" s="1242"/>
      <c r="D168" s="1242"/>
      <c r="E168" s="1242"/>
      <c r="F168" s="1242"/>
      <c r="G168" s="1242"/>
    </row>
    <row r="169" spans="1:7" ht="12" customHeight="1">
      <c r="A169" s="1141"/>
      <c r="B169" s="1141"/>
      <c r="C169" s="1141"/>
      <c r="D169" s="68"/>
      <c r="E169" s="68"/>
      <c r="F169" s="68"/>
      <c r="G169" s="2"/>
    </row>
    <row r="170" spans="1:7">
      <c r="A170" s="1141"/>
      <c r="B170" s="1239" t="s">
        <v>334</v>
      </c>
      <c r="C170" s="1239"/>
      <c r="D170" s="1239"/>
      <c r="E170" s="1239"/>
      <c r="F170" s="1239"/>
      <c r="G170" s="2"/>
    </row>
    <row r="171" spans="1:7" ht="12" customHeight="1">
      <c r="A171" s="1116"/>
      <c r="B171" s="1116"/>
      <c r="C171" s="1116"/>
      <c r="D171" s="2"/>
      <c r="E171" s="2"/>
      <c r="F171" s="2"/>
      <c r="G171" s="2"/>
    </row>
    <row r="172" spans="1:7">
      <c r="A172" s="1242" t="s">
        <v>335</v>
      </c>
      <c r="B172" s="1242"/>
      <c r="C172" s="1242"/>
      <c r="D172" s="1242"/>
      <c r="E172" s="1242"/>
      <c r="F172" s="1242"/>
      <c r="G172" s="1242"/>
    </row>
    <row r="173" spans="1:7" ht="12" customHeight="1">
      <c r="A173" s="1"/>
      <c r="B173" s="1"/>
      <c r="C173" s="1141"/>
      <c r="D173" s="2"/>
      <c r="E173" s="1"/>
      <c r="F173" s="2"/>
      <c r="G173" s="2"/>
    </row>
    <row r="174" spans="1:7" ht="13.25" customHeight="1">
      <c r="A174" s="1"/>
      <c r="B174" s="1"/>
      <c r="C174" s="1141"/>
      <c r="D174" s="1262" t="s">
        <v>336</v>
      </c>
      <c r="E174" s="1262"/>
      <c r="F174" s="1262"/>
      <c r="G174" s="2"/>
    </row>
    <row r="175" spans="1:7">
      <c r="A175" s="1"/>
      <c r="B175" s="1"/>
      <c r="C175" s="1141"/>
      <c r="D175" s="1262"/>
      <c r="E175" s="1262"/>
      <c r="F175" s="1262"/>
      <c r="G175" s="2"/>
    </row>
    <row r="176" spans="1:7">
      <c r="A176" s="1"/>
      <c r="B176" s="1"/>
      <c r="C176" s="1141"/>
      <c r="D176" s="1249" t="s">
        <v>337</v>
      </c>
      <c r="E176" s="1249"/>
      <c r="F176" s="1249"/>
      <c r="G176" s="2"/>
    </row>
    <row r="177" spans="1:7" ht="12" customHeight="1">
      <c r="A177" s="1"/>
      <c r="B177" s="1"/>
      <c r="C177" s="1141"/>
      <c r="D177" s="2"/>
      <c r="E177" s="1"/>
      <c r="F177" s="2"/>
      <c r="G177" s="2"/>
    </row>
    <row r="178" spans="1:7">
      <c r="A178" s="99"/>
      <c r="B178" s="1175" t="s">
        <v>294</v>
      </c>
      <c r="C178" s="1141"/>
      <c r="D178" s="1236" t="s">
        <v>338</v>
      </c>
      <c r="E178" s="1236"/>
      <c r="F178" s="1236"/>
      <c r="G178" s="2"/>
    </row>
    <row r="179" spans="1:7">
      <c r="A179" s="99"/>
      <c r="B179" s="99"/>
      <c r="C179" s="1141"/>
      <c r="D179" s="1236"/>
      <c r="E179" s="1236"/>
      <c r="F179" s="1236"/>
      <c r="G179" s="2"/>
    </row>
    <row r="180" spans="1:7">
      <c r="A180" s="99"/>
      <c r="B180" s="99"/>
      <c r="C180" s="1141"/>
      <c r="D180" s="1236"/>
      <c r="E180" s="1236"/>
      <c r="F180" s="1236"/>
      <c r="G180" s="2"/>
    </row>
    <row r="181" spans="1:7">
      <c r="A181" s="1141"/>
      <c r="B181" s="1141"/>
      <c r="C181" s="1141"/>
      <c r="D181" s="1236"/>
      <c r="E181" s="1236"/>
      <c r="F181" s="1236"/>
      <c r="G181" s="2"/>
    </row>
    <row r="182" spans="1:7">
      <c r="A182" s="1141"/>
      <c r="B182" s="1141"/>
      <c r="C182" s="1141"/>
      <c r="D182" s="120"/>
      <c r="E182" s="2"/>
      <c r="F182" s="2"/>
      <c r="G182" s="2"/>
    </row>
    <row r="183" spans="1:7">
      <c r="A183" s="1141"/>
      <c r="B183" s="1141"/>
      <c r="C183" s="1141"/>
      <c r="D183" s="1255" t="s">
        <v>339</v>
      </c>
      <c r="E183" s="1255"/>
      <c r="F183" s="1255"/>
      <c r="G183" s="2"/>
    </row>
    <row r="184" spans="1:7">
      <c r="A184" s="1141"/>
      <c r="B184" s="1141"/>
      <c r="C184" s="1141"/>
      <c r="D184" s="1255"/>
      <c r="E184" s="1255"/>
      <c r="F184" s="1255"/>
      <c r="G184" s="2"/>
    </row>
    <row r="185" spans="1:7">
      <c r="A185" s="1141"/>
      <c r="B185" s="1141"/>
      <c r="C185" s="1141"/>
      <c r="D185" s="1114"/>
      <c r="E185" s="1114"/>
      <c r="F185" s="1114"/>
      <c r="G185" s="2"/>
    </row>
    <row r="186" spans="1:7">
      <c r="A186" s="99"/>
      <c r="B186" s="1175" t="s">
        <v>294</v>
      </c>
      <c r="C186" s="1141"/>
      <c r="D186" s="1221" t="s">
        <v>340</v>
      </c>
      <c r="E186" s="1221"/>
      <c r="F186" s="1221"/>
      <c r="G186" s="2"/>
    </row>
    <row r="187" spans="1:7" ht="14.5" customHeight="1">
      <c r="A187" s="99"/>
      <c r="B187"/>
      <c r="C187" s="1141"/>
      <c r="D187" s="1221"/>
      <c r="E187" s="1221"/>
      <c r="F187" s="1221"/>
      <c r="G187" s="2"/>
    </row>
    <row r="188" spans="1:7">
      <c r="A188" s="99"/>
      <c r="B188" s="1141"/>
      <c r="C188" s="1141"/>
      <c r="D188" s="1221"/>
      <c r="E188" s="1221"/>
      <c r="F188" s="1221"/>
      <c r="G188" s="2"/>
    </row>
    <row r="189" spans="1:7">
      <c r="A189" s="99"/>
      <c r="B189" s="1141"/>
      <c r="C189" s="1141"/>
      <c r="D189" s="1221"/>
      <c r="E189" s="1221"/>
      <c r="F189" s="1221"/>
      <c r="G189" s="2"/>
    </row>
    <row r="190" spans="1:7">
      <c r="A190" s="1141"/>
      <c r="B190" s="1141"/>
      <c r="C190" s="1141"/>
      <c r="D190" s="1114"/>
      <c r="E190" s="1114"/>
      <c r="F190" s="1114"/>
      <c r="G190" s="2"/>
    </row>
    <row r="191" spans="1:7">
      <c r="A191" s="1242" t="s">
        <v>341</v>
      </c>
      <c r="B191" s="1242"/>
      <c r="C191" s="1242"/>
      <c r="D191" s="1242"/>
      <c r="E191" s="1242"/>
      <c r="F191" s="1242"/>
      <c r="G191" s="1242"/>
    </row>
    <row r="192" spans="1:7" ht="12" customHeight="1">
      <c r="A192" s="1141"/>
      <c r="B192" s="1141"/>
      <c r="C192" s="1141"/>
      <c r="D192" s="68"/>
      <c r="E192" s="68"/>
      <c r="F192" s="68"/>
      <c r="G192" s="2"/>
    </row>
    <row r="193" spans="1:6">
      <c r="A193" s="1141"/>
      <c r="B193" s="1141"/>
      <c r="C193" s="359"/>
      <c r="D193" s="1240" t="s">
        <v>342</v>
      </c>
      <c r="E193" s="1240"/>
      <c r="F193" s="1240"/>
    </row>
    <row r="194" spans="1:6">
      <c r="A194" s="1116"/>
      <c r="B194" s="1116"/>
      <c r="C194" s="1116"/>
      <c r="D194" s="1241" t="s">
        <v>343</v>
      </c>
      <c r="E194" s="1241"/>
      <c r="F194" s="1241"/>
    </row>
    <row r="195" spans="1:6" ht="12" customHeight="1">
      <c r="A195" s="1118"/>
      <c r="B195" s="1118"/>
      <c r="C195" s="1118"/>
      <c r="D195" s="2"/>
      <c r="E195" s="2"/>
      <c r="F195" s="2"/>
    </row>
    <row r="196" spans="1:6" ht="13.25" customHeight="1">
      <c r="A196" s="1118"/>
      <c r="B196" s="1141"/>
      <c r="C196" s="1118"/>
      <c r="D196" s="1240" t="s">
        <v>344</v>
      </c>
      <c r="E196" s="1240"/>
      <c r="F196" s="1240"/>
    </row>
    <row r="197" spans="1:6">
      <c r="A197" s="99"/>
      <c r="B197" s="1175" t="s">
        <v>294</v>
      </c>
      <c r="C197" s="1141"/>
      <c r="D197" s="1221" t="s">
        <v>345</v>
      </c>
      <c r="E197" s="1221"/>
      <c r="F197" s="1221"/>
    </row>
    <row r="198" spans="1:6">
      <c r="A198" s="99"/>
      <c r="B198" s="99"/>
      <c r="C198" s="1141"/>
      <c r="D198" s="1221"/>
      <c r="E198" s="1221"/>
      <c r="F198" s="1221"/>
    </row>
    <row r="199" spans="1:6">
      <c r="A199" s="1141"/>
      <c r="B199" s="1141"/>
      <c r="C199" s="1141"/>
      <c r="D199" s="2"/>
      <c r="E199" s="2"/>
      <c r="F199" s="2"/>
    </row>
    <row r="200" spans="1:6">
      <c r="A200" s="99"/>
      <c r="B200" s="1175" t="s">
        <v>294</v>
      </c>
      <c r="C200" s="1141"/>
      <c r="D200" s="1221" t="s">
        <v>346</v>
      </c>
      <c r="E200" s="1221"/>
      <c r="F200" s="1221"/>
    </row>
    <row r="201" spans="1:6">
      <c r="A201" s="99"/>
      <c r="B201" s="99"/>
      <c r="C201" s="1141"/>
      <c r="D201" s="1221"/>
      <c r="E201" s="1221"/>
      <c r="F201" s="1221"/>
    </row>
    <row r="202" spans="1:6">
      <c r="A202" s="99"/>
      <c r="B202" s="99"/>
      <c r="C202" s="1141"/>
      <c r="D202" s="1221"/>
      <c r="E202" s="1221"/>
      <c r="F202" s="1221"/>
    </row>
    <row r="203" spans="1:6" ht="5" customHeight="1">
      <c r="A203" s="99"/>
      <c r="B203" s="99"/>
      <c r="C203" s="1141"/>
      <c r="D203" s="68"/>
      <c r="E203" s="68"/>
      <c r="F203" s="68"/>
    </row>
    <row r="204" spans="1:6">
      <c r="A204" s="99"/>
      <c r="B204" s="99"/>
      <c r="C204" s="1141"/>
      <c r="D204" s="1221" t="s">
        <v>347</v>
      </c>
      <c r="E204" s="1221"/>
      <c r="F204" s="1221"/>
    </row>
    <row r="205" spans="1:6">
      <c r="A205" s="99"/>
      <c r="B205" s="99"/>
      <c r="C205" s="1141"/>
      <c r="D205" s="1221"/>
      <c r="E205" s="1221"/>
      <c r="F205" s="1221"/>
    </row>
    <row r="206" spans="1:6">
      <c r="A206" s="99"/>
      <c r="B206" s="99"/>
      <c r="C206" s="1141"/>
      <c r="D206" s="1221"/>
      <c r="E206" s="1221"/>
      <c r="F206" s="1221"/>
    </row>
    <row r="207" spans="1:6">
      <c r="A207" s="99"/>
      <c r="B207" s="99"/>
      <c r="C207" s="1141"/>
      <c r="D207" s="1221"/>
      <c r="E207" s="1221"/>
      <c r="F207" s="1221"/>
    </row>
    <row r="208" spans="1:6">
      <c r="A208" s="99"/>
      <c r="B208" s="99"/>
      <c r="C208" s="1141"/>
      <c r="D208" s="1221"/>
      <c r="E208" s="1221"/>
      <c r="F208" s="1221"/>
    </row>
    <row r="209" spans="1:7">
      <c r="A209" s="99"/>
      <c r="B209" s="99"/>
      <c r="C209" s="1141"/>
      <c r="D209" s="68"/>
      <c r="E209" s="68"/>
      <c r="F209" s="68"/>
      <c r="G209" s="2"/>
    </row>
    <row r="210" spans="1:7">
      <c r="A210" s="99"/>
      <c r="B210" s="1175" t="s">
        <v>294</v>
      </c>
      <c r="C210" s="1141"/>
      <c r="D210" s="1221" t="s">
        <v>348</v>
      </c>
      <c r="E210" s="1221"/>
      <c r="F210" s="1221"/>
      <c r="G210" s="2"/>
    </row>
    <row r="211" spans="1:7">
      <c r="A211" s="99"/>
      <c r="B211" s="99"/>
      <c r="C211" s="1141"/>
      <c r="D211" s="1221"/>
      <c r="E211" s="1221"/>
      <c r="F211" s="1221"/>
      <c r="G211" s="2"/>
    </row>
    <row r="212" spans="1:7">
      <c r="A212" s="99"/>
      <c r="B212" s="99"/>
      <c r="C212" s="1141"/>
      <c r="D212" s="1239" t="s">
        <v>349</v>
      </c>
      <c r="E212" s="1239"/>
      <c r="F212" s="1239"/>
      <c r="G212" s="2"/>
    </row>
    <row r="213" spans="1:7">
      <c r="A213" s="99"/>
      <c r="B213" s="99"/>
      <c r="C213" s="1141"/>
      <c r="D213" s="68"/>
      <c r="E213" s="68"/>
      <c r="F213" s="68"/>
      <c r="G213" s="2"/>
    </row>
    <row r="214" spans="1:7" ht="14.5" customHeight="1">
      <c r="A214" s="99"/>
      <c r="B214" s="1175" t="s">
        <v>294</v>
      </c>
      <c r="C214" s="1141"/>
      <c r="D214" s="1221" t="s">
        <v>350</v>
      </c>
      <c r="E214" s="1221"/>
      <c r="F214" s="1221"/>
      <c r="G214" s="2"/>
    </row>
    <row r="215" spans="1:7">
      <c r="A215" s="99"/>
      <c r="B215" s="99"/>
      <c r="C215" s="1141"/>
      <c r="D215" s="1221"/>
      <c r="E215" s="1221"/>
      <c r="F215" s="1221"/>
      <c r="G215" s="2"/>
    </row>
    <row r="216" spans="1:7">
      <c r="A216" s="99"/>
      <c r="B216" s="99"/>
      <c r="C216" s="1141"/>
      <c r="D216" s="1221"/>
      <c r="E216" s="1221"/>
      <c r="F216" s="1221"/>
      <c r="G216" s="2"/>
    </row>
    <row r="217" spans="1:7">
      <c r="A217" s="99"/>
      <c r="B217" s="99"/>
      <c r="C217" s="1141"/>
      <c r="D217" s="1221"/>
      <c r="E217" s="1221"/>
      <c r="F217" s="1221"/>
      <c r="G217" s="2"/>
    </row>
    <row r="218" spans="1:7">
      <c r="A218" s="99"/>
      <c r="B218" s="99"/>
      <c r="C218" s="1141"/>
      <c r="D218" s="1221"/>
      <c r="E218" s="1221"/>
      <c r="F218" s="1221"/>
      <c r="G218" s="2"/>
    </row>
    <row r="219" spans="1:7">
      <c r="A219" s="1141"/>
      <c r="B219" s="1141"/>
      <c r="C219" s="1141"/>
      <c r="D219" s="68"/>
      <c r="E219" s="68"/>
      <c r="F219" s="68"/>
      <c r="G219" s="2"/>
    </row>
    <row r="220" spans="1:7">
      <c r="A220" s="99"/>
      <c r="B220" s="1175" t="s">
        <v>294</v>
      </c>
      <c r="C220" s="1141"/>
      <c r="D220" s="1221" t="s">
        <v>351</v>
      </c>
      <c r="E220" s="1221"/>
      <c r="F220" s="1221"/>
      <c r="G220" s="2"/>
    </row>
    <row r="221" spans="1:7">
      <c r="A221" s="99"/>
      <c r="B221" s="99"/>
      <c r="C221" s="1141"/>
      <c r="D221" s="1221"/>
      <c r="E221" s="1221"/>
      <c r="F221" s="1221"/>
      <c r="G221" s="2"/>
    </row>
    <row r="222" spans="1:7">
      <c r="A222" s="1141"/>
      <c r="B222" s="1141"/>
      <c r="C222" s="1141"/>
      <c r="D222" s="1031"/>
      <c r="E222" s="2"/>
      <c r="F222" s="2"/>
      <c r="G222" s="2"/>
    </row>
    <row r="223" spans="1:7">
      <c r="A223" s="1242" t="s">
        <v>352</v>
      </c>
      <c r="B223" s="1242"/>
      <c r="C223" s="1242"/>
      <c r="D223" s="1242"/>
      <c r="E223" s="1242"/>
      <c r="F223" s="1242"/>
      <c r="G223" s="1242"/>
    </row>
    <row r="224" spans="1:7">
      <c r="A224" s="1141"/>
      <c r="B224" s="1141"/>
      <c r="C224" s="1141"/>
      <c r="D224" s="1031"/>
      <c r="E224" s="2"/>
      <c r="F224" s="2"/>
      <c r="G224" s="2"/>
    </row>
    <row r="225" spans="1:6">
      <c r="A225" s="1141"/>
      <c r="B225" s="1141"/>
      <c r="C225" s="359"/>
      <c r="D225" s="1240" t="s">
        <v>353</v>
      </c>
      <c r="E225" s="1240"/>
      <c r="F225" s="1240"/>
    </row>
    <row r="226" spans="1:6">
      <c r="A226" s="1116"/>
      <c r="B226" s="1116"/>
      <c r="C226" s="1116"/>
      <c r="D226" s="68"/>
      <c r="E226" s="68"/>
      <c r="F226" s="68"/>
    </row>
    <row r="227" spans="1:6">
      <c r="A227" s="98"/>
      <c r="B227" s="98"/>
      <c r="C227" s="98"/>
      <c r="D227" s="1240" t="s">
        <v>354</v>
      </c>
      <c r="E227" s="1240"/>
      <c r="F227" s="1240"/>
    </row>
    <row r="228" spans="1:6">
      <c r="A228" s="99"/>
      <c r="B228" s="1175" t="s">
        <v>294</v>
      </c>
      <c r="C228" s="1141"/>
      <c r="D228" s="1268" t="s">
        <v>355</v>
      </c>
      <c r="E228" s="1268"/>
      <c r="F228" s="1268"/>
    </row>
    <row r="229" spans="1:6">
      <c r="A229" s="99"/>
      <c r="B229" s="99"/>
      <c r="C229" s="1141"/>
      <c r="D229" s="1268"/>
      <c r="E229" s="1268"/>
      <c r="F229" s="1268"/>
    </row>
    <row r="230" spans="1:6">
      <c r="A230" s="1141"/>
      <c r="B230" s="1141"/>
      <c r="C230" s="1141"/>
      <c r="D230" s="68"/>
      <c r="E230" s="68"/>
      <c r="F230" s="68"/>
    </row>
    <row r="231" spans="1:6" ht="14.5" customHeight="1">
      <c r="A231" s="99"/>
      <c r="B231" s="1175" t="s">
        <v>294</v>
      </c>
      <c r="C231" s="1141"/>
      <c r="D231" s="1221" t="s">
        <v>356</v>
      </c>
      <c r="E231" s="1221"/>
      <c r="F231" s="1221"/>
    </row>
    <row r="232" spans="1:6">
      <c r="A232" s="1141"/>
      <c r="B232" s="1141"/>
      <c r="C232" s="1141"/>
      <c r="D232" s="1221"/>
      <c r="E232" s="1221"/>
      <c r="F232" s="1221"/>
    </row>
    <row r="233" spans="1:6">
      <c r="A233" s="1141"/>
      <c r="B233" s="1141"/>
      <c r="C233" s="1141"/>
      <c r="D233" s="1241" t="s">
        <v>357</v>
      </c>
      <c r="E233" s="1241"/>
      <c r="F233" s="1241"/>
    </row>
    <row r="234" spans="1:6">
      <c r="A234" s="1141"/>
      <c r="B234" s="1141"/>
      <c r="C234" s="1141"/>
      <c r="D234" s="68"/>
      <c r="E234" s="68"/>
      <c r="F234" s="68"/>
    </row>
    <row r="235" spans="1:6" ht="14.5" customHeight="1">
      <c r="A235" s="99"/>
      <c r="B235" s="1175" t="s">
        <v>294</v>
      </c>
      <c r="C235" s="1141"/>
      <c r="D235" s="1221" t="s">
        <v>358</v>
      </c>
      <c r="E235" s="1221"/>
      <c r="F235" s="1221"/>
    </row>
    <row r="236" spans="1:6">
      <c r="A236" s="1141"/>
      <c r="B236" s="1141"/>
      <c r="C236" s="1141"/>
      <c r="D236" s="1221"/>
      <c r="E236" s="1221"/>
      <c r="F236" s="1221"/>
    </row>
    <row r="237" spans="1:6">
      <c r="A237" s="1141"/>
      <c r="B237" s="1141"/>
      <c r="C237" s="1141"/>
      <c r="D237" s="1221"/>
      <c r="E237" s="1221"/>
      <c r="F237" s="1221"/>
    </row>
    <row r="238" spans="1:6">
      <c r="A238" s="1141"/>
      <c r="B238" s="1141"/>
      <c r="C238" s="1141"/>
      <c r="D238" s="1221"/>
      <c r="E238" s="1221"/>
      <c r="F238" s="1221"/>
    </row>
    <row r="239" spans="1:6">
      <c r="A239" s="1141"/>
      <c r="B239" s="1141"/>
      <c r="C239" s="1141"/>
      <c r="D239" s="1221"/>
      <c r="E239" s="1221"/>
      <c r="F239" s="1221"/>
    </row>
    <row r="240" spans="1:6">
      <c r="A240" s="1141"/>
      <c r="B240" s="1141"/>
      <c r="C240" s="1141"/>
      <c r="D240" s="68"/>
      <c r="E240" s="68"/>
      <c r="F240" s="68"/>
    </row>
    <row r="241" spans="1:7">
      <c r="A241" s="99"/>
      <c r="B241" s="1175" t="s">
        <v>294</v>
      </c>
      <c r="C241" s="1141"/>
      <c r="D241" s="1221" t="s">
        <v>359</v>
      </c>
      <c r="E241" s="1221"/>
      <c r="F241" s="1221"/>
      <c r="G241" s="2"/>
    </row>
    <row r="242" spans="1:7">
      <c r="A242" s="1141"/>
      <c r="B242" s="1141"/>
      <c r="C242" s="1141"/>
      <c r="D242" s="1221"/>
      <c r="E242" s="1221"/>
      <c r="F242" s="1221"/>
      <c r="G242" s="2"/>
    </row>
    <row r="243" spans="1:7">
      <c r="A243" s="1141"/>
      <c r="B243" s="1141"/>
      <c r="C243" s="1141"/>
      <c r="D243" s="1221"/>
      <c r="E243" s="1221"/>
      <c r="F243" s="1221"/>
      <c r="G243" s="2"/>
    </row>
    <row r="244" spans="1:7">
      <c r="A244" s="1141"/>
      <c r="B244" s="1141"/>
      <c r="C244" s="1141"/>
      <c r="D244" s="810"/>
      <c r="E244" s="68"/>
      <c r="F244" s="68"/>
      <c r="G244" s="2"/>
    </row>
    <row r="245" spans="1:7">
      <c r="A245" s="1242" t="s">
        <v>360</v>
      </c>
      <c r="B245" s="1242"/>
      <c r="C245" s="1242"/>
      <c r="D245" s="1242"/>
      <c r="E245" s="1242"/>
      <c r="F245" s="1242"/>
      <c r="G245" s="1242"/>
    </row>
    <row r="246" spans="1:7">
      <c r="A246" s="1141"/>
      <c r="B246" s="1141"/>
      <c r="C246" s="1141"/>
      <c r="D246" s="810"/>
      <c r="E246" s="68"/>
      <c r="F246" s="68"/>
      <c r="G246" s="2"/>
    </row>
    <row r="247" spans="1:7">
      <c r="A247" s="1141"/>
      <c r="B247" s="1141"/>
      <c r="C247" s="1116"/>
      <c r="D247" s="1251" t="s">
        <v>361</v>
      </c>
      <c r="E247" s="1251"/>
      <c r="F247" s="1251"/>
      <c r="G247" s="2"/>
    </row>
    <row r="248" spans="1:7">
      <c r="A248" s="1141"/>
      <c r="B248" s="1141"/>
      <c r="C248" s="1116"/>
      <c r="D248" s="1251"/>
      <c r="E248" s="1251"/>
      <c r="F248" s="1251"/>
      <c r="G248" s="2"/>
    </row>
    <row r="249" spans="1:7">
      <c r="A249" s="98"/>
      <c r="B249" s="98"/>
      <c r="C249" s="98"/>
      <c r="D249" s="1"/>
      <c r="E249" s="2"/>
      <c r="F249" s="2"/>
      <c r="G249" s="2"/>
    </row>
    <row r="250" spans="1:7">
      <c r="A250" s="1141"/>
      <c r="B250" s="1141"/>
      <c r="C250" s="98"/>
      <c r="D250" s="1240" t="s">
        <v>362</v>
      </c>
      <c r="E250" s="1240"/>
      <c r="F250" s="1240"/>
      <c r="G250" s="2"/>
    </row>
    <row r="251" spans="1:7" ht="15.75" customHeight="1">
      <c r="A251" s="99"/>
      <c r="B251" s="99"/>
      <c r="C251" s="1141"/>
      <c r="D251" s="1245" t="s">
        <v>363</v>
      </c>
      <c r="E251" s="1245"/>
      <c r="F251" s="1245"/>
      <c r="G251" s="2"/>
    </row>
    <row r="252" spans="1:7">
      <c r="A252" s="1141"/>
      <c r="B252" s="1141"/>
      <c r="C252" s="1141"/>
      <c r="D252" s="2"/>
      <c r="E252" s="68"/>
      <c r="F252" s="68"/>
      <c r="G252" s="2"/>
    </row>
    <row r="253" spans="1:7">
      <c r="A253" s="99"/>
      <c r="B253" s="1175" t="s">
        <v>294</v>
      </c>
      <c r="C253" s="1141"/>
      <c r="D253" s="1221" t="s">
        <v>364</v>
      </c>
      <c r="E253" s="1221"/>
      <c r="F253" s="1221"/>
      <c r="G253" s="2"/>
    </row>
    <row r="254" spans="1:7">
      <c r="A254" s="99"/>
      <c r="B254" s="99"/>
      <c r="C254" s="1141"/>
      <c r="D254" s="1221"/>
      <c r="E254" s="1221"/>
      <c r="F254" s="1221"/>
      <c r="G254" s="2"/>
    </row>
    <row r="255" spans="1:7">
      <c r="A255" s="1141"/>
      <c r="B255" s="1141"/>
      <c r="C255" s="1141"/>
      <c r="D255" s="68"/>
      <c r="E255" s="68"/>
      <c r="F255" s="68"/>
      <c r="G255" s="2"/>
    </row>
    <row r="256" spans="1:7">
      <c r="A256" s="99"/>
      <c r="B256" s="1175" t="s">
        <v>294</v>
      </c>
      <c r="C256" s="1141"/>
      <c r="D256" s="1221" t="s">
        <v>365</v>
      </c>
      <c r="E256" s="1221"/>
      <c r="F256" s="1221"/>
      <c r="G256" s="2"/>
    </row>
    <row r="257" spans="1:7">
      <c r="A257" s="99"/>
      <c r="B257" s="99"/>
      <c r="C257" s="1141"/>
      <c r="D257" s="1221"/>
      <c r="E257" s="1221"/>
      <c r="F257" s="1221"/>
      <c r="G257" s="2"/>
    </row>
    <row r="258" spans="1:7">
      <c r="A258" s="99"/>
      <c r="B258" s="99"/>
      <c r="C258" s="1141"/>
      <c r="D258" s="1221"/>
      <c r="E258" s="1221"/>
      <c r="F258" s="1221"/>
      <c r="G258" s="2"/>
    </row>
    <row r="259" spans="1:7">
      <c r="A259" s="1141"/>
      <c r="B259" s="1141"/>
      <c r="C259" s="1141"/>
      <c r="D259" s="68"/>
      <c r="E259" s="68"/>
      <c r="F259" s="68"/>
      <c r="G259" s="2"/>
    </row>
    <row r="260" spans="1:7">
      <c r="A260" s="99"/>
      <c r="B260" s="1175" t="s">
        <v>294</v>
      </c>
      <c r="C260" s="1141"/>
      <c r="D260" s="1221" t="s">
        <v>366</v>
      </c>
      <c r="E260" s="1221"/>
      <c r="F260" s="1221"/>
      <c r="G260" s="2"/>
    </row>
    <row r="261" spans="1:7">
      <c r="A261" s="99"/>
      <c r="B261" s="99"/>
      <c r="C261" s="1141"/>
      <c r="D261" s="1221"/>
      <c r="E261" s="1221"/>
      <c r="F261" s="1221"/>
      <c r="G261" s="2"/>
    </row>
    <row r="262" spans="1:7">
      <c r="A262" s="1118"/>
      <c r="B262" s="1118"/>
      <c r="C262" s="1141"/>
      <c r="D262" s="2"/>
      <c r="E262" s="68"/>
      <c r="F262" s="68"/>
      <c r="G262" s="2"/>
    </row>
    <row r="263" spans="1:7">
      <c r="A263" s="1242" t="s">
        <v>367</v>
      </c>
      <c r="B263" s="1242"/>
      <c r="C263" s="1242"/>
      <c r="D263" s="1242"/>
      <c r="E263" s="1242"/>
      <c r="F263" s="1242"/>
      <c r="G263" s="1242"/>
    </row>
    <row r="264" spans="1:7">
      <c r="A264" s="1118"/>
      <c r="B264" s="1118"/>
      <c r="C264" s="1141"/>
      <c r="D264" s="68"/>
      <c r="E264" s="68"/>
      <c r="F264" s="68"/>
      <c r="G264" s="2"/>
    </row>
    <row r="265" spans="1:7">
      <c r="A265" s="1141"/>
      <c r="B265" s="1141"/>
      <c r="C265" s="1118"/>
      <c r="D265" s="1240" t="s">
        <v>368</v>
      </c>
      <c r="E265" s="1240"/>
      <c r="F265" s="1240"/>
      <c r="G265" s="2"/>
    </row>
    <row r="266" spans="1:7">
      <c r="A266" s="1141"/>
      <c r="B266" s="1141"/>
      <c r="C266" s="1118"/>
      <c r="D266" s="1241" t="s">
        <v>369</v>
      </c>
      <c r="E266" s="1241"/>
      <c r="F266" s="1241"/>
      <c r="G266" s="2"/>
    </row>
    <row r="267" spans="1:7">
      <c r="A267" s="1141"/>
      <c r="B267" s="1141"/>
      <c r="C267" s="1118"/>
      <c r="D267" s="97"/>
      <c r="E267" s="2"/>
      <c r="F267" s="2"/>
      <c r="G267" s="2"/>
    </row>
    <row r="268" spans="1:7">
      <c r="A268" s="1141"/>
      <c r="B268" s="1175" t="s">
        <v>294</v>
      </c>
      <c r="C268" s="1141"/>
      <c r="D268" s="1241" t="s">
        <v>370</v>
      </c>
      <c r="E268" s="1241"/>
      <c r="F268" s="1241"/>
      <c r="G268" s="2"/>
    </row>
    <row r="269" spans="1:7">
      <c r="A269" s="99"/>
      <c r="B269" s="99"/>
      <c r="C269" s="1141"/>
      <c r="D269" s="211"/>
      <c r="E269" s="1176"/>
      <c r="F269" s="1176"/>
      <c r="G269" s="2"/>
    </row>
    <row r="270" spans="1:7" ht="13.25" customHeight="1">
      <c r="A270" s="1141"/>
      <c r="B270" s="1175" t="s">
        <v>294</v>
      </c>
      <c r="C270" s="1141"/>
      <c r="D270" s="1269" t="s">
        <v>371</v>
      </c>
      <c r="E270" s="1269"/>
      <c r="F270" s="1269"/>
      <c r="G270" s="2"/>
    </row>
    <row r="271" spans="1:7">
      <c r="A271" s="99"/>
      <c r="B271" s="99"/>
      <c r="C271" s="1141"/>
      <c r="D271" s="1269"/>
      <c r="E271" s="1269"/>
      <c r="F271" s="1269"/>
      <c r="G271" s="2"/>
    </row>
    <row r="272" spans="1:7">
      <c r="A272" s="99"/>
      <c r="B272" s="99"/>
      <c r="C272" s="1141"/>
      <c r="D272" s="1269"/>
      <c r="E272" s="1269"/>
      <c r="F272" s="1269"/>
      <c r="G272" s="2"/>
    </row>
    <row r="273" spans="1:6">
      <c r="A273" s="99"/>
      <c r="B273" s="99"/>
      <c r="C273" s="1141"/>
      <c r="D273" s="1269"/>
      <c r="E273" s="1269"/>
      <c r="F273" s="1269"/>
    </row>
    <row r="274" spans="1:6">
      <c r="A274" s="99"/>
      <c r="B274" s="99"/>
      <c r="C274" s="1141"/>
      <c r="D274" s="1269"/>
      <c r="E274" s="1269"/>
      <c r="F274" s="1269"/>
    </row>
    <row r="275" spans="1:6">
      <c r="A275" s="99"/>
      <c r="B275" s="99"/>
      <c r="C275" s="1141"/>
      <c r="D275" s="211"/>
      <c r="E275" s="1176"/>
      <c r="F275" s="1176"/>
    </row>
    <row r="276" spans="1:6" ht="13.25" customHeight="1">
      <c r="A276" s="1141"/>
      <c r="B276" s="1175" t="s">
        <v>294</v>
      </c>
      <c r="C276" s="1141"/>
      <c r="D276" s="1269" t="s">
        <v>372</v>
      </c>
      <c r="E276" s="1269"/>
      <c r="F276" s="1269"/>
    </row>
    <row r="277" spans="1:6">
      <c r="A277" s="1141"/>
      <c r="B277" s="1141"/>
      <c r="C277" s="1141"/>
      <c r="D277" s="1269"/>
      <c r="E277" s="1269"/>
      <c r="F277" s="1269"/>
    </row>
    <row r="278" spans="1:6">
      <c r="A278" s="99"/>
      <c r="B278" s="99"/>
      <c r="C278" s="1141"/>
      <c r="D278" s="211"/>
      <c r="E278" s="1176"/>
      <c r="F278" s="1176"/>
    </row>
    <row r="279" spans="1:6">
      <c r="A279" s="1141"/>
      <c r="B279" s="1175" t="s">
        <v>294</v>
      </c>
      <c r="C279" s="1141"/>
      <c r="D279" s="1241" t="s">
        <v>373</v>
      </c>
      <c r="E279" s="1241"/>
      <c r="F279" s="1241"/>
    </row>
    <row r="280" spans="1:6">
      <c r="A280" s="1141"/>
      <c r="B280" s="1141"/>
      <c r="C280" s="1141"/>
      <c r="D280" s="2"/>
      <c r="E280" s="68"/>
      <c r="F280" s="68"/>
    </row>
    <row r="281" spans="1:6">
      <c r="A281" s="99"/>
      <c r="B281" s="1175" t="s">
        <v>294</v>
      </c>
      <c r="C281" s="1141"/>
      <c r="D281" s="1221" t="s">
        <v>374</v>
      </c>
      <c r="E281" s="1221"/>
      <c r="F281" s="1221"/>
    </row>
    <row r="282" spans="1:6">
      <c r="A282" s="99"/>
      <c r="B282" s="99"/>
      <c r="C282" s="1141"/>
      <c r="D282" s="1221"/>
      <c r="E282" s="1221"/>
      <c r="F282" s="1221"/>
    </row>
    <row r="283" spans="1:6">
      <c r="A283" s="99"/>
      <c r="B283" s="99"/>
      <c r="C283" s="1141"/>
      <c r="D283" s="1221"/>
      <c r="E283" s="1221"/>
      <c r="F283" s="1221"/>
    </row>
    <row r="284" spans="1:6">
      <c r="A284" s="99"/>
      <c r="B284" s="99"/>
      <c r="C284" s="1141"/>
      <c r="D284" s="1221"/>
      <c r="E284" s="1221"/>
      <c r="F284" s="1221"/>
    </row>
    <row r="285" spans="1:6">
      <c r="A285" s="99"/>
      <c r="B285" s="99"/>
      <c r="C285" s="1141"/>
      <c r="D285" s="1221"/>
      <c r="E285" s="1221"/>
      <c r="F285" s="1221"/>
    </row>
    <row r="286" spans="1:6">
      <c r="A286" s="99"/>
      <c r="B286" s="99"/>
      <c r="C286" s="1141"/>
      <c r="D286" s="1221"/>
      <c r="E286" s="1221"/>
      <c r="F286" s="1221"/>
    </row>
    <row r="287" spans="1:6">
      <c r="A287" s="99"/>
      <c r="B287" s="99"/>
      <c r="C287" s="1141"/>
      <c r="D287" s="1221"/>
      <c r="E287" s="1221"/>
      <c r="F287" s="1221"/>
    </row>
    <row r="288" spans="1:6">
      <c r="A288" s="99"/>
      <c r="B288" s="99"/>
      <c r="C288" s="1141"/>
      <c r="D288" s="1221"/>
      <c r="E288" s="1221"/>
      <c r="F288" s="1221"/>
    </row>
    <row r="289" spans="1:6">
      <c r="A289" s="99"/>
      <c r="B289" s="99"/>
      <c r="C289" s="1141"/>
      <c r="D289" s="1221"/>
      <c r="E289" s="1221"/>
      <c r="F289" s="1221"/>
    </row>
    <row r="290" spans="1:6">
      <c r="A290" s="99"/>
      <c r="B290" s="99"/>
      <c r="C290" s="1141"/>
      <c r="D290" s="1221"/>
      <c r="E290" s="1221"/>
      <c r="F290" s="1221"/>
    </row>
    <row r="291" spans="1:6">
      <c r="A291" s="99"/>
      <c r="B291" s="99"/>
      <c r="C291" s="1141"/>
      <c r="D291" s="1221"/>
      <c r="E291" s="1221"/>
      <c r="F291" s="1221"/>
    </row>
    <row r="292" spans="1:6">
      <c r="A292" s="99"/>
      <c r="B292" s="99"/>
      <c r="C292" s="1141"/>
      <c r="D292" s="1221"/>
      <c r="E292" s="1221"/>
      <c r="F292" s="1221"/>
    </row>
    <row r="293" spans="1:6">
      <c r="A293" s="99"/>
      <c r="B293" s="99"/>
      <c r="C293" s="1141"/>
      <c r="D293" s="1221"/>
      <c r="E293" s="1221"/>
      <c r="F293" s="1221"/>
    </row>
    <row r="294" spans="1:6">
      <c r="A294" s="99"/>
      <c r="B294" s="99"/>
      <c r="C294" s="1141"/>
      <c r="D294" s="1221"/>
      <c r="E294" s="1221"/>
      <c r="F294" s="1221"/>
    </row>
    <row r="295" spans="1:6">
      <c r="A295" s="99"/>
      <c r="B295" s="99"/>
      <c r="C295" s="1141"/>
      <c r="D295" s="1221"/>
      <c r="E295" s="1221"/>
      <c r="F295" s="1221"/>
    </row>
    <row r="296" spans="1:6">
      <c r="A296" s="1141"/>
      <c r="B296" s="1141"/>
      <c r="C296" s="1141"/>
      <c r="D296" s="68"/>
      <c r="E296" s="68"/>
      <c r="F296" s="68"/>
    </row>
    <row r="297" spans="1:6">
      <c r="A297" s="99"/>
      <c r="B297" s="1175" t="s">
        <v>294</v>
      </c>
      <c r="C297" s="1141"/>
      <c r="D297" s="1221" t="s">
        <v>375</v>
      </c>
      <c r="E297" s="1221"/>
      <c r="F297" s="1221"/>
    </row>
    <row r="298" spans="1:6">
      <c r="A298" s="1141"/>
      <c r="B298" s="1141"/>
      <c r="C298" s="1141"/>
      <c r="D298" s="1221"/>
      <c r="E298" s="1221"/>
      <c r="F298" s="1221"/>
    </row>
    <row r="299" spans="1:6">
      <c r="A299" s="1141"/>
      <c r="B299" s="1141"/>
      <c r="C299" s="1141"/>
      <c r="D299" s="1221"/>
      <c r="E299" s="1221"/>
      <c r="F299" s="1221"/>
    </row>
    <row r="300" spans="1:6">
      <c r="A300" s="1141"/>
      <c r="B300" s="1141"/>
      <c r="C300" s="1141"/>
      <c r="D300" s="1221"/>
      <c r="E300" s="1221"/>
      <c r="F300" s="1221"/>
    </row>
    <row r="301" spans="1:6">
      <c r="A301" s="1141"/>
      <c r="B301" s="1141"/>
      <c r="C301" s="1141"/>
      <c r="D301" s="1221"/>
      <c r="E301" s="1221"/>
      <c r="F301" s="1221"/>
    </row>
    <row r="302" spans="1:6">
      <c r="A302" s="1141"/>
      <c r="B302" s="1141"/>
      <c r="C302" s="1141"/>
      <c r="D302" s="1221"/>
      <c r="E302" s="1221"/>
      <c r="F302" s="1221"/>
    </row>
    <row r="303" spans="1:6">
      <c r="A303" s="1141"/>
      <c r="B303" s="1141"/>
      <c r="C303" s="1141"/>
      <c r="D303" s="1221"/>
      <c r="E303" s="1221"/>
      <c r="F303" s="1221"/>
    </row>
    <row r="304" spans="1:6">
      <c r="A304" s="1141"/>
      <c r="B304" s="1141"/>
      <c r="C304" s="1141"/>
      <c r="D304" s="1221"/>
      <c r="E304" s="1221"/>
      <c r="F304" s="1221"/>
    </row>
    <row r="305" spans="1:7">
      <c r="A305" s="1141"/>
      <c r="B305" s="1141"/>
      <c r="C305" s="1141"/>
      <c r="D305" s="1221"/>
      <c r="E305" s="1221"/>
      <c r="F305" s="1221"/>
      <c r="G305" s="2"/>
    </row>
    <row r="306" spans="1:7">
      <c r="A306" s="1141"/>
      <c r="B306" s="1141"/>
      <c r="C306" s="1141"/>
      <c r="D306" s="68"/>
      <c r="E306" s="68"/>
      <c r="F306" s="68"/>
      <c r="G306" s="2"/>
    </row>
    <row r="307" spans="1:7">
      <c r="A307" s="99"/>
      <c r="B307" s="1175" t="s">
        <v>294</v>
      </c>
      <c r="C307" s="1141"/>
      <c r="D307" s="1221" t="s">
        <v>376</v>
      </c>
      <c r="E307" s="1221"/>
      <c r="F307" s="1221"/>
      <c r="G307" s="2"/>
    </row>
    <row r="308" spans="1:7">
      <c r="A308" s="1141"/>
      <c r="B308" s="1141"/>
      <c r="C308" s="1141"/>
      <c r="D308" s="1221"/>
      <c r="E308" s="1221"/>
      <c r="F308" s="1221"/>
      <c r="G308"/>
    </row>
    <row r="309" spans="1:7">
      <c r="A309" s="1141"/>
      <c r="B309" s="1141"/>
      <c r="C309" s="1141"/>
      <c r="D309" s="1221"/>
      <c r="E309" s="1221"/>
      <c r="F309" s="1221"/>
      <c r="G309"/>
    </row>
    <row r="310" spans="1:7">
      <c r="A310" s="1141"/>
      <c r="B310" s="1141"/>
      <c r="C310" s="1141"/>
      <c r="D310" s="1221"/>
      <c r="E310" s="1221"/>
      <c r="F310" s="1221"/>
      <c r="G310"/>
    </row>
    <row r="311" spans="1:7">
      <c r="A311" s="1141"/>
      <c r="B311" s="1141"/>
      <c r="C311" s="1141"/>
      <c r="D311" s="1221"/>
      <c r="E311" s="1221"/>
      <c r="F311" s="1221"/>
      <c r="G311"/>
    </row>
    <row r="312" spans="1:7">
      <c r="A312" s="1141"/>
      <c r="B312" s="1141"/>
      <c r="C312" s="1141"/>
      <c r="D312" s="1221"/>
      <c r="E312" s="1221"/>
      <c r="F312" s="1221"/>
      <c r="G312"/>
    </row>
    <row r="313" spans="1:7">
      <c r="A313" s="1141"/>
      <c r="B313" s="1141"/>
      <c r="C313" s="1141"/>
      <c r="D313" s="1100"/>
      <c r="E313" s="1100"/>
      <c r="F313" s="1100"/>
      <c r="G313"/>
    </row>
    <row r="314" spans="1:7" ht="14" thickBot="1">
      <c r="A314" s="1141"/>
      <c r="B314" s="1141"/>
      <c r="C314" s="1141"/>
      <c r="D314" s="1265" t="s">
        <v>377</v>
      </c>
      <c r="E314" s="1265"/>
      <c r="F314" s="1265"/>
      <c r="G314"/>
    </row>
    <row r="315" spans="1:7" ht="14" thickTop="1">
      <c r="A315" s="1141"/>
      <c r="B315" s="1141"/>
      <c r="C315" s="1141"/>
      <c r="D315" s="1266" t="s">
        <v>378</v>
      </c>
      <c r="E315" s="1266"/>
      <c r="F315" s="1266"/>
      <c r="G315"/>
    </row>
    <row r="316" spans="1:7">
      <c r="A316" s="118"/>
      <c r="B316" s="118"/>
      <c r="C316" s="118"/>
      <c r="D316" s="120"/>
      <c r="E316" s="120"/>
      <c r="F316" s="68"/>
      <c r="G316"/>
    </row>
    <row r="317" spans="1:7">
      <c r="A317" s="99"/>
      <c r="B317" s="1175" t="s">
        <v>294</v>
      </c>
      <c r="C317" s="118"/>
      <c r="D317" s="1267" t="s">
        <v>379</v>
      </c>
      <c r="E317" s="1267"/>
      <c r="F317" s="1267"/>
      <c r="G317"/>
    </row>
    <row r="318" spans="1:7">
      <c r="A318" s="118"/>
      <c r="B318" s="118"/>
      <c r="C318" s="118"/>
      <c r="D318" s="120"/>
      <c r="E318" s="120"/>
      <c r="F318" s="68"/>
      <c r="G318"/>
    </row>
    <row r="319" spans="1:7">
      <c r="A319" s="118"/>
      <c r="B319" s="1175" t="s">
        <v>294</v>
      </c>
      <c r="C319" s="118"/>
      <c r="D319" s="1224" t="s">
        <v>380</v>
      </c>
      <c r="E319" s="1224"/>
      <c r="F319" s="1224"/>
      <c r="G319"/>
    </row>
    <row r="320" spans="1:7">
      <c r="A320" s="118"/>
      <c r="B320" s="118"/>
      <c r="C320" s="118"/>
      <c r="D320" s="1224"/>
      <c r="E320" s="1224"/>
      <c r="F320" s="1224"/>
      <c r="G320"/>
    </row>
    <row r="321" spans="1:7">
      <c r="A321" s="118"/>
      <c r="B321" s="118"/>
      <c r="C321" s="118"/>
      <c r="D321" s="1224"/>
      <c r="E321" s="1224"/>
      <c r="F321" s="1224"/>
      <c r="G321"/>
    </row>
    <row r="322" spans="1:7">
      <c r="A322" s="118"/>
      <c r="B322" s="118"/>
      <c r="C322" s="118"/>
      <c r="D322" s="1224"/>
      <c r="E322" s="1224"/>
      <c r="F322" s="1224"/>
      <c r="G322"/>
    </row>
    <row r="323" spans="1:7">
      <c r="A323" s="118"/>
      <c r="B323" s="118"/>
      <c r="C323" s="118"/>
      <c r="D323" s="1224"/>
      <c r="E323" s="1224"/>
      <c r="F323" s="1224"/>
      <c r="G323"/>
    </row>
    <row r="324" spans="1:7">
      <c r="A324" s="118"/>
      <c r="B324" s="118"/>
      <c r="C324" s="118"/>
      <c r="D324" s="1224"/>
      <c r="E324" s="1224"/>
      <c r="F324" s="1224"/>
      <c r="G324"/>
    </row>
    <row r="325" spans="1:7">
      <c r="A325" s="118"/>
      <c r="B325" s="118"/>
      <c r="C325" s="118"/>
      <c r="D325" s="1224"/>
      <c r="E325" s="1224"/>
      <c r="F325" s="1224"/>
      <c r="G325"/>
    </row>
    <row r="326" spans="1:7">
      <c r="A326" s="118"/>
      <c r="B326" s="118"/>
      <c r="C326" s="118"/>
      <c r="D326" s="1224"/>
      <c r="E326" s="1224"/>
      <c r="F326" s="1224"/>
      <c r="G326"/>
    </row>
    <row r="327" spans="1:7">
      <c r="A327" s="118"/>
      <c r="B327" s="118"/>
      <c r="C327" s="118"/>
      <c r="D327" s="1224"/>
      <c r="E327" s="1224"/>
      <c r="F327" s="1224"/>
      <c r="G327"/>
    </row>
    <row r="328" spans="1:7">
      <c r="A328" s="118"/>
      <c r="B328" s="118"/>
      <c r="C328" s="118"/>
      <c r="D328" s="1224"/>
      <c r="E328" s="1224"/>
      <c r="F328" s="1224"/>
      <c r="G328"/>
    </row>
    <row r="329" spans="1:7">
      <c r="A329" s="118"/>
      <c r="B329" s="118"/>
      <c r="C329" s="118"/>
      <c r="D329" s="1224"/>
      <c r="E329" s="1224"/>
      <c r="F329" s="1224"/>
      <c r="G329"/>
    </row>
    <row r="330" spans="1:7">
      <c r="A330" s="118"/>
      <c r="B330" s="118"/>
      <c r="C330" s="118"/>
      <c r="D330"/>
      <c r="E330" s="120"/>
      <c r="F330" s="68"/>
      <c r="G330"/>
    </row>
    <row r="331" spans="1:7">
      <c r="A331" s="99"/>
      <c r="B331" s="1175" t="s">
        <v>294</v>
      </c>
      <c r="C331" s="118"/>
      <c r="D331" s="1224" t="s">
        <v>381</v>
      </c>
      <c r="E331" s="1224"/>
      <c r="F331" s="1224"/>
      <c r="G331"/>
    </row>
    <row r="332" spans="1:7">
      <c r="A332" s="118"/>
      <c r="B332" s="118"/>
      <c r="C332" s="118"/>
      <c r="D332" s="1224"/>
      <c r="E332" s="1224"/>
      <c r="F332" s="1224"/>
      <c r="G332"/>
    </row>
    <row r="333" spans="1:7">
      <c r="A333" s="118"/>
      <c r="B333" s="118"/>
      <c r="C333" s="118"/>
      <c r="D333" s="1224"/>
      <c r="E333" s="1224"/>
      <c r="F333" s="1224"/>
      <c r="G333"/>
    </row>
    <row r="334" spans="1:7">
      <c r="A334" s="118"/>
      <c r="B334" s="118"/>
      <c r="C334" s="118"/>
      <c r="D334" s="1224"/>
      <c r="E334" s="1224"/>
      <c r="F334" s="1224"/>
      <c r="G334"/>
    </row>
    <row r="335" spans="1:7">
      <c r="A335" s="118"/>
      <c r="B335" s="118"/>
      <c r="C335" s="118"/>
      <c r="D335" s="120"/>
      <c r="E335" s="120"/>
      <c r="F335" s="68"/>
      <c r="G335"/>
    </row>
    <row r="336" spans="1:7">
      <c r="A336" s="118"/>
      <c r="B336" s="118"/>
      <c r="C336" s="118"/>
      <c r="D336" s="1224" t="s">
        <v>382</v>
      </c>
      <c r="E336" s="1224"/>
      <c r="F336" s="1224"/>
      <c r="G336"/>
    </row>
    <row r="337" spans="1:7">
      <c r="A337" s="118"/>
      <c r="B337" s="118"/>
      <c r="C337" s="118"/>
      <c r="D337" s="1224"/>
      <c r="E337" s="1224"/>
      <c r="F337" s="1224"/>
      <c r="G337"/>
    </row>
    <row r="338" spans="1:7">
      <c r="A338" s="118"/>
      <c r="B338" s="118"/>
      <c r="C338" s="118"/>
      <c r="D338" s="1224"/>
      <c r="E338" s="1224"/>
      <c r="F338" s="1224"/>
      <c r="G338"/>
    </row>
    <row r="339" spans="1:7">
      <c r="A339" s="118"/>
      <c r="B339" s="118"/>
      <c r="C339" s="118"/>
      <c r="D339" s="1224"/>
      <c r="E339" s="1224"/>
      <c r="F339" s="1224"/>
      <c r="G339"/>
    </row>
    <row r="340" spans="1:7" ht="18" customHeight="1">
      <c r="A340" s="118"/>
      <c r="B340" s="118"/>
      <c r="C340" s="118"/>
      <c r="D340" s="1224"/>
      <c r="E340" s="1224"/>
      <c r="F340" s="1224"/>
      <c r="G340"/>
    </row>
    <row r="341" spans="1:7">
      <c r="A341" s="118"/>
      <c r="B341" s="118"/>
      <c r="C341" s="118"/>
      <c r="D341" s="1224"/>
      <c r="E341" s="1224"/>
      <c r="F341" s="1224"/>
      <c r="G341"/>
    </row>
    <row r="342" spans="1:7">
      <c r="A342" s="118"/>
      <c r="B342" s="118"/>
      <c r="C342" s="118"/>
      <c r="D342" s="1224"/>
      <c r="E342" s="1224"/>
      <c r="F342" s="1224"/>
      <c r="G342"/>
    </row>
    <row r="343" spans="1:7">
      <c r="A343" s="118"/>
      <c r="B343" s="118"/>
      <c r="C343" s="118"/>
      <c r="D343" s="1224"/>
      <c r="E343" s="1224"/>
      <c r="F343" s="1224"/>
      <c r="G343"/>
    </row>
    <row r="344" spans="1:7" ht="8.25" customHeight="1">
      <c r="A344" s="118"/>
      <c r="B344" s="118"/>
      <c r="C344" s="118"/>
      <c r="D344" s="1224"/>
      <c r="E344" s="1224"/>
      <c r="F344" s="1224"/>
      <c r="G344"/>
    </row>
    <row r="345" spans="1:7" ht="13.25" customHeight="1">
      <c r="A345" s="118"/>
      <c r="B345" s="118"/>
      <c r="C345" s="118"/>
      <c r="D345" s="1224" t="s">
        <v>383</v>
      </c>
      <c r="E345" s="1224"/>
      <c r="F345" s="1224"/>
      <c r="G345"/>
    </row>
    <row r="346" spans="1:7">
      <c r="A346" s="118"/>
      <c r="B346" s="118"/>
      <c r="C346" s="118"/>
      <c r="D346" s="1224"/>
      <c r="E346" s="1224"/>
      <c r="F346" s="1224"/>
      <c r="G346"/>
    </row>
    <row r="347" spans="1:7">
      <c r="A347" s="118"/>
      <c r="B347" s="118"/>
      <c r="C347" s="118"/>
      <c r="D347" s="1224"/>
      <c r="E347" s="1224"/>
      <c r="F347" s="1224"/>
      <c r="G347"/>
    </row>
    <row r="348" spans="1:7">
      <c r="A348" s="118"/>
      <c r="B348" s="118"/>
      <c r="C348" s="118"/>
      <c r="D348" s="1224"/>
      <c r="E348" s="1224"/>
      <c r="F348" s="1224"/>
      <c r="G348"/>
    </row>
    <row r="349" spans="1:7">
      <c r="A349" s="118"/>
      <c r="B349" s="118"/>
      <c r="C349" s="118"/>
      <c r="D349" s="1224"/>
      <c r="E349" s="1224"/>
      <c r="F349" s="1224"/>
      <c r="G349"/>
    </row>
    <row r="350" spans="1:7">
      <c r="A350" s="118"/>
      <c r="B350" s="118"/>
      <c r="C350" s="118"/>
      <c r="D350" s="1224"/>
      <c r="E350" s="1224"/>
      <c r="F350" s="1224"/>
      <c r="G350"/>
    </row>
    <row r="351" spans="1:7">
      <c r="A351" s="118"/>
      <c r="B351" s="118"/>
      <c r="C351" s="118"/>
      <c r="D351" s="1224"/>
      <c r="E351" s="1224"/>
      <c r="F351" s="1224"/>
      <c r="G351"/>
    </row>
    <row r="352" spans="1:7">
      <c r="A352" s="118"/>
      <c r="B352" s="118"/>
      <c r="C352" s="118"/>
      <c r="D352" s="1224"/>
      <c r="E352" s="1224"/>
      <c r="F352" s="1224"/>
      <c r="G352"/>
    </row>
    <row r="353" spans="1:7">
      <c r="A353" s="118"/>
      <c r="B353" s="118"/>
      <c r="C353" s="118"/>
      <c r="D353" s="1224"/>
      <c r="E353" s="1224"/>
      <c r="F353" s="1224"/>
      <c r="G353"/>
    </row>
    <row r="354" spans="1:7">
      <c r="A354" s="118"/>
      <c r="B354" s="118"/>
      <c r="C354" s="118"/>
      <c r="D354" s="1224"/>
      <c r="E354" s="1224"/>
      <c r="F354" s="1224"/>
      <c r="G354"/>
    </row>
    <row r="355" spans="1:7">
      <c r="A355" s="118"/>
      <c r="B355" s="118"/>
      <c r="C355" s="118"/>
      <c r="D355" s="1224"/>
      <c r="E355" s="1224"/>
      <c r="F355" s="1224"/>
      <c r="G355"/>
    </row>
    <row r="356" spans="1:7">
      <c r="A356" s="118"/>
      <c r="B356" s="118"/>
      <c r="C356" s="118"/>
      <c r="D356" s="1224"/>
      <c r="E356" s="1224"/>
      <c r="F356" s="1224"/>
      <c r="G356"/>
    </row>
    <row r="357" spans="1:7">
      <c r="A357" s="118"/>
      <c r="B357" s="118"/>
      <c r="C357" s="215"/>
      <c r="D357" s="1224"/>
      <c r="E357" s="1224"/>
      <c r="F357" s="1224"/>
      <c r="G357"/>
    </row>
    <row r="358" spans="1:7">
      <c r="A358" s="118"/>
      <c r="B358" s="118"/>
      <c r="C358" s="215"/>
      <c r="D358" s="1224"/>
      <c r="E358" s="1224"/>
      <c r="F358" s="1224"/>
      <c r="G358"/>
    </row>
    <row r="359" spans="1:7">
      <c r="A359" s="118"/>
      <c r="B359" s="118"/>
      <c r="C359" s="118"/>
      <c r="D359" s="1224"/>
      <c r="E359" s="1224"/>
      <c r="F359" s="1224"/>
      <c r="G359"/>
    </row>
    <row r="360" spans="1:7">
      <c r="A360" s="118"/>
      <c r="B360" s="118"/>
      <c r="C360" s="215"/>
      <c r="D360" s="1224"/>
      <c r="E360" s="1224"/>
      <c r="F360" s="1224"/>
      <c r="G360"/>
    </row>
    <row r="361" spans="1:7">
      <c r="A361" s="118"/>
      <c r="B361" s="118"/>
      <c r="C361" s="215"/>
      <c r="D361" s="1224"/>
      <c r="E361" s="1224"/>
      <c r="F361" s="1224"/>
      <c r="G361"/>
    </row>
    <row r="362" spans="1:7">
      <c r="A362" s="118"/>
      <c r="B362" s="118"/>
      <c r="C362" s="215"/>
      <c r="D362" s="1224"/>
      <c r="E362" s="1224"/>
      <c r="F362" s="1224"/>
      <c r="G362"/>
    </row>
    <row r="363" spans="1:7">
      <c r="A363" s="118"/>
      <c r="B363" s="118"/>
      <c r="C363" s="118"/>
      <c r="D363" s="120"/>
      <c r="E363" s="120"/>
      <c r="F363" s="68"/>
      <c r="G363"/>
    </row>
    <row r="364" spans="1:7">
      <c r="A364" s="118"/>
      <c r="B364" s="1175" t="s">
        <v>294</v>
      </c>
      <c r="C364" s="118"/>
      <c r="D364" s="1224" t="s">
        <v>384</v>
      </c>
      <c r="E364" s="1224"/>
      <c r="F364" s="1224"/>
      <c r="G364"/>
    </row>
    <row r="365" spans="1:7">
      <c r="A365" s="118"/>
      <c r="B365" s="118"/>
      <c r="C365" s="118"/>
      <c r="D365" s="1224"/>
      <c r="E365" s="1224"/>
      <c r="F365" s="1224"/>
      <c r="G365"/>
    </row>
    <row r="366" spans="1:7">
      <c r="A366" s="118"/>
      <c r="B366" s="118"/>
      <c r="C366" s="118"/>
      <c r="D366" s="120"/>
      <c r="E366" s="120"/>
      <c r="F366" s="68"/>
      <c r="G366"/>
    </row>
    <row r="367" spans="1:7">
      <c r="A367" s="99"/>
      <c r="B367" s="1175" t="s">
        <v>294</v>
      </c>
      <c r="C367" s="118"/>
      <c r="D367" s="1224" t="s">
        <v>385</v>
      </c>
      <c r="E367" s="1224"/>
      <c r="F367" s="1224"/>
      <c r="G367"/>
    </row>
    <row r="368" spans="1:7">
      <c r="A368" s="214"/>
      <c r="B368" s="214"/>
      <c r="C368" s="118"/>
      <c r="D368" s="1224"/>
      <c r="E368" s="1224"/>
      <c r="F368" s="1224"/>
      <c r="G368"/>
    </row>
    <row r="369" spans="1:7">
      <c r="A369" s="214"/>
      <c r="B369" s="214"/>
      <c r="C369" s="118"/>
      <c r="D369" s="1224"/>
      <c r="E369" s="1224"/>
      <c r="F369" s="1224"/>
      <c r="G369"/>
    </row>
    <row r="370" spans="1:7">
      <c r="A370" s="214"/>
      <c r="B370" s="214"/>
      <c r="C370" s="118"/>
      <c r="D370" s="1224"/>
      <c r="E370" s="1224"/>
      <c r="F370" s="1224"/>
      <c r="G370"/>
    </row>
    <row r="371" spans="1:7">
      <c r="A371" s="214"/>
      <c r="B371" s="214"/>
      <c r="C371" s="118"/>
      <c r="D371" s="1224"/>
      <c r="E371" s="1224"/>
      <c r="F371" s="1224"/>
      <c r="G371"/>
    </row>
    <row r="372" spans="1:7">
      <c r="A372" s="1141"/>
      <c r="B372" s="1141"/>
      <c r="C372" s="1141"/>
      <c r="D372" s="68"/>
      <c r="E372" s="68"/>
      <c r="F372" s="68"/>
      <c r="G372"/>
    </row>
    <row r="373" spans="1:7">
      <c r="A373" s="99"/>
      <c r="B373" s="1175" t="s">
        <v>294</v>
      </c>
      <c r="C373" s="806"/>
      <c r="D373" s="1221" t="s">
        <v>386</v>
      </c>
      <c r="E373" s="1221"/>
      <c r="F373" s="1221"/>
      <c r="G373"/>
    </row>
    <row r="374" spans="1:7">
      <c r="A374" s="99"/>
      <c r="B374" s="99"/>
      <c r="C374" s="1141"/>
      <c r="D374" s="1221"/>
      <c r="E374" s="1221"/>
      <c r="F374" s="1221"/>
      <c r="G374"/>
    </row>
    <row r="375" spans="1:7">
      <c r="A375" s="1141"/>
      <c r="B375" s="1141"/>
      <c r="C375" s="1141"/>
      <c r="D375" s="1221"/>
      <c r="E375" s="1221"/>
      <c r="F375" s="1221"/>
      <c r="G375"/>
    </row>
    <row r="376" spans="1:7">
      <c r="A376" s="1141"/>
      <c r="B376" s="1141"/>
      <c r="C376" s="1141"/>
      <c r="D376" s="1221"/>
      <c r="E376" s="1221"/>
      <c r="F376" s="1221"/>
      <c r="G376"/>
    </row>
    <row r="377" spans="1:7">
      <c r="A377" s="1141"/>
      <c r="B377" s="1141"/>
      <c r="C377" s="1141"/>
      <c r="D377" s="1221"/>
      <c r="E377" s="1221"/>
      <c r="F377" s="1221"/>
      <c r="G377"/>
    </row>
    <row r="378" spans="1:7">
      <c r="A378" s="1141"/>
      <c r="B378" s="1141"/>
      <c r="C378" s="1141"/>
      <c r="D378" s="1221"/>
      <c r="E378" s="1221"/>
      <c r="F378" s="1221"/>
      <c r="G378"/>
    </row>
    <row r="379" spans="1:7">
      <c r="A379" s="1141"/>
      <c r="B379" s="1141"/>
      <c r="C379" s="1141"/>
      <c r="D379" s="1221"/>
      <c r="E379" s="1221"/>
      <c r="F379" s="1221"/>
      <c r="G379"/>
    </row>
    <row r="380" spans="1:7">
      <c r="A380" s="1141"/>
      <c r="B380" s="1141"/>
      <c r="C380" s="1141"/>
      <c r="D380" s="1221"/>
      <c r="E380" s="1221"/>
      <c r="F380" s="1221"/>
      <c r="G380"/>
    </row>
    <row r="381" spans="1:7">
      <c r="A381" s="1141"/>
      <c r="B381" s="1141"/>
      <c r="C381" s="1141"/>
      <c r="D381" s="1221"/>
      <c r="E381" s="1221"/>
      <c r="F381" s="1221"/>
      <c r="G381"/>
    </row>
    <row r="382" spans="1:7">
      <c r="A382" s="1141"/>
      <c r="B382" s="1141"/>
      <c r="C382" s="1141"/>
      <c r="D382" s="1221"/>
      <c r="E382" s="1221"/>
      <c r="F382" s="1221"/>
      <c r="G382"/>
    </row>
    <row r="383" spans="1:7">
      <c r="A383" s="1141"/>
      <c r="B383" s="1141"/>
      <c r="C383" s="1141"/>
      <c r="D383" s="1221"/>
      <c r="E383" s="1221"/>
      <c r="F383" s="1221"/>
      <c r="G383"/>
    </row>
    <row r="384" spans="1:7">
      <c r="A384" s="1141"/>
      <c r="B384" s="1141"/>
      <c r="C384" s="1141"/>
      <c r="D384" s="1221"/>
      <c r="E384" s="1221"/>
      <c r="F384" s="1221"/>
      <c r="G384"/>
    </row>
    <row r="385" spans="1:7">
      <c r="A385" s="1141"/>
      <c r="B385" s="1141"/>
      <c r="C385" s="1141"/>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1141"/>
      <c r="B402" s="1141"/>
      <c r="C402" s="1141"/>
      <c r="D402" s="1221"/>
      <c r="E402" s="1221"/>
      <c r="F402" s="1221"/>
      <c r="G402" s="2"/>
    </row>
    <row r="403" spans="1:7" ht="40.75" customHeight="1">
      <c r="A403" s="1141"/>
      <c r="B403" s="1141"/>
      <c r="C403" s="1141"/>
      <c r="D403" s="1221"/>
      <c r="E403" s="1221"/>
      <c r="F403" s="1221"/>
      <c r="G403" s="2"/>
    </row>
    <row r="404" spans="1:7">
      <c r="A404" s="1141"/>
      <c r="B404" s="1141"/>
      <c r="C404" s="1141"/>
      <c r="D404" s="68"/>
      <c r="E404" s="68"/>
      <c r="F404" s="68"/>
      <c r="G404" s="2"/>
    </row>
    <row r="405" spans="1:7">
      <c r="A405" s="99"/>
      <c r="B405" s="1175" t="s">
        <v>294</v>
      </c>
      <c r="C405" s="806"/>
      <c r="D405" s="1241" t="s">
        <v>387</v>
      </c>
      <c r="E405" s="1241"/>
      <c r="F405" s="1241"/>
      <c r="G405" s="2"/>
    </row>
    <row r="406" spans="1:7">
      <c r="A406" s="1141"/>
      <c r="B406" s="1141"/>
      <c r="C406" s="1141"/>
      <c r="D406" s="1264" t="s">
        <v>388</v>
      </c>
      <c r="E406" s="1264"/>
      <c r="F406" s="1264"/>
      <c r="G406" s="2"/>
    </row>
    <row r="407" spans="1:7">
      <c r="A407" s="1141"/>
      <c r="B407" s="1141"/>
      <c r="C407" s="1141"/>
      <c r="D407" s="1221" t="s">
        <v>389</v>
      </c>
      <c r="E407" s="1221"/>
      <c r="F407" s="1221"/>
      <c r="G407" s="2"/>
    </row>
    <row r="408" spans="1:7">
      <c r="A408" s="1141"/>
      <c r="B408" s="1141"/>
      <c r="C408" s="1141"/>
      <c r="D408" s="1221"/>
      <c r="E408" s="1221"/>
      <c r="F408" s="1221"/>
      <c r="G408" s="2"/>
    </row>
    <row r="409" spans="1:7">
      <c r="A409" s="1141"/>
      <c r="B409" s="1141"/>
      <c r="C409" s="1141"/>
      <c r="D409" s="1221"/>
      <c r="E409" s="1221"/>
      <c r="F409" s="1221"/>
      <c r="G409" s="2"/>
    </row>
    <row r="410" spans="1:7">
      <c r="A410" s="1141"/>
      <c r="B410" s="1141"/>
      <c r="C410" s="1141"/>
      <c r="D410" s="1221"/>
      <c r="E410" s="1221"/>
      <c r="F410" s="1221"/>
      <c r="G410" s="2"/>
    </row>
    <row r="411" spans="1:7">
      <c r="A411" s="1141"/>
      <c r="B411" s="1141"/>
      <c r="C411" s="1141"/>
      <c r="D411" s="68"/>
      <c r="E411" s="68"/>
      <c r="F411" s="68"/>
      <c r="G411"/>
    </row>
    <row r="412" spans="1:7">
      <c r="A412" s="99"/>
      <c r="B412" s="1175" t="s">
        <v>294</v>
      </c>
      <c r="C412" s="806"/>
      <c r="D412" s="1221" t="s">
        <v>390</v>
      </c>
      <c r="E412" s="1221"/>
      <c r="F412" s="1221"/>
      <c r="G412"/>
    </row>
    <row r="413" spans="1:7">
      <c r="A413" s="1141"/>
      <c r="B413" s="1141"/>
      <c r="C413" s="1141"/>
      <c r="D413" s="1221"/>
      <c r="E413" s="1221"/>
      <c r="F413" s="1221"/>
      <c r="G413"/>
    </row>
    <row r="414" spans="1:7">
      <c r="A414" s="1141"/>
      <c r="B414" s="1141"/>
      <c r="C414" s="1141"/>
      <c r="D414" s="1221"/>
      <c r="E414" s="1221"/>
      <c r="F414" s="1221"/>
      <c r="G414"/>
    </row>
    <row r="415" spans="1:7">
      <c r="A415" s="1141"/>
      <c r="B415" s="1141"/>
      <c r="C415" s="1141"/>
      <c r="D415" s="1100"/>
      <c r="E415" s="1100"/>
      <c r="F415" s="1100"/>
      <c r="G415"/>
    </row>
    <row r="416" spans="1:7">
      <c r="A416" s="1141"/>
      <c r="B416" s="1175" t="s">
        <v>294</v>
      </c>
      <c r="C416" s="99"/>
      <c r="D416" s="1221" t="s">
        <v>391</v>
      </c>
      <c r="E416" s="1221"/>
      <c r="F416" s="1221"/>
      <c r="G416"/>
    </row>
    <row r="417" spans="1:7">
      <c r="A417" s="1141"/>
      <c r="B417" s="1141"/>
      <c r="C417" s="1141"/>
      <c r="D417" s="1221"/>
      <c r="E417" s="1221"/>
      <c r="F417" s="1221"/>
      <c r="G417"/>
    </row>
    <row r="418" spans="1:7">
      <c r="A418" s="1141"/>
      <c r="B418" s="1141"/>
      <c r="C418" s="1141"/>
      <c r="D418" s="68"/>
      <c r="E418" s="68"/>
      <c r="F418" s="68"/>
      <c r="G418"/>
    </row>
    <row r="419" spans="1:7">
      <c r="A419" s="1141"/>
      <c r="B419" s="1175" t="s">
        <v>294</v>
      </c>
      <c r="C419" s="99"/>
      <c r="D419" s="1221" t="s">
        <v>392</v>
      </c>
      <c r="E419" s="1221"/>
      <c r="F419" s="1221"/>
      <c r="G419"/>
    </row>
    <row r="420" spans="1:7">
      <c r="A420" s="1141"/>
      <c r="B420" s="1141"/>
      <c r="C420" s="1141"/>
      <c r="D420" s="1221"/>
      <c r="E420" s="1221"/>
      <c r="F420" s="1221"/>
      <c r="G420"/>
    </row>
    <row r="421" spans="1:7">
      <c r="A421" s="1141"/>
      <c r="B421" s="1141"/>
      <c r="C421" s="1141"/>
      <c r="D421" s="1221"/>
      <c r="E421" s="1221"/>
      <c r="F421" s="1221"/>
      <c r="G421"/>
    </row>
    <row r="422" spans="1:7">
      <c r="A422" s="1141"/>
      <c r="B422" s="1141"/>
      <c r="C422" s="1141"/>
      <c r="D422" s="1221"/>
      <c r="E422" s="1221"/>
      <c r="F422" s="1221"/>
      <c r="G422"/>
    </row>
    <row r="423" spans="1:7">
      <c r="A423" s="1141"/>
      <c r="B423" s="1175" t="s">
        <v>294</v>
      </c>
      <c r="C423" s="1141"/>
      <c r="D423" s="1221"/>
      <c r="E423" s="1221"/>
      <c r="F423" s="1221"/>
      <c r="G423"/>
    </row>
    <row r="424" spans="1:7">
      <c r="A424"/>
      <c r="B424"/>
      <c r="C424"/>
      <c r="D424" s="1221"/>
      <c r="E424" s="1221"/>
      <c r="F424" s="1221"/>
      <c r="G424"/>
    </row>
    <row r="425" spans="1:7">
      <c r="A425"/>
      <c r="B425" s="1141"/>
      <c r="C425"/>
      <c r="D425" s="1221"/>
      <c r="E425" s="1221"/>
      <c r="F425" s="1221"/>
      <c r="G425"/>
    </row>
    <row r="426" spans="1:7">
      <c r="A426"/>
      <c r="B426" s="1175" t="s">
        <v>294</v>
      </c>
      <c r="C426"/>
      <c r="D426" s="1221"/>
      <c r="E426" s="1221"/>
      <c r="F426" s="1221"/>
      <c r="G426"/>
    </row>
    <row r="427" spans="1:7">
      <c r="A427"/>
      <c r="B427"/>
      <c r="C427"/>
      <c r="D427" s="1221"/>
      <c r="E427" s="1221"/>
      <c r="F427" s="1221"/>
      <c r="G427"/>
    </row>
    <row r="428" spans="1:7">
      <c r="A428"/>
      <c r="B428" s="1141"/>
      <c r="C428"/>
      <c r="D428" s="1221"/>
      <c r="E428" s="1221"/>
      <c r="F428" s="1221"/>
      <c r="G428"/>
    </row>
    <row r="429" spans="1:7">
      <c r="A429"/>
      <c r="B429" s="1141"/>
      <c r="C429"/>
      <c r="D429" s="1221"/>
      <c r="E429" s="1221"/>
      <c r="F429" s="1221"/>
      <c r="G429"/>
    </row>
    <row r="430" spans="1:7">
      <c r="A430"/>
      <c r="B430" s="1175" t="s">
        <v>294</v>
      </c>
      <c r="C430"/>
      <c r="D430" s="1221"/>
      <c r="E430" s="1221"/>
      <c r="F430" s="1221"/>
      <c r="G430"/>
    </row>
    <row r="431" spans="1:7">
      <c r="A431"/>
      <c r="B431"/>
      <c r="C431"/>
      <c r="D431" s="1221"/>
      <c r="E431" s="1221"/>
      <c r="F431" s="1221"/>
      <c r="G431"/>
    </row>
    <row r="432" spans="1:7">
      <c r="A432"/>
      <c r="B432" s="1175" t="s">
        <v>294</v>
      </c>
      <c r="C432"/>
      <c r="D432" s="1221"/>
      <c r="E432" s="1221"/>
      <c r="F432" s="1221"/>
      <c r="G432"/>
    </row>
    <row r="433" spans="1:7">
      <c r="A433"/>
      <c r="B433"/>
      <c r="C433"/>
      <c r="D433" s="1100"/>
      <c r="E433" s="1100"/>
      <c r="F433" s="1100"/>
      <c r="G433"/>
    </row>
    <row r="434" spans="1:7">
      <c r="A434"/>
      <c r="B434" s="1175"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1141"/>
      <c r="B438" s="1141"/>
      <c r="C438" s="1141"/>
      <c r="D438" s="1221"/>
      <c r="E438" s="1221"/>
      <c r="F438" s="1221"/>
      <c r="G438" s="2"/>
    </row>
    <row r="439" spans="1:7">
      <c r="A439" s="1141"/>
      <c r="B439" s="1141"/>
      <c r="C439" s="1141"/>
      <c r="D439" s="68"/>
      <c r="E439" s="68"/>
      <c r="F439" s="68"/>
      <c r="G439" s="2"/>
    </row>
    <row r="440" spans="1:7">
      <c r="A440" s="1141"/>
      <c r="B440" s="1175" t="s">
        <v>294</v>
      </c>
      <c r="C440" s="1141"/>
      <c r="D440" s="1241" t="s">
        <v>394</v>
      </c>
      <c r="E440" s="1241"/>
      <c r="F440" s="1241"/>
      <c r="G440" s="2"/>
    </row>
    <row r="441" spans="1:7">
      <c r="A441" s="68"/>
      <c r="B441" s="68"/>
      <c r="C441" s="1141"/>
      <c r="D441" s="2"/>
      <c r="E441" s="2"/>
      <c r="F441" s="2"/>
      <c r="G441" s="2"/>
    </row>
    <row r="442" spans="1:7">
      <c r="A442" s="1242" t="s">
        <v>395</v>
      </c>
      <c r="B442" s="1242"/>
      <c r="C442" s="1242"/>
      <c r="D442" s="1242"/>
      <c r="E442" s="1242"/>
      <c r="F442" s="1242"/>
      <c r="G442" s="1242"/>
    </row>
    <row r="443" spans="1:7">
      <c r="A443" s="68"/>
      <c r="B443" s="68"/>
      <c r="C443" s="1141"/>
      <c r="D443" s="2"/>
      <c r="E443" s="2"/>
      <c r="F443" s="2"/>
      <c r="G443" s="2"/>
    </row>
    <row r="444" spans="1:7">
      <c r="A444" s="1141"/>
      <c r="B444" s="1141"/>
      <c r="C444" s="1141"/>
      <c r="D444" s="1270" t="s">
        <v>396</v>
      </c>
      <c r="E444" s="1270"/>
      <c r="F444" s="1270"/>
      <c r="G444" s="2"/>
    </row>
    <row r="445" spans="1:7">
      <c r="A445" s="99"/>
      <c r="B445" s="99"/>
      <c r="C445" s="1141"/>
      <c r="D445" s="1267" t="s">
        <v>397</v>
      </c>
      <c r="E445" s="1267"/>
      <c r="F445" s="1267"/>
      <c r="G445" s="2"/>
    </row>
    <row r="446" spans="1:7">
      <c r="A446" s="99"/>
      <c r="B446" s="99"/>
      <c r="C446" s="1141"/>
      <c r="D446" s="1106"/>
      <c r="E446" s="2"/>
      <c r="F446" s="2"/>
      <c r="G446" s="2"/>
    </row>
    <row r="447" spans="1:7">
      <c r="A447" s="99"/>
      <c r="B447" s="1175" t="s">
        <v>294</v>
      </c>
      <c r="C447" s="1141"/>
      <c r="D447" s="1224" t="s">
        <v>398</v>
      </c>
      <c r="E447" s="1224"/>
      <c r="F447" s="1224"/>
      <c r="G447" s="2"/>
    </row>
    <row r="448" spans="1:7">
      <c r="A448" s="99"/>
      <c r="B448" s="99"/>
      <c r="C448" s="1141"/>
      <c r="D448" s="1224"/>
      <c r="E448" s="1224"/>
      <c r="F448" s="1224"/>
      <c r="G448" s="2"/>
    </row>
    <row r="449" spans="1:7">
      <c r="A449" s="99"/>
      <c r="B449" s="99"/>
      <c r="C449" s="1141"/>
      <c r="D449" s="68"/>
      <c r="E449" s="2"/>
      <c r="F449" s="2"/>
      <c r="G449" s="2"/>
    </row>
    <row r="450" spans="1:7">
      <c r="A450" s="1141"/>
      <c r="B450" s="1175" t="s">
        <v>294</v>
      </c>
      <c r="C450" s="1141"/>
      <c r="D450" s="1256" t="s">
        <v>399</v>
      </c>
      <c r="E450" s="1256"/>
      <c r="F450" s="1256"/>
      <c r="G450" s="2"/>
    </row>
    <row r="451" spans="1:7">
      <c r="A451" s="99"/>
      <c r="B451" s="1141"/>
      <c r="C451" s="1141"/>
      <c r="D451" s="1256"/>
      <c r="E451" s="1256"/>
      <c r="F451" s="1256"/>
      <c r="G451" s="2"/>
    </row>
    <row r="452" spans="1:7">
      <c r="A452" s="99"/>
      <c r="B452" s="99"/>
      <c r="C452" s="1141"/>
      <c r="D452" s="1256"/>
      <c r="E452" s="1256"/>
      <c r="F452" s="1256"/>
      <c r="G452" s="2"/>
    </row>
    <row r="453" spans="1:7">
      <c r="A453" s="99"/>
      <c r="B453" s="99"/>
      <c r="C453" s="1141"/>
      <c r="D453" s="1256"/>
      <c r="E453" s="1256"/>
      <c r="F453" s="1256"/>
      <c r="G453" s="2"/>
    </row>
    <row r="454" spans="1:7">
      <c r="A454" s="1141"/>
      <c r="B454" s="1141"/>
      <c r="C454" s="1141"/>
      <c r="D454" s="2"/>
      <c r="E454" s="2"/>
      <c r="F454" s="2"/>
      <c r="G454"/>
    </row>
    <row r="455" spans="1:7">
      <c r="A455" s="99"/>
      <c r="B455" s="1175" t="s">
        <v>294</v>
      </c>
      <c r="C455" s="1141"/>
      <c r="D455" s="1221" t="s">
        <v>400</v>
      </c>
      <c r="E455" s="1221"/>
      <c r="F455" s="1221"/>
      <c r="G455"/>
    </row>
    <row r="456" spans="1:7">
      <c r="A456" s="99"/>
      <c r="B456" s="99"/>
      <c r="C456" s="1141"/>
      <c r="D456" s="1221"/>
      <c r="E456" s="1221"/>
      <c r="F456" s="1221"/>
      <c r="G456"/>
    </row>
    <row r="457" spans="1:7">
      <c r="A457" s="99"/>
      <c r="B457" s="1141"/>
      <c r="C457" s="1141"/>
      <c r="D457" s="1221"/>
      <c r="E457" s="1221"/>
      <c r="F457" s="1221"/>
      <c r="G457"/>
    </row>
    <row r="458" spans="1:7">
      <c r="A458" s="99"/>
      <c r="B458" s="99"/>
      <c r="C458" s="1141"/>
      <c r="D458" s="2"/>
      <c r="E458" s="2"/>
      <c r="F458" s="2"/>
      <c r="G458"/>
    </row>
    <row r="459" spans="1:7">
      <c r="A459" s="99"/>
      <c r="B459" s="1175" t="s">
        <v>294</v>
      </c>
      <c r="C459" s="1141"/>
      <c r="D459" s="1241" t="s">
        <v>401</v>
      </c>
      <c r="E459" s="1241"/>
      <c r="F459" s="1241"/>
      <c r="G459"/>
    </row>
    <row r="460" spans="1:7">
      <c r="A460" s="99"/>
      <c r="B460" s="99"/>
      <c r="C460" s="1141"/>
      <c r="D460" s="68"/>
      <c r="E460" s="2"/>
      <c r="F460" s="2"/>
      <c r="G460"/>
    </row>
    <row r="461" spans="1:7">
      <c r="A461" s="99"/>
      <c r="B461" s="1175" t="s">
        <v>294</v>
      </c>
      <c r="C461" s="1141"/>
      <c r="D461" s="1221" t="s">
        <v>402</v>
      </c>
      <c r="E461" s="1221"/>
      <c r="F461" s="1221"/>
      <c r="G461"/>
    </row>
    <row r="462" spans="1:7">
      <c r="A462" s="99"/>
      <c r="B462" s="1141"/>
      <c r="C462" s="1141"/>
      <c r="D462" s="1221"/>
      <c r="E462" s="1221"/>
      <c r="F462" s="1221"/>
      <c r="G462"/>
    </row>
    <row r="463" spans="1:7">
      <c r="A463" s="1118"/>
      <c r="B463" s="1118"/>
      <c r="C463" s="1141"/>
      <c r="D463" s="1106"/>
      <c r="E463" s="2"/>
      <c r="F463" s="2"/>
      <c r="G463"/>
    </row>
    <row r="464" spans="1:7">
      <c r="A464" s="1118"/>
      <c r="B464" s="1175" t="s">
        <v>294</v>
      </c>
      <c r="C464" s="1141"/>
      <c r="D464" s="1241" t="s">
        <v>403</v>
      </c>
      <c r="E464" s="1241"/>
      <c r="F464" s="1241"/>
      <c r="G464"/>
    </row>
    <row r="465" spans="1:7">
      <c r="A465" s="99"/>
      <c r="B465" s="99"/>
      <c r="C465" s="1141"/>
      <c r="D465" s="68"/>
      <c r="E465" s="2"/>
      <c r="F465" s="2"/>
      <c r="G465" s="2"/>
    </row>
    <row r="466" spans="1:7">
      <c r="A466" s="1242" t="s">
        <v>404</v>
      </c>
      <c r="B466" s="1242"/>
      <c r="C466" s="1242"/>
      <c r="D466" s="1242"/>
      <c r="E466" s="1242"/>
      <c r="F466" s="1242"/>
      <c r="G466" s="1242"/>
    </row>
    <row r="467" spans="1:7" ht="12" customHeight="1">
      <c r="A467" s="99"/>
      <c r="B467" s="99"/>
      <c r="C467" s="1141"/>
      <c r="D467" s="68"/>
      <c r="E467" s="2"/>
      <c r="F467" s="2"/>
      <c r="G467" s="2"/>
    </row>
    <row r="468" spans="1:7">
      <c r="A468" s="1141"/>
      <c r="B468" s="1141"/>
      <c r="C468" s="1116"/>
      <c r="D468" s="1240" t="s">
        <v>405</v>
      </c>
      <c r="E468" s="1240"/>
      <c r="F468" s="1240"/>
      <c r="G468" s="2"/>
    </row>
    <row r="469" spans="1:7" ht="13.25" customHeight="1">
      <c r="A469" s="98"/>
      <c r="B469" s="98"/>
      <c r="C469" s="98"/>
      <c r="D469" s="1271" t="s">
        <v>406</v>
      </c>
      <c r="E469" s="1271"/>
      <c r="F469" s="1271"/>
      <c r="G469" s="2"/>
    </row>
    <row r="470" spans="1:7">
      <c r="A470" s="98"/>
      <c r="B470" s="98"/>
      <c r="C470" s="98"/>
      <c r="D470" s="1271"/>
      <c r="E470" s="1271"/>
      <c r="F470" s="1271"/>
      <c r="G470" s="2"/>
    </row>
    <row r="471" spans="1:7">
      <c r="A471" s="98"/>
      <c r="B471" s="98"/>
      <c r="C471" s="98"/>
      <c r="D471" s="1271"/>
      <c r="E471" s="1271"/>
      <c r="F471" s="1271"/>
      <c r="G471" s="2"/>
    </row>
    <row r="472" spans="1:7">
      <c r="A472" s="98"/>
      <c r="B472" s="98"/>
      <c r="C472" s="98"/>
      <c r="D472" s="1271"/>
      <c r="E472" s="1271"/>
      <c r="F472" s="1271"/>
      <c r="G472" s="2"/>
    </row>
    <row r="473" spans="1:7">
      <c r="A473" s="98"/>
      <c r="B473" s="98"/>
      <c r="C473" s="98"/>
      <c r="D473" s="1271"/>
      <c r="E473" s="1271"/>
      <c r="F473" s="1271"/>
      <c r="G473" s="2"/>
    </row>
    <row r="474" spans="1:7">
      <c r="A474" s="98"/>
      <c r="B474" s="98"/>
      <c r="C474" s="98"/>
      <c r="D474" s="198"/>
      <c r="E474" s="2"/>
      <c r="F474" s="68"/>
      <c r="G474" s="2"/>
    </row>
    <row r="475" spans="1:7" ht="14.5" customHeight="1">
      <c r="A475" s="99"/>
      <c r="B475" s="1175" t="s">
        <v>294</v>
      </c>
      <c r="C475" s="98"/>
      <c r="D475" s="1255" t="s">
        <v>407</v>
      </c>
      <c r="E475" s="1255"/>
      <c r="F475" s="1255"/>
      <c r="G475" s="2"/>
    </row>
    <row r="476" spans="1:7">
      <c r="A476" s="98"/>
      <c r="B476" s="98"/>
      <c r="C476" s="98"/>
      <c r="D476" s="1255"/>
      <c r="E476" s="1255"/>
      <c r="F476" s="1255"/>
      <c r="G476" s="2"/>
    </row>
    <row r="477" spans="1:7">
      <c r="A477" s="98"/>
      <c r="B477" s="98"/>
      <c r="C477" s="98"/>
      <c r="D477" s="1255"/>
      <c r="E477" s="1255"/>
      <c r="F477" s="1255"/>
      <c r="G477" s="2"/>
    </row>
    <row r="478" spans="1:7">
      <c r="A478" s="98"/>
      <c r="B478" s="98"/>
      <c r="C478" s="98"/>
      <c r="D478" s="1255"/>
      <c r="E478" s="1255"/>
      <c r="F478" s="1255"/>
      <c r="G478" s="2"/>
    </row>
    <row r="479" spans="1:7">
      <c r="A479" s="98"/>
      <c r="B479" s="98"/>
      <c r="C479" s="98"/>
      <c r="D479" s="1255"/>
      <c r="E479" s="1255"/>
      <c r="F479" s="1255"/>
      <c r="G479" s="2"/>
    </row>
    <row r="480" spans="1:7">
      <c r="A480" s="98"/>
      <c r="B480" s="98"/>
      <c r="C480" s="98"/>
      <c r="D480" s="120"/>
      <c r="E480" s="2"/>
      <c r="F480" s="68"/>
      <c r="G480" s="2"/>
    </row>
    <row r="481" spans="1:6" ht="14.5" customHeight="1">
      <c r="A481" s="99"/>
      <c r="B481" s="1175" t="s">
        <v>294</v>
      </c>
      <c r="C481" s="98"/>
      <c r="D481" s="1255" t="s">
        <v>408</v>
      </c>
      <c r="E481" s="1255"/>
      <c r="F481" s="1255"/>
    </row>
    <row r="482" spans="1:6">
      <c r="A482" s="98"/>
      <c r="B482" s="98"/>
      <c r="C482" s="98"/>
      <c r="D482" s="1255"/>
      <c r="E482" s="1255"/>
      <c r="F482" s="1255"/>
    </row>
    <row r="483" spans="1:6">
      <c r="A483" s="98"/>
      <c r="B483" s="98"/>
      <c r="C483" s="98"/>
      <c r="D483" s="1255"/>
      <c r="E483" s="1255"/>
      <c r="F483" s="1255"/>
    </row>
    <row r="484" spans="1:6">
      <c r="A484" s="98"/>
      <c r="B484" s="98"/>
      <c r="C484" s="98"/>
      <c r="D484" s="1255"/>
      <c r="E484" s="1255"/>
      <c r="F484" s="1255"/>
    </row>
    <row r="485" spans="1:6" ht="10" customHeight="1">
      <c r="A485" s="98"/>
      <c r="B485" s="98"/>
      <c r="C485" s="98"/>
      <c r="D485" s="120"/>
      <c r="E485" s="2"/>
      <c r="F485" s="68"/>
    </row>
    <row r="486" spans="1:6" ht="14.5" customHeight="1">
      <c r="A486" s="99"/>
      <c r="B486" s="1175" t="s">
        <v>294</v>
      </c>
      <c r="C486" s="98"/>
      <c r="D486" s="1255" t="s">
        <v>409</v>
      </c>
      <c r="E486" s="1255"/>
      <c r="F486" s="1255"/>
    </row>
    <row r="487" spans="1:6">
      <c r="A487" s="98"/>
      <c r="B487" s="98"/>
      <c r="C487" s="98"/>
      <c r="D487" s="1255"/>
      <c r="E487" s="1255"/>
      <c r="F487" s="1255"/>
    </row>
    <row r="488" spans="1:6">
      <c r="A488" s="98"/>
      <c r="B488" s="98"/>
      <c r="C488" s="98"/>
      <c r="D488" s="1255"/>
      <c r="E488" s="1255"/>
      <c r="F488" s="1255"/>
    </row>
    <row r="489" spans="1:6">
      <c r="A489" s="98"/>
      <c r="B489" s="98"/>
      <c r="C489" s="98"/>
      <c r="D489" s="1114"/>
      <c r="E489" s="1114"/>
      <c r="F489" s="1114"/>
    </row>
    <row r="490" spans="1:6" ht="14.5" customHeight="1">
      <c r="A490" s="99"/>
      <c r="B490" s="1175" t="s">
        <v>294</v>
      </c>
      <c r="C490" s="98"/>
      <c r="D490" s="1255" t="s">
        <v>410</v>
      </c>
      <c r="E490" s="1255"/>
      <c r="F490" s="1255"/>
    </row>
    <row r="491" spans="1:6">
      <c r="A491" s="98"/>
      <c r="B491" s="98"/>
      <c r="C491" s="98"/>
      <c r="D491" s="1255"/>
      <c r="E491" s="1255"/>
      <c r="F491" s="1255"/>
    </row>
    <row r="492" spans="1:6">
      <c r="A492" s="98"/>
      <c r="B492" s="98"/>
      <c r="C492" s="98"/>
      <c r="D492" s="1255"/>
      <c r="E492" s="1255"/>
      <c r="F492" s="1255"/>
    </row>
    <row r="493" spans="1:6">
      <c r="A493" s="98"/>
      <c r="B493" s="98"/>
      <c r="C493" s="98"/>
      <c r="D493" s="1255"/>
      <c r="E493" s="1255"/>
      <c r="F493" s="1255"/>
    </row>
    <row r="494" spans="1:6">
      <c r="A494" s="98"/>
      <c r="B494" s="98"/>
      <c r="C494" s="98"/>
      <c r="D494" s="1255"/>
      <c r="E494" s="1255"/>
      <c r="F494" s="1255"/>
    </row>
    <row r="495" spans="1:6">
      <c r="A495" s="98"/>
      <c r="B495" s="98"/>
      <c r="C495" s="98"/>
      <c r="D495" s="1255"/>
      <c r="E495" s="1255"/>
      <c r="F495" s="1255"/>
    </row>
    <row r="496" spans="1:6">
      <c r="A496" s="98"/>
      <c r="B496" s="98"/>
      <c r="C496" s="98"/>
      <c r="D496" s="1255"/>
      <c r="E496" s="1255"/>
      <c r="F496" s="1255"/>
    </row>
    <row r="497" spans="1:7">
      <c r="A497" s="98"/>
      <c r="B497" s="98"/>
      <c r="C497" s="98"/>
      <c r="D497" s="1255"/>
      <c r="E497" s="1255"/>
      <c r="F497" s="1255"/>
      <c r="G497" s="2"/>
    </row>
    <row r="498" spans="1:7">
      <c r="A498" s="98"/>
      <c r="B498" s="98"/>
      <c r="C498" s="98"/>
      <c r="D498" s="1255"/>
      <c r="E498" s="1255"/>
      <c r="F498" s="1255"/>
      <c r="G498" s="2"/>
    </row>
    <row r="499" spans="1:7">
      <c r="A499" s="98"/>
      <c r="B499" s="98"/>
      <c r="C499" s="98"/>
      <c r="D499" s="120"/>
      <c r="E499" s="2"/>
      <c r="F499" s="68"/>
      <c r="G499" s="2"/>
    </row>
    <row r="500" spans="1:7" ht="13.25" customHeight="1">
      <c r="A500" s="98"/>
      <c r="B500" s="1175" t="s">
        <v>294</v>
      </c>
      <c r="C500" s="98"/>
      <c r="D500" s="1224" t="s">
        <v>411</v>
      </c>
      <c r="E500" s="1224"/>
      <c r="F500" s="1224"/>
      <c r="G500" s="2"/>
    </row>
    <row r="501" spans="1:7">
      <c r="A501" s="98"/>
      <c r="B501" s="98"/>
      <c r="C501" s="98"/>
      <c r="D501" s="1224"/>
      <c r="E501" s="1224"/>
      <c r="F501" s="1224"/>
      <c r="G501" s="2"/>
    </row>
    <row r="502" spans="1:7">
      <c r="A502" s="98"/>
      <c r="B502" s="98"/>
      <c r="C502" s="98"/>
      <c r="D502" s="1224"/>
      <c r="E502" s="1224"/>
      <c r="F502" s="1224"/>
      <c r="G502" s="2"/>
    </row>
    <row r="503" spans="1:7">
      <c r="A503" s="98"/>
      <c r="B503" s="98"/>
      <c r="C503" s="98"/>
      <c r="D503" s="1224"/>
      <c r="E503" s="1224"/>
      <c r="F503" s="1224"/>
      <c r="G503" s="2"/>
    </row>
    <row r="504" spans="1:7">
      <c r="A504" s="98"/>
      <c r="B504" s="98"/>
      <c r="C504" s="98"/>
      <c r="D504" s="1224"/>
      <c r="E504" s="1224"/>
      <c r="F504" s="1224"/>
      <c r="G504" s="2"/>
    </row>
    <row r="505" spans="1:7">
      <c r="A505" s="98"/>
      <c r="B505" s="98"/>
      <c r="C505" s="98"/>
      <c r="D505" s="1104"/>
      <c r="E505" s="1104"/>
      <c r="F505" s="1104"/>
      <c r="G505" s="2"/>
    </row>
    <row r="506" spans="1:7" ht="14.5" customHeight="1">
      <c r="A506" s="99"/>
      <c r="B506" s="1175" t="s">
        <v>294</v>
      </c>
      <c r="C506" s="1141"/>
      <c r="D506" s="1255" t="s">
        <v>412</v>
      </c>
      <c r="E506" s="1255"/>
      <c r="F506" s="1255"/>
      <c r="G506" s="2"/>
    </row>
    <row r="507" spans="1:7">
      <c r="A507" s="1141"/>
      <c r="B507" s="1141"/>
      <c r="C507" s="1141"/>
      <c r="D507" s="1255"/>
      <c r="E507" s="1255"/>
      <c r="F507" s="1255"/>
      <c r="G507" s="2"/>
    </row>
    <row r="508" spans="1:7">
      <c r="A508" s="1141"/>
      <c r="B508" s="1141"/>
      <c r="C508" s="1141"/>
      <c r="D508" s="1255"/>
      <c r="E508" s="1255"/>
      <c r="F508" s="1255"/>
      <c r="G508" s="2"/>
    </row>
    <row r="509" spans="1:7" ht="12" customHeight="1">
      <c r="A509" s="68"/>
      <c r="B509" s="68"/>
      <c r="C509" s="806"/>
      <c r="D509" s="68"/>
      <c r="E509" s="2"/>
      <c r="F509" s="1109"/>
      <c r="G509" s="2"/>
    </row>
    <row r="510" spans="1:7">
      <c r="A510" s="1242" t="s">
        <v>413</v>
      </c>
      <c r="B510" s="1242"/>
      <c r="C510" s="1242"/>
      <c r="D510" s="1242"/>
      <c r="E510" s="1242"/>
      <c r="F510" s="1242"/>
      <c r="G510" s="1242"/>
    </row>
    <row r="511" spans="1:7">
      <c r="A511" s="68"/>
      <c r="B511" s="68"/>
      <c r="C511" s="806"/>
      <c r="D511" s="2"/>
      <c r="E511" s="2"/>
      <c r="F511" s="1109"/>
      <c r="G511" s="2"/>
    </row>
    <row r="512" spans="1:7">
      <c r="A512" s="1141"/>
      <c r="B512" s="1239" t="s">
        <v>334</v>
      </c>
      <c r="C512" s="1239"/>
      <c r="D512" s="1239"/>
      <c r="E512" s="1239"/>
      <c r="F512" s="1239"/>
      <c r="G512" s="2"/>
    </row>
    <row r="513" spans="1:7">
      <c r="A513" s="68"/>
      <c r="B513" s="68"/>
      <c r="C513" s="806"/>
      <c r="D513" s="68"/>
      <c r="E513" s="2"/>
      <c r="F513" s="68"/>
      <c r="G513" s="2"/>
    </row>
    <row r="514" spans="1:7">
      <c r="A514" s="1243" t="s">
        <v>414</v>
      </c>
      <c r="B514" s="1243"/>
      <c r="C514" s="1243"/>
      <c r="D514" s="1243"/>
      <c r="E514" s="1243"/>
      <c r="F514" s="1243"/>
      <c r="G514" s="1243"/>
    </row>
    <row r="515" spans="1:7">
      <c r="A515" s="68"/>
      <c r="B515" s="68"/>
      <c r="C515" s="806"/>
      <c r="D515" s="68"/>
      <c r="E515" s="2"/>
      <c r="F515" s="68"/>
      <c r="G515" s="2"/>
    </row>
    <row r="516" spans="1:7">
      <c r="A516" s="1141"/>
      <c r="B516" s="1141"/>
      <c r="C516" s="806"/>
      <c r="D516" s="1240" t="s">
        <v>415</v>
      </c>
      <c r="E516" s="1240"/>
      <c r="F516" s="1240"/>
      <c r="G516" s="2"/>
    </row>
    <row r="517" spans="1:7">
      <c r="A517" s="1141"/>
      <c r="B517" s="1141"/>
      <c r="C517" s="806"/>
      <c r="D517" s="1241" t="s">
        <v>416</v>
      </c>
      <c r="E517" s="1241"/>
      <c r="F517" s="1241"/>
      <c r="G517" s="2"/>
    </row>
    <row r="518" spans="1:7">
      <c r="A518" s="1141"/>
      <c r="B518" s="1141"/>
      <c r="C518" s="806"/>
      <c r="D518" s="68"/>
      <c r="E518" s="68"/>
      <c r="F518" s="68"/>
      <c r="G518" s="2"/>
    </row>
    <row r="519" spans="1:7" ht="13.25" customHeight="1">
      <c r="A519" s="99"/>
      <c r="B519" s="1175" t="s">
        <v>294</v>
      </c>
      <c r="C519" s="806"/>
      <c r="D519" s="1241" t="s">
        <v>417</v>
      </c>
      <c r="E519" s="1241"/>
      <c r="F519" s="1241"/>
      <c r="G519"/>
    </row>
    <row r="520" spans="1:7" ht="13.25" customHeight="1">
      <c r="A520" s="806"/>
      <c r="B520" s="806"/>
      <c r="C520" s="806"/>
      <c r="D520" s="68"/>
      <c r="E520"/>
      <c r="F520"/>
      <c r="G520"/>
    </row>
    <row r="521" spans="1:7">
      <c r="A521" s="99"/>
      <c r="B521" s="1175" t="s">
        <v>294</v>
      </c>
      <c r="C521" s="806"/>
      <c r="D521" s="1221" t="s">
        <v>418</v>
      </c>
      <c r="E521" s="1221"/>
      <c r="F521" s="1221"/>
      <c r="G521"/>
    </row>
    <row r="522" spans="1:7">
      <c r="A522" s="806"/>
      <c r="B522" s="806"/>
      <c r="C522" s="806"/>
      <c r="D522" s="1221"/>
      <c r="E522" s="1221"/>
      <c r="F522" s="1221"/>
      <c r="G522"/>
    </row>
    <row r="523" spans="1:7">
      <c r="A523" s="806"/>
      <c r="B523" s="806"/>
      <c r="C523" s="806"/>
      <c r="D523" s="68"/>
      <c r="E523" s="68"/>
      <c r="F523" s="68"/>
      <c r="G523"/>
    </row>
    <row r="524" spans="1:7">
      <c r="A524" s="99"/>
      <c r="B524" s="1175" t="s">
        <v>294</v>
      </c>
      <c r="C524" s="806"/>
      <c r="D524" s="1221" t="s">
        <v>419</v>
      </c>
      <c r="E524" s="1221"/>
      <c r="F524" s="1221"/>
      <c r="G524"/>
    </row>
    <row r="525" spans="1:7">
      <c r="A525" s="806"/>
      <c r="B525" s="806"/>
      <c r="C525" s="806"/>
      <c r="D525" s="1221"/>
      <c r="E525" s="1221"/>
      <c r="F525" s="1221"/>
      <c r="G525"/>
    </row>
    <row r="526" spans="1:7">
      <c r="A526" s="806"/>
      <c r="B526" s="806"/>
      <c r="C526" s="806"/>
      <c r="D526" s="68"/>
      <c r="E526" s="68"/>
      <c r="F526" s="68"/>
      <c r="G526"/>
    </row>
    <row r="527" spans="1:7">
      <c r="A527" s="99"/>
      <c r="B527" s="1175" t="s">
        <v>294</v>
      </c>
      <c r="C527" s="806"/>
      <c r="D527" s="1221" t="s">
        <v>420</v>
      </c>
      <c r="E527" s="1221"/>
      <c r="F527" s="1221"/>
      <c r="G527"/>
    </row>
    <row r="528" spans="1:7">
      <c r="A528" s="806"/>
      <c r="B528" s="806"/>
      <c r="C528" s="806"/>
      <c r="D528" s="1221"/>
      <c r="E528" s="1221"/>
      <c r="F528" s="1221"/>
      <c r="G528"/>
    </row>
    <row r="529" spans="1:7">
      <c r="A529" s="806"/>
      <c r="B529" s="806"/>
      <c r="C529" s="806"/>
      <c r="D529" s="68"/>
      <c r="E529" s="68"/>
      <c r="F529" s="68"/>
      <c r="G529"/>
    </row>
    <row r="530" spans="1:7">
      <c r="A530" s="99"/>
      <c r="B530" s="1175" t="s">
        <v>294</v>
      </c>
      <c r="C530" s="806"/>
      <c r="D530" s="1221" t="s">
        <v>421</v>
      </c>
      <c r="E530" s="1221"/>
      <c r="F530" s="1221"/>
      <c r="G530"/>
    </row>
    <row r="531" spans="1:7">
      <c r="A531" s="806"/>
      <c r="B531" s="806"/>
      <c r="C531" s="806"/>
      <c r="D531" s="1221"/>
      <c r="E531" s="1221"/>
      <c r="F531" s="1221"/>
      <c r="G531"/>
    </row>
    <row r="532" spans="1:7">
      <c r="A532" s="806"/>
      <c r="B532" s="806"/>
      <c r="C532" s="806"/>
      <c r="D532" s="1221"/>
      <c r="E532" s="1221"/>
      <c r="F532" s="1221"/>
      <c r="G532"/>
    </row>
    <row r="533" spans="1:7">
      <c r="A533" s="806"/>
      <c r="B533" s="806"/>
      <c r="C533" s="806"/>
      <c r="D533" s="68"/>
      <c r="E533" s="68"/>
      <c r="F533" s="68"/>
      <c r="G533" s="2"/>
    </row>
    <row r="534" spans="1:7">
      <c r="A534" s="99"/>
      <c r="B534" s="1175" t="s">
        <v>294</v>
      </c>
      <c r="C534" s="806"/>
      <c r="D534" s="1221" t="s">
        <v>422</v>
      </c>
      <c r="E534" s="1221"/>
      <c r="F534" s="1221"/>
      <c r="G534" s="2"/>
    </row>
    <row r="535" spans="1:7">
      <c r="A535" s="806"/>
      <c r="B535" s="806"/>
      <c r="C535" s="806"/>
      <c r="D535" s="1221"/>
      <c r="E535" s="1221"/>
      <c r="F535" s="1221"/>
      <c r="G535" s="2"/>
    </row>
    <row r="536" spans="1:7">
      <c r="A536" s="806"/>
      <c r="B536" s="806"/>
      <c r="C536" s="806"/>
      <c r="D536" s="68"/>
      <c r="E536" s="68"/>
      <c r="F536" s="68"/>
      <c r="G536" s="2"/>
    </row>
    <row r="537" spans="1:7">
      <c r="A537" s="99"/>
      <c r="B537" s="1175" t="s">
        <v>294</v>
      </c>
      <c r="C537" s="806"/>
      <c r="D537" s="1221" t="s">
        <v>423</v>
      </c>
      <c r="E537" s="1221"/>
      <c r="F537" s="1221"/>
      <c r="G537" s="2"/>
    </row>
    <row r="538" spans="1:7">
      <c r="A538" s="806"/>
      <c r="B538" s="806"/>
      <c r="C538" s="806"/>
      <c r="D538" s="1221"/>
      <c r="E538" s="1221"/>
      <c r="F538" s="1221"/>
      <c r="G538" s="2"/>
    </row>
    <row r="539" spans="1:7">
      <c r="A539" s="806"/>
      <c r="B539" s="806"/>
      <c r="C539" s="806"/>
      <c r="D539" s="68"/>
      <c r="E539" s="68"/>
      <c r="F539" s="68"/>
      <c r="G539" s="2"/>
    </row>
    <row r="540" spans="1:7">
      <c r="A540" s="99"/>
      <c r="B540" s="1175" t="s">
        <v>294</v>
      </c>
      <c r="C540" s="806"/>
      <c r="D540" s="1221" t="s">
        <v>424</v>
      </c>
      <c r="E540" s="1221"/>
      <c r="F540" s="1221"/>
      <c r="G540" s="2"/>
    </row>
    <row r="541" spans="1:7">
      <c r="A541" s="806"/>
      <c r="B541" s="806"/>
      <c r="C541" s="806"/>
      <c r="D541" s="1221"/>
      <c r="E541" s="1221"/>
      <c r="F541" s="1221"/>
      <c r="G541" s="2"/>
    </row>
    <row r="542" spans="1:7">
      <c r="A542" s="806"/>
      <c r="B542" s="806"/>
      <c r="C542" s="806"/>
      <c r="D542" s="68"/>
      <c r="E542" s="68"/>
      <c r="F542" s="68"/>
      <c r="G542" s="2"/>
    </row>
    <row r="543" spans="1:7">
      <c r="A543" s="99"/>
      <c r="B543" s="1175" t="s">
        <v>294</v>
      </c>
      <c r="C543" s="806"/>
      <c r="D543" s="1241" t="s">
        <v>425</v>
      </c>
      <c r="E543" s="1241"/>
      <c r="F543" s="1241"/>
      <c r="G543" s="2"/>
    </row>
    <row r="544" spans="1:7">
      <c r="A544" s="1118"/>
      <c r="B544" s="1118"/>
      <c r="C544" s="806"/>
      <c r="D544" s="1241" t="s">
        <v>426</v>
      </c>
      <c r="E544" s="1241"/>
      <c r="F544" s="1241"/>
      <c r="G544" s="2"/>
    </row>
    <row r="545" spans="1:7">
      <c r="A545" s="1118"/>
      <c r="B545" s="1118"/>
      <c r="C545" s="806"/>
      <c r="D545" s="2"/>
      <c r="E545" s="1245" t="s">
        <v>427</v>
      </c>
      <c r="F545" s="1245"/>
      <c r="G545" s="2"/>
    </row>
    <row r="546" spans="1:7">
      <c r="A546" s="99"/>
      <c r="B546" s="99"/>
      <c r="C546" s="806"/>
      <c r="D546" s="2"/>
      <c r="E546" s="68"/>
      <c r="F546" s="68"/>
      <c r="G546" s="2"/>
    </row>
    <row r="547" spans="1:7">
      <c r="A547" s="99"/>
      <c r="B547" s="1175" t="s">
        <v>294</v>
      </c>
      <c r="C547" s="806"/>
      <c r="D547" s="1241" t="s">
        <v>428</v>
      </c>
      <c r="E547" s="1241"/>
      <c r="F547" s="1241"/>
      <c r="G547" s="2"/>
    </row>
    <row r="548" spans="1:7">
      <c r="A548" s="1141"/>
      <c r="B548" s="1141"/>
      <c r="C548" s="806"/>
      <c r="D548" s="1221" t="s">
        <v>429</v>
      </c>
      <c r="E548" s="1221"/>
      <c r="F548" s="1221"/>
      <c r="G548" s="2"/>
    </row>
    <row r="549" spans="1:7">
      <c r="A549" s="806"/>
      <c r="B549" s="806"/>
      <c r="C549" s="806"/>
      <c r="D549" s="1221"/>
      <c r="E549" s="1221"/>
      <c r="F549" s="1221"/>
      <c r="G549" s="2"/>
    </row>
    <row r="550" spans="1:7">
      <c r="A550" s="806"/>
      <c r="B550" s="806"/>
      <c r="C550" s="806"/>
      <c r="D550" s="1221"/>
      <c r="E550" s="1221"/>
      <c r="F550" s="1221"/>
      <c r="G550" s="2"/>
    </row>
    <row r="551" spans="1:7">
      <c r="A551" s="806"/>
      <c r="B551" s="806"/>
      <c r="C551" s="806"/>
      <c r="D551" s="68"/>
      <c r="E551" s="68"/>
      <c r="F551" s="68"/>
      <c r="G551" s="2"/>
    </row>
    <row r="552" spans="1:7">
      <c r="A552" s="99"/>
      <c r="B552" s="1175" t="s">
        <v>294</v>
      </c>
      <c r="C552" s="806"/>
      <c r="D552" s="1221" t="s">
        <v>430</v>
      </c>
      <c r="E552" s="1221"/>
      <c r="F552" s="1221"/>
      <c r="G552" s="2"/>
    </row>
    <row r="553" spans="1:7">
      <c r="A553" s="99"/>
      <c r="B553" s="99"/>
      <c r="C553" s="806"/>
      <c r="D553" s="1221"/>
      <c r="E553" s="1221"/>
      <c r="F553" s="1221"/>
      <c r="G553" s="2"/>
    </row>
    <row r="554" spans="1:7">
      <c r="A554" s="99"/>
      <c r="B554" s="99"/>
      <c r="C554" s="806"/>
      <c r="D554" s="1221"/>
      <c r="E554" s="1221"/>
      <c r="F554" s="1221"/>
      <c r="G554" s="2"/>
    </row>
    <row r="555" spans="1:7">
      <c r="A555" s="99"/>
      <c r="B555" s="99"/>
      <c r="C555" s="806"/>
      <c r="D555" s="1221"/>
      <c r="E555" s="1221"/>
      <c r="F555" s="1221"/>
      <c r="G555" s="2"/>
    </row>
    <row r="556" spans="1:7">
      <c r="A556" s="99"/>
      <c r="B556" s="99"/>
      <c r="C556" s="806"/>
      <c r="D556" s="68"/>
      <c r="E556" s="68"/>
      <c r="F556" s="68"/>
      <c r="G556" s="2"/>
    </row>
    <row r="557" spans="1:7">
      <c r="A557" s="1242" t="s">
        <v>431</v>
      </c>
      <c r="B557" s="1242"/>
      <c r="C557" s="1242"/>
      <c r="D557" s="1242"/>
      <c r="E557" s="1242"/>
      <c r="F557" s="1242"/>
      <c r="G557" s="1242"/>
    </row>
    <row r="558" spans="1:7">
      <c r="A558" s="806"/>
      <c r="B558" s="806"/>
      <c r="C558" s="806"/>
      <c r="D558" s="2"/>
      <c r="E558" s="68"/>
      <c r="F558" s="68"/>
      <c r="G558" s="2"/>
    </row>
    <row r="559" spans="1:7" ht="12.75" customHeight="1">
      <c r="A559" s="1141"/>
      <c r="B559" s="1141"/>
      <c r="C559" s="1116"/>
      <c r="D559" s="1251" t="s">
        <v>432</v>
      </c>
      <c r="E559" s="1251"/>
      <c r="F559" s="1251"/>
      <c r="G559" s="2"/>
    </row>
    <row r="560" spans="1:7">
      <c r="A560" s="98"/>
      <c r="B560" s="98"/>
      <c r="C560" s="98"/>
      <c r="D560" s="1256" t="s">
        <v>433</v>
      </c>
      <c r="E560" s="1256"/>
      <c r="F560" s="1256"/>
      <c r="G560" s="2"/>
    </row>
    <row r="561" spans="1:6">
      <c r="A561"/>
      <c r="B561"/>
      <c r="C561" s="98"/>
      <c r="D561" s="149"/>
      <c r="E561" s="2"/>
      <c r="F561" s="2"/>
    </row>
    <row r="562" spans="1:6">
      <c r="A562" s="98"/>
      <c r="B562" s="1175" t="s">
        <v>294</v>
      </c>
      <c r="C562" s="1141"/>
      <c r="D562" s="1256" t="s">
        <v>434</v>
      </c>
      <c r="E562" s="1256"/>
      <c r="F562" s="1256"/>
    </row>
    <row r="563" spans="1:6">
      <c r="A563" s="1118"/>
      <c r="B563" s="1118"/>
      <c r="C563" s="1141"/>
      <c r="D563" s="118"/>
      <c r="E563" s="2"/>
      <c r="F563" s="2"/>
    </row>
    <row r="564" spans="1:6">
      <c r="A564" s="1118"/>
      <c r="B564" s="1175" t="s">
        <v>294</v>
      </c>
      <c r="C564" s="1141"/>
      <c r="D564" s="1256" t="s">
        <v>435</v>
      </c>
      <c r="E564" s="1256"/>
      <c r="F564" s="1256"/>
    </row>
    <row r="565" spans="1:6">
      <c r="A565" s="1118"/>
      <c r="B565" s="1118"/>
      <c r="C565" s="1141"/>
      <c r="D565" s="1256"/>
      <c r="E565" s="1256"/>
      <c r="F565" s="1256"/>
    </row>
    <row r="566" spans="1:6">
      <c r="A566" s="1118"/>
      <c r="B566" s="1118"/>
      <c r="C566" s="1141"/>
      <c r="D566" s="1256"/>
      <c r="E566" s="1256"/>
      <c r="F566" s="1256"/>
    </row>
    <row r="567" spans="1:6">
      <c r="A567" s="1118"/>
      <c r="B567" s="1118"/>
      <c r="C567" s="1141"/>
      <c r="D567" s="149"/>
      <c r="E567" s="2"/>
      <c r="F567" s="2"/>
    </row>
    <row r="568" spans="1:6">
      <c r="A568" s="1118"/>
      <c r="B568" s="1175" t="s">
        <v>294</v>
      </c>
      <c r="C568" s="1141"/>
      <c r="D568" s="1256" t="s">
        <v>436</v>
      </c>
      <c r="E568" s="1256"/>
      <c r="F568" s="1256"/>
    </row>
    <row r="569" spans="1:6">
      <c r="A569" s="1118"/>
      <c r="B569" s="1118"/>
      <c r="C569" s="1141"/>
      <c r="D569" s="1256"/>
      <c r="E569" s="1256"/>
      <c r="F569" s="1256"/>
    </row>
    <row r="570" spans="1:6">
      <c r="A570" s="1118"/>
      <c r="B570" s="1118"/>
      <c r="C570" s="1141"/>
      <c r="D570" s="1256"/>
      <c r="E570" s="1256"/>
      <c r="F570" s="1256"/>
    </row>
    <row r="571" spans="1:6">
      <c r="A571" s="1118"/>
      <c r="B571" s="1118"/>
      <c r="C571" s="1141"/>
      <c r="D571" s="1256"/>
      <c r="E571" s="1256"/>
      <c r="F571" s="1256"/>
    </row>
    <row r="572" spans="1:6">
      <c r="A572" s="1118"/>
      <c r="B572" s="1118"/>
      <c r="C572" s="1141"/>
      <c r="D572" s="1107"/>
      <c r="E572" s="1107"/>
      <c r="F572" s="1107"/>
    </row>
    <row r="573" spans="1:6">
      <c r="A573" s="1118"/>
      <c r="B573" s="1175" t="s">
        <v>294</v>
      </c>
      <c r="C573" s="1141"/>
      <c r="D573" s="1256" t="s">
        <v>437</v>
      </c>
      <c r="E573" s="1256"/>
      <c r="F573" s="1256"/>
    </row>
    <row r="574" spans="1:6">
      <c r="A574" s="1118"/>
      <c r="B574" s="1118"/>
      <c r="C574" s="1141"/>
      <c r="D574" s="1256"/>
      <c r="E574" s="1256"/>
      <c r="F574" s="1256"/>
    </row>
    <row r="575" spans="1:6">
      <c r="A575" s="1118"/>
      <c r="B575" s="1118"/>
      <c r="C575" s="1141"/>
      <c r="D575" s="149"/>
      <c r="E575" s="2"/>
      <c r="F575" s="2"/>
    </row>
    <row r="576" spans="1:6">
      <c r="A576" s="1118"/>
      <c r="B576" s="1175" t="s">
        <v>294</v>
      </c>
      <c r="C576" s="1141"/>
      <c r="D576" s="1256" t="s">
        <v>438</v>
      </c>
      <c r="E576" s="1256"/>
      <c r="F576" s="1256"/>
    </row>
    <row r="577" spans="1:7">
      <c r="A577" s="1118"/>
      <c r="B577" s="1118"/>
      <c r="C577" s="1141"/>
      <c r="D577" s="1256"/>
      <c r="E577" s="1256"/>
      <c r="F577" s="1256"/>
      <c r="G577" s="2"/>
    </row>
    <row r="578" spans="1:7">
      <c r="A578" s="1118"/>
      <c r="B578" s="1118"/>
      <c r="C578" s="1141"/>
      <c r="D578" s="149"/>
      <c r="E578" s="2"/>
      <c r="F578" s="2"/>
      <c r="G578" s="2"/>
    </row>
    <row r="579" spans="1:7">
      <c r="A579" s="99"/>
      <c r="B579" s="1175" t="s">
        <v>294</v>
      </c>
      <c r="C579" s="1141"/>
      <c r="D579" s="1256" t="s">
        <v>439</v>
      </c>
      <c r="E579" s="1256"/>
      <c r="F579" s="1256"/>
      <c r="G579" s="2"/>
    </row>
    <row r="580" spans="1:7">
      <c r="A580" s="99"/>
      <c r="B580" s="99"/>
      <c r="C580" s="1141"/>
      <c r="D580" s="149"/>
      <c r="E580" s="2"/>
      <c r="F580" s="2"/>
      <c r="G580" s="2"/>
    </row>
    <row r="581" spans="1:7">
      <c r="A581" s="99"/>
      <c r="B581" s="1175" t="s">
        <v>294</v>
      </c>
      <c r="C581" s="1141"/>
      <c r="D581" s="1256" t="s">
        <v>440</v>
      </c>
      <c r="E581" s="1256"/>
      <c r="F581" s="1256"/>
      <c r="G581" s="2"/>
    </row>
    <row r="582" spans="1:7">
      <c r="A582" s="99"/>
      <c r="B582" s="99"/>
      <c r="C582" s="1141"/>
      <c r="D582" s="1256"/>
      <c r="E582" s="1256"/>
      <c r="F582" s="1256"/>
      <c r="G582" s="2"/>
    </row>
    <row r="583" spans="1:7">
      <c r="A583" s="1141"/>
      <c r="B583" s="1141"/>
      <c r="C583" s="1141"/>
      <c r="D583" s="1256"/>
      <c r="E583" s="1256"/>
      <c r="F583" s="1256"/>
      <c r="G583" s="2"/>
    </row>
    <row r="584" spans="1:7">
      <c r="A584" s="1141"/>
      <c r="B584" s="1141"/>
      <c r="C584" s="1141"/>
      <c r="D584" s="1256"/>
      <c r="E584" s="1256"/>
      <c r="F584" s="1256"/>
      <c r="G584" s="2"/>
    </row>
    <row r="585" spans="1:7">
      <c r="A585" s="1141"/>
      <c r="B585" s="1141"/>
      <c r="C585" s="1141"/>
      <c r="D585" s="1256"/>
      <c r="E585" s="1256"/>
      <c r="F585" s="1256"/>
      <c r="G585" s="2"/>
    </row>
    <row r="586" spans="1:7">
      <c r="A586" s="1141"/>
      <c r="B586" s="1141"/>
      <c r="C586" s="1141"/>
      <c r="D586" s="1256"/>
      <c r="E586" s="1256"/>
      <c r="F586" s="1256"/>
      <c r="G586" s="2"/>
    </row>
    <row r="587" spans="1:7">
      <c r="A587" s="1141"/>
      <c r="B587" s="1141"/>
      <c r="C587" s="1141"/>
      <c r="D587" s="2"/>
      <c r="E587" s="2"/>
      <c r="F587" s="2"/>
      <c r="G587" s="2"/>
    </row>
    <row r="588" spans="1:7">
      <c r="A588" s="1242" t="s">
        <v>441</v>
      </c>
      <c r="B588" s="1242"/>
      <c r="C588" s="1242"/>
      <c r="D588" s="1242"/>
      <c r="E588" s="1242"/>
      <c r="F588" s="1242"/>
      <c r="G588" s="1242"/>
    </row>
    <row r="589" spans="1:7">
      <c r="A589" s="1141"/>
      <c r="B589" s="1141"/>
      <c r="C589" s="1141"/>
      <c r="D589" s="2"/>
      <c r="E589" s="2"/>
      <c r="F589" s="2"/>
      <c r="G589" s="2"/>
    </row>
    <row r="590" spans="1:7">
      <c r="A590" s="1141"/>
      <c r="B590" s="1141"/>
      <c r="C590" s="1141"/>
      <c r="D590" s="1234" t="s">
        <v>442</v>
      </c>
      <c r="E590" s="1234"/>
      <c r="F590" s="1234"/>
      <c r="G590" s="2"/>
    </row>
    <row r="591" spans="1:7">
      <c r="A591" s="1141"/>
      <c r="B591" s="1141"/>
      <c r="C591" s="1141"/>
      <c r="D591" s="1235" t="s">
        <v>443</v>
      </c>
      <c r="E591" s="1235"/>
      <c r="F591" s="1235"/>
      <c r="G591" s="2"/>
    </row>
    <row r="592" spans="1:7">
      <c r="A592" s="1141"/>
      <c r="B592" s="1141"/>
      <c r="C592" s="1141"/>
      <c r="D592" s="1124"/>
      <c r="E592" s="291"/>
      <c r="F592" s="291"/>
      <c r="G592" s="2"/>
    </row>
    <row r="593" spans="1:7">
      <c r="A593" s="99"/>
      <c r="B593" s="1175" t="s">
        <v>294</v>
      </c>
      <c r="C593" s="1141"/>
      <c r="D593" s="1236" t="s">
        <v>444</v>
      </c>
      <c r="E593" s="1236"/>
      <c r="F593" s="1236"/>
      <c r="G593" s="2"/>
    </row>
    <row r="594" spans="1:7">
      <c r="A594" s="1141"/>
      <c r="B594" s="1141"/>
      <c r="C594" s="1141"/>
      <c r="D594" s="1236"/>
      <c r="E594" s="1236"/>
      <c r="F594" s="1236"/>
      <c r="G594" s="2"/>
    </row>
    <row r="595" spans="1:7">
      <c r="A595" s="1141"/>
      <c r="B595" s="1141"/>
      <c r="C595" s="1141"/>
      <c r="D595" s="1236"/>
      <c r="E595" s="1236"/>
      <c r="F595" s="1236"/>
      <c r="G595" s="2"/>
    </row>
    <row r="596" spans="1:7">
      <c r="A596" s="1141"/>
      <c r="B596" s="1141"/>
      <c r="C596" s="1141"/>
      <c r="D596" s="2"/>
      <c r="E596" s="2"/>
      <c r="F596" s="2"/>
      <c r="G596" s="2"/>
    </row>
    <row r="597" spans="1:7">
      <c r="A597" s="1242" t="s">
        <v>445</v>
      </c>
      <c r="B597" s="1242"/>
      <c r="C597" s="1242"/>
      <c r="D597" s="1242"/>
      <c r="E597" s="1242"/>
      <c r="F597" s="1242"/>
      <c r="G597" s="1242"/>
    </row>
    <row r="598" spans="1:7">
      <c r="A598" s="68"/>
      <c r="B598" s="68"/>
      <c r="C598" s="1141"/>
      <c r="D598" s="2"/>
      <c r="E598" s="2"/>
      <c r="F598" s="2"/>
      <c r="G598" s="2"/>
    </row>
    <row r="599" spans="1:7">
      <c r="A599" s="1116"/>
      <c r="B599" s="1116"/>
      <c r="C599" s="1116"/>
      <c r="D599" s="1237" t="s">
        <v>446</v>
      </c>
      <c r="E599" s="1237"/>
      <c r="F599" s="1237"/>
      <c r="G599" s="2"/>
    </row>
    <row r="600" spans="1:7">
      <c r="A600" s="1116"/>
      <c r="B600" s="1116"/>
      <c r="C600" s="1116"/>
      <c r="D600" s="1237"/>
      <c r="E600" s="1237"/>
      <c r="F600" s="1237"/>
      <c r="G600" s="2"/>
    </row>
    <row r="601" spans="1:7">
      <c r="A601" s="1141"/>
      <c r="B601" s="1141"/>
      <c r="C601" s="98"/>
      <c r="D601" s="1235" t="s">
        <v>447</v>
      </c>
      <c r="E601" s="1235"/>
      <c r="F601" s="1235"/>
      <c r="G601" s="2"/>
    </row>
    <row r="602" spans="1:7">
      <c r="A602" s="1141"/>
      <c r="B602" s="1141"/>
      <c r="C602" s="98"/>
      <c r="D602" s="1124"/>
      <c r="E602" s="1124"/>
      <c r="F602" s="1124"/>
      <c r="G602" s="2"/>
    </row>
    <row r="603" spans="1:7">
      <c r="A603" s="1118"/>
      <c r="B603" s="1175" t="s">
        <v>294</v>
      </c>
      <c r="C603" s="1141"/>
      <c r="D603" s="1235" t="s">
        <v>448</v>
      </c>
      <c r="E603" s="1235"/>
      <c r="F603" s="1235"/>
      <c r="G603" s="2"/>
    </row>
    <row r="604" spans="1:7">
      <c r="A604" s="1141"/>
      <c r="B604" s="1141"/>
      <c r="C604" s="100"/>
      <c r="D604" s="2"/>
      <c r="E604"/>
      <c r="F604" s="2"/>
      <c r="G604" s="2"/>
    </row>
    <row r="605" spans="1:7">
      <c r="A605" s="1118"/>
      <c r="B605" s="1175" t="s">
        <v>294</v>
      </c>
      <c r="C605" s="1141"/>
      <c r="D605" s="1238" t="s">
        <v>449</v>
      </c>
      <c r="E605" s="1238"/>
      <c r="F605" s="1238"/>
      <c r="G605" s="2"/>
    </row>
    <row r="606" spans="1:7">
      <c r="A606" s="1141"/>
      <c r="B606" s="1141"/>
      <c r="C606" s="1141"/>
      <c r="D606" s="1238"/>
      <c r="E606" s="1238"/>
      <c r="F606" s="1238"/>
      <c r="G606" s="2"/>
    </row>
    <row r="607" spans="1:7">
      <c r="A607" s="1141"/>
      <c r="B607" s="1141"/>
      <c r="C607" s="1141"/>
      <c r="D607"/>
      <c r="E607" s="2"/>
      <c r="F607" s="2"/>
      <c r="G607" s="2"/>
    </row>
    <row r="608" spans="1:7">
      <c r="A608" s="1141"/>
      <c r="B608" s="1175" t="s">
        <v>294</v>
      </c>
      <c r="C608" s="1141"/>
      <c r="D608" s="1238" t="s">
        <v>450</v>
      </c>
      <c r="E608" s="1238"/>
      <c r="F608" s="1238"/>
      <c r="G608" s="2"/>
    </row>
    <row r="609" spans="1:7">
      <c r="A609" s="1141"/>
      <c r="B609" s="1141"/>
      <c r="C609" s="100"/>
      <c r="D609" s="1238"/>
      <c r="E609" s="1238"/>
      <c r="F609" s="1238"/>
      <c r="G609" s="2"/>
    </row>
    <row r="610" spans="1:7">
      <c r="A610" s="1141"/>
      <c r="B610" s="1141"/>
      <c r="C610" s="100"/>
      <c r="D610" s="2"/>
      <c r="E610" s="2"/>
      <c r="F610" s="2"/>
      <c r="G610" s="2"/>
    </row>
    <row r="611" spans="1:7">
      <c r="A611" s="1141"/>
      <c r="B611" s="1175" t="s">
        <v>294</v>
      </c>
      <c r="C611" s="100"/>
      <c r="D611" s="1238" t="s">
        <v>451</v>
      </c>
      <c r="E611" s="1238"/>
      <c r="F611" s="1238"/>
      <c r="G611" s="2"/>
    </row>
    <row r="612" spans="1:7">
      <c r="A612" s="1141"/>
      <c r="B612" s="1141"/>
      <c r="C612" s="100"/>
      <c r="D612" s="1238"/>
      <c r="E612" s="1238"/>
      <c r="F612" s="1238"/>
      <c r="G612" s="2"/>
    </row>
    <row r="613" spans="1:7">
      <c r="A613" s="1141"/>
      <c r="B613" s="1141"/>
      <c r="C613" s="100"/>
      <c r="D613" s="2"/>
      <c r="E613" s="2"/>
      <c r="F613" s="2"/>
      <c r="G613" s="2"/>
    </row>
    <row r="614" spans="1:7">
      <c r="A614" s="1242" t="s">
        <v>452</v>
      </c>
      <c r="B614" s="1242"/>
      <c r="C614" s="1242"/>
      <c r="D614" s="1242"/>
      <c r="E614" s="1242"/>
      <c r="F614" s="1242"/>
      <c r="G614" s="1242"/>
    </row>
    <row r="615" spans="1:7">
      <c r="A615" s="1116"/>
      <c r="B615" s="1116"/>
      <c r="C615" s="1116"/>
      <c r="D615" s="2"/>
      <c r="E615" s="2"/>
      <c r="F615" s="2"/>
      <c r="G615" s="2"/>
    </row>
    <row r="616" spans="1:7">
      <c r="A616" s="1141"/>
      <c r="B616" s="1141"/>
      <c r="C616" s="1118"/>
      <c r="D616" s="1234" t="s">
        <v>453</v>
      </c>
      <c r="E616" s="1234"/>
      <c r="F616" s="1234"/>
      <c r="G616" s="2"/>
    </row>
    <row r="617" spans="1:7">
      <c r="A617" s="1118"/>
      <c r="B617" s="1118"/>
      <c r="C617" s="1141"/>
      <c r="D617" s="1"/>
      <c r="E617" s="2"/>
      <c r="F617" s="2"/>
      <c r="G617" s="2"/>
    </row>
    <row r="618" spans="1:7">
      <c r="A618" s="99"/>
      <c r="B618" s="1175" t="s">
        <v>294</v>
      </c>
      <c r="C618" s="1141"/>
      <c r="D618" s="1236" t="s">
        <v>454</v>
      </c>
      <c r="E618" s="1236"/>
      <c r="F618" s="1236"/>
      <c r="G618" s="2"/>
    </row>
    <row r="619" spans="1:7">
      <c r="A619" s="1141"/>
      <c r="B619" s="1141"/>
      <c r="C619" s="1141"/>
      <c r="D619" s="1236"/>
      <c r="E619" s="1236"/>
      <c r="F619" s="1236"/>
      <c r="G619" s="2"/>
    </row>
    <row r="620" spans="1:7">
      <c r="A620" s="1141"/>
      <c r="B620" s="1141"/>
      <c r="C620" s="1141"/>
      <c r="D620" s="1236"/>
      <c r="E620" s="1236"/>
      <c r="F620" s="1236"/>
      <c r="G620" s="2"/>
    </row>
    <row r="621" spans="1:7">
      <c r="A621" s="1141"/>
      <c r="B621" s="1141"/>
      <c r="C621" s="1141"/>
      <c r="D621" s="1236"/>
      <c r="E621" s="1236"/>
      <c r="F621" s="1236"/>
      <c r="G621" s="2"/>
    </row>
    <row r="622" spans="1:7">
      <c r="A622" s="1141"/>
      <c r="B622" s="1141"/>
      <c r="C622" s="1141"/>
      <c r="D622" s="1236"/>
      <c r="E622" s="1236"/>
      <c r="F622" s="1236"/>
      <c r="G622" s="2"/>
    </row>
    <row r="623" spans="1:7">
      <c r="A623" s="1141"/>
      <c r="B623" s="1141"/>
      <c r="C623" s="1141"/>
      <c r="D623" s="1236"/>
      <c r="E623" s="1236"/>
      <c r="F623" s="1236"/>
      <c r="G623" s="2"/>
    </row>
    <row r="624" spans="1:7">
      <c r="A624" s="1141"/>
      <c r="B624" s="1141"/>
      <c r="C624" s="1141"/>
      <c r="D624" s="1111"/>
      <c r="E624" s="1111"/>
      <c r="F624" s="1111"/>
      <c r="G624" s="2"/>
    </row>
    <row r="625" spans="1:7">
      <c r="A625" s="99"/>
      <c r="B625" s="1175" t="s">
        <v>294</v>
      </c>
      <c r="C625" s="1141"/>
      <c r="D625" s="1236" t="s">
        <v>455</v>
      </c>
      <c r="E625" s="1236"/>
      <c r="F625" s="1236"/>
      <c r="G625" s="2"/>
    </row>
    <row r="626" spans="1:7">
      <c r="A626" s="806"/>
      <c r="B626" s="806"/>
      <c r="C626" s="806"/>
      <c r="D626" s="1236"/>
      <c r="E626" s="1236"/>
      <c r="F626" s="1236"/>
      <c r="G626" s="2"/>
    </row>
    <row r="627" spans="1:7">
      <c r="A627" s="806"/>
      <c r="B627" s="806"/>
      <c r="C627" s="806"/>
      <c r="D627" s="68"/>
      <c r="E627" s="68"/>
      <c r="F627" s="68"/>
      <c r="G627" s="2"/>
    </row>
    <row r="628" spans="1:7">
      <c r="A628" s="99"/>
      <c r="B628" s="1175" t="s">
        <v>294</v>
      </c>
      <c r="C628" s="806"/>
      <c r="D628" s="1236" t="s">
        <v>456</v>
      </c>
      <c r="E628" s="1236"/>
      <c r="F628" s="1236"/>
      <c r="G628" s="2"/>
    </row>
    <row r="629" spans="1:7">
      <c r="A629" s="99"/>
      <c r="B629" s="99"/>
      <c r="C629" s="806"/>
      <c r="D629" s="1236"/>
      <c r="E629" s="1236"/>
      <c r="F629" s="1236"/>
      <c r="G629" s="2"/>
    </row>
    <row r="630" spans="1:7">
      <c r="A630" s="99"/>
      <c r="B630" s="99"/>
      <c r="C630" s="806"/>
      <c r="D630" s="1236"/>
      <c r="E630" s="1236"/>
      <c r="F630" s="1236"/>
      <c r="G630" s="2"/>
    </row>
    <row r="631" spans="1:7">
      <c r="A631" s="806"/>
      <c r="B631" s="806"/>
      <c r="C631" s="806"/>
      <c r="D631" s="1236"/>
      <c r="E631" s="1236"/>
      <c r="F631" s="1236"/>
      <c r="G631" s="2"/>
    </row>
    <row r="632" spans="1:7">
      <c r="A632" s="806"/>
      <c r="B632" s="806"/>
      <c r="C632" s="806"/>
      <c r="D632" s="1111"/>
      <c r="E632" s="1111"/>
      <c r="F632" s="1111"/>
      <c r="G632" s="2"/>
    </row>
    <row r="633" spans="1:7">
      <c r="A633" s="806"/>
      <c r="B633" s="1175" t="s">
        <v>294</v>
      </c>
      <c r="C633" s="806"/>
      <c r="D633" s="1263" t="s">
        <v>457</v>
      </c>
      <c r="E633" s="1263"/>
      <c r="F633" s="1263"/>
      <c r="G633" s="2"/>
    </row>
    <row r="634" spans="1:7">
      <c r="A634" s="806"/>
      <c r="B634" s="806"/>
      <c r="C634" s="806"/>
      <c r="D634" s="1112"/>
      <c r="E634" s="1112"/>
      <c r="F634" s="1112"/>
      <c r="G634" s="2"/>
    </row>
    <row r="635" spans="1:7">
      <c r="A635" s="1242" t="s">
        <v>458</v>
      </c>
      <c r="B635" s="1242"/>
      <c r="C635" s="1242"/>
      <c r="D635" s="1242"/>
      <c r="E635" s="1242"/>
      <c r="F635" s="1242"/>
      <c r="G635" s="1242"/>
    </row>
    <row r="636" spans="1:7">
      <c r="A636" s="68"/>
      <c r="B636" s="68"/>
      <c r="C636" s="806"/>
      <c r="D636" s="68"/>
      <c r="E636" s="68"/>
      <c r="F636" s="68"/>
      <c r="G636" s="2"/>
    </row>
    <row r="637" spans="1:7">
      <c r="A637" s="1141"/>
      <c r="B637" s="1141"/>
      <c r="C637" s="1116"/>
      <c r="D637" s="1240" t="s">
        <v>459</v>
      </c>
      <c r="E637" s="1240"/>
      <c r="F637" s="1240"/>
      <c r="G637" s="2"/>
    </row>
    <row r="638" spans="1:7">
      <c r="A638" s="98"/>
      <c r="B638" s="98"/>
      <c r="C638" s="98"/>
      <c r="D638" s="1241" t="s">
        <v>460</v>
      </c>
      <c r="E638" s="1241"/>
      <c r="F638" s="1241"/>
      <c r="G638" s="2"/>
    </row>
    <row r="639" spans="1:7">
      <c r="A639" s="98"/>
      <c r="B639" s="98"/>
      <c r="C639" s="98"/>
      <c r="D639" s="68"/>
      <c r="E639" s="68"/>
      <c r="F639" s="68"/>
      <c r="G639" s="2"/>
    </row>
    <row r="640" spans="1:7" ht="14.5" customHeight="1">
      <c r="A640" s="99"/>
      <c r="B640" s="1175" t="s">
        <v>294</v>
      </c>
      <c r="C640" s="806"/>
      <c r="D640" s="1221" t="s">
        <v>461</v>
      </c>
      <c r="E640" s="1221"/>
      <c r="F640" s="1221"/>
      <c r="G640" s="2"/>
    </row>
    <row r="641" spans="1:11">
      <c r="A641" s="99"/>
      <c r="B641" s="99"/>
      <c r="C641" s="806"/>
      <c r="D641" s="1221"/>
      <c r="E641" s="1221"/>
      <c r="F641" s="1221"/>
      <c r="G641" s="2"/>
    </row>
    <row r="642" spans="1:11">
      <c r="A642" s="99"/>
      <c r="B642" s="99"/>
      <c r="C642" s="806"/>
      <c r="D642" s="1221"/>
      <c r="E642" s="1221"/>
      <c r="F642" s="1221"/>
      <c r="G642" s="2"/>
    </row>
    <row r="643" spans="1:11">
      <c r="A643" s="99"/>
      <c r="B643" s="99"/>
      <c r="C643" s="806"/>
      <c r="D643" s="1221"/>
      <c r="E643" s="1221"/>
      <c r="F643" s="1221"/>
      <c r="G643" s="2"/>
    </row>
    <row r="644" spans="1:11">
      <c r="A644" s="99"/>
      <c r="B644" s="99"/>
      <c r="C644" s="806"/>
      <c r="D644" s="1221"/>
      <c r="E644" s="1221"/>
      <c r="F644" s="1221"/>
      <c r="G644" s="2"/>
    </row>
    <row r="645" spans="1:11">
      <c r="A645" s="99"/>
      <c r="B645" s="99"/>
      <c r="C645" s="806"/>
      <c r="D645" s="1100"/>
      <c r="E645" s="1100"/>
      <c r="F645" s="1100"/>
      <c r="G645" s="2"/>
    </row>
    <row r="646" spans="1:11">
      <c r="A646" s="99"/>
      <c r="B646" s="1175" t="s">
        <v>294</v>
      </c>
      <c r="C646" s="806"/>
      <c r="D646" s="1253" t="s">
        <v>462</v>
      </c>
      <c r="E646" s="1253"/>
      <c r="F646" s="1253"/>
      <c r="G646" s="2"/>
    </row>
    <row r="647" spans="1:11">
      <c r="A647" s="99"/>
      <c r="B647" s="99"/>
      <c r="C647" s="806"/>
      <c r="D647" s="1252" t="s">
        <v>463</v>
      </c>
      <c r="E647" s="1252"/>
      <c r="F647" s="1252"/>
      <c r="G647" s="2"/>
    </row>
    <row r="648" spans="1:11">
      <c r="A648" s="99"/>
      <c r="B648" s="99"/>
      <c r="C648" s="806"/>
      <c r="D648" s="1252"/>
      <c r="E648" s="1252"/>
      <c r="F648" s="1252"/>
      <c r="G648" s="2"/>
    </row>
    <row r="649" spans="1:11">
      <c r="A649" s="99"/>
      <c r="B649" s="99"/>
      <c r="C649" s="806"/>
      <c r="D649" s="1252"/>
      <c r="E649" s="1252"/>
      <c r="F649" s="1252"/>
      <c r="G649" s="2"/>
    </row>
    <row r="650" spans="1:11">
      <c r="A650" s="99"/>
      <c r="B650" s="99"/>
      <c r="C650" s="806"/>
      <c r="D650" s="1252"/>
      <c r="E650" s="1252"/>
      <c r="F650" s="1252"/>
      <c r="G650" s="2"/>
    </row>
    <row r="651" spans="1:11">
      <c r="A651" s="99"/>
      <c r="B651" s="99"/>
      <c r="C651" s="806"/>
      <c r="D651" s="1252"/>
      <c r="E651" s="1252"/>
      <c r="F651" s="1252"/>
      <c r="G651" s="2"/>
    </row>
    <row r="652" spans="1:11">
      <c r="A652" s="99"/>
      <c r="B652" s="99"/>
      <c r="C652" s="806"/>
      <c r="D652" s="1254" t="s">
        <v>464</v>
      </c>
      <c r="E652" s="1254"/>
      <c r="F652" s="1254"/>
      <c r="G652" s="2"/>
    </row>
    <row r="653" spans="1:11">
      <c r="A653" s="806"/>
      <c r="B653" s="806"/>
      <c r="C653" s="806"/>
      <c r="D653" s="68"/>
      <c r="E653" s="68"/>
      <c r="F653" s="68"/>
      <c r="G653" s="2"/>
    </row>
    <row r="654" spans="1:11">
      <c r="A654" s="1242" t="s">
        <v>465</v>
      </c>
      <c r="B654" s="1242"/>
      <c r="C654" s="1242"/>
      <c r="D654" s="1242"/>
      <c r="E654" s="1242"/>
      <c r="F654" s="1242"/>
      <c r="G654" s="1242"/>
      <c r="H654" s="101"/>
      <c r="I654" s="101"/>
      <c r="J654" s="101"/>
      <c r="K654" s="101"/>
    </row>
    <row r="655" spans="1:11">
      <c r="A655" s="1135"/>
      <c r="B655" s="1135"/>
      <c r="C655" s="1135"/>
      <c r="D655" s="1135"/>
      <c r="E655" s="1135"/>
      <c r="F655" s="1135"/>
      <c r="G655" s="1135"/>
      <c r="H655" s="101"/>
      <c r="I655" s="101"/>
      <c r="J655" s="101"/>
      <c r="K655" s="101"/>
    </row>
    <row r="656" spans="1:11">
      <c r="A656" s="1141"/>
      <c r="B656" s="1141"/>
      <c r="C656" s="1116"/>
      <c r="D656" s="1240" t="s">
        <v>466</v>
      </c>
      <c r="E656" s="1240"/>
      <c r="F656" s="1240"/>
      <c r="G656" s="2"/>
      <c r="H656" s="101"/>
      <c r="I656" s="101"/>
      <c r="J656" s="101"/>
      <c r="K656" s="101"/>
    </row>
    <row r="657" spans="1:11">
      <c r="A657" s="1116"/>
      <c r="B657" s="1116"/>
      <c r="C657" s="1116"/>
      <c r="D657" s="1240" t="s">
        <v>467</v>
      </c>
      <c r="E657" s="1240"/>
      <c r="F657" s="1240"/>
      <c r="G657" s="2"/>
      <c r="H657" s="101"/>
      <c r="I657" s="101"/>
      <c r="J657" s="101"/>
      <c r="K657" s="101"/>
    </row>
    <row r="658" spans="1:11">
      <c r="A658" s="98"/>
      <c r="B658" s="98"/>
      <c r="C658" s="98"/>
      <c r="D658" s="1241" t="s">
        <v>468</v>
      </c>
      <c r="E658" s="1241"/>
      <c r="F658" s="1241"/>
      <c r="G658" s="2"/>
      <c r="H658" s="101"/>
      <c r="I658" s="101"/>
      <c r="J658" s="101"/>
      <c r="K658" s="101"/>
    </row>
    <row r="659" spans="1:11">
      <c r="A659" s="98"/>
      <c r="B659" s="98"/>
      <c r="C659" s="98"/>
      <c r="D659" s="2"/>
      <c r="E659" s="2"/>
      <c r="F659" s="2"/>
      <c r="G659" s="2"/>
      <c r="H659" s="101"/>
      <c r="I659" s="101"/>
      <c r="J659" s="101"/>
      <c r="K659" s="101"/>
    </row>
    <row r="660" spans="1:11">
      <c r="A660" s="99"/>
      <c r="B660" s="1175" t="s">
        <v>294</v>
      </c>
      <c r="C660" s="98"/>
      <c r="D660" s="1241" t="s">
        <v>469</v>
      </c>
      <c r="E660" s="1241"/>
      <c r="F660" s="1241"/>
      <c r="G660" s="2"/>
      <c r="H660" s="101"/>
      <c r="I660" s="101"/>
      <c r="J660" s="101"/>
      <c r="K660" s="101"/>
    </row>
    <row r="661" spans="1:11">
      <c r="A661" s="98"/>
      <c r="B661" s="98"/>
      <c r="C661" s="98"/>
      <c r="D661" s="1241" t="s">
        <v>470</v>
      </c>
      <c r="E661" s="1241"/>
      <c r="F661" s="1241"/>
      <c r="G661" s="2"/>
      <c r="H661" s="101"/>
      <c r="I661" s="101"/>
      <c r="J661" s="101"/>
      <c r="K661" s="101"/>
    </row>
    <row r="662" spans="1:11">
      <c r="A662" s="98"/>
      <c r="B662" s="98"/>
      <c r="C662" s="98"/>
      <c r="D662" s="2"/>
      <c r="E662" s="1225" t="s">
        <v>471</v>
      </c>
      <c r="F662" s="1225"/>
      <c r="G662" s="2"/>
      <c r="H662" s="101"/>
      <c r="I662" s="101"/>
      <c r="J662" s="101"/>
      <c r="K662" s="101"/>
    </row>
    <row r="663" spans="1:11">
      <c r="A663" s="98"/>
      <c r="B663" s="98"/>
      <c r="C663" s="98"/>
      <c r="D663" s="2"/>
      <c r="E663" s="1225"/>
      <c r="F663" s="1225"/>
      <c r="G663" s="2"/>
      <c r="H663" s="101"/>
      <c r="I663" s="101"/>
      <c r="J663" s="101"/>
      <c r="K663" s="101"/>
    </row>
    <row r="664" spans="1:11">
      <c r="A664" s="98"/>
      <c r="B664" s="98"/>
      <c r="C664" s="98"/>
      <c r="D664" s="102"/>
      <c r="E664" s="68"/>
      <c r="F664" s="2"/>
      <c r="G664" s="2"/>
      <c r="H664" s="101"/>
      <c r="I664" s="101"/>
      <c r="J664" s="101"/>
      <c r="K664" s="101"/>
    </row>
    <row r="665" spans="1:11">
      <c r="A665" s="99"/>
      <c r="B665" s="1175" t="s">
        <v>294</v>
      </c>
      <c r="C665" s="98"/>
      <c r="D665" s="1221" t="s">
        <v>472</v>
      </c>
      <c r="E665" s="1221"/>
      <c r="F665" s="1221"/>
      <c r="G665" s="2"/>
      <c r="H665" s="101"/>
      <c r="I665" s="101"/>
      <c r="J665" s="101"/>
      <c r="K665" s="101"/>
    </row>
    <row r="666" spans="1:11">
      <c r="A666" s="1118"/>
      <c r="B666" s="1118"/>
      <c r="C666" s="98"/>
      <c r="D666" s="1221"/>
      <c r="E666" s="1221"/>
      <c r="F666" s="1221"/>
      <c r="G666" s="2"/>
      <c r="H666" s="101"/>
      <c r="I666" s="101"/>
      <c r="J666" s="101"/>
      <c r="K666" s="101"/>
    </row>
    <row r="667" spans="1:11">
      <c r="A667" s="98"/>
      <c r="B667" s="98"/>
      <c r="C667" s="98"/>
      <c r="D667" s="1221"/>
      <c r="E667" s="1221"/>
      <c r="F667" s="1221"/>
      <c r="G667" s="2"/>
      <c r="H667" s="101"/>
      <c r="I667" s="101"/>
      <c r="J667" s="101"/>
      <c r="K667" s="101"/>
    </row>
    <row r="668" spans="1:11">
      <c r="A668" s="98"/>
      <c r="B668" s="98"/>
      <c r="C668" s="98"/>
      <c r="D668" s="2"/>
      <c r="E668" s="2"/>
      <c r="F668" s="2"/>
      <c r="G668" s="2"/>
      <c r="H668" s="101"/>
      <c r="I668" s="101"/>
      <c r="J668" s="101"/>
      <c r="K668" s="101"/>
    </row>
    <row r="669" spans="1:11">
      <c r="A669" s="99"/>
      <c r="B669" s="1175" t="s">
        <v>294</v>
      </c>
      <c r="C669" s="98"/>
      <c r="D669" s="1241" t="s">
        <v>473</v>
      </c>
      <c r="E669" s="1241"/>
      <c r="F669" s="1241"/>
      <c r="G669" s="2"/>
      <c r="H669" s="101"/>
      <c r="I669" s="101"/>
      <c r="J669" s="101"/>
      <c r="K669" s="101"/>
    </row>
    <row r="670" spans="1:11">
      <c r="A670" s="99"/>
      <c r="B670" s="99"/>
      <c r="C670" s="98"/>
      <c r="D670" s="1241" t="s">
        <v>470</v>
      </c>
      <c r="E670" s="1241"/>
      <c r="F670" s="1241"/>
      <c r="G670" s="2"/>
      <c r="H670" s="101"/>
      <c r="I670" s="101"/>
      <c r="J670" s="101"/>
      <c r="K670" s="101"/>
    </row>
    <row r="671" spans="1:11">
      <c r="A671" s="98"/>
      <c r="B671" s="98"/>
      <c r="C671" s="98"/>
      <c r="D671" s="2"/>
      <c r="E671" s="1245" t="s">
        <v>474</v>
      </c>
      <c r="F671" s="1245"/>
      <c r="G671" s="2"/>
      <c r="H671" s="101"/>
      <c r="I671" s="101"/>
      <c r="J671" s="101"/>
      <c r="K671" s="101"/>
    </row>
    <row r="672" spans="1:11">
      <c r="A672" s="98"/>
      <c r="B672" s="98"/>
      <c r="C672" s="98"/>
      <c r="D672" s="1"/>
      <c r="E672" s="2"/>
      <c r="F672" s="2"/>
      <c r="G672" s="2"/>
      <c r="H672" s="101"/>
      <c r="I672" s="101"/>
      <c r="J672" s="101"/>
      <c r="K672" s="101"/>
    </row>
    <row r="673" spans="1:11">
      <c r="A673" s="99"/>
      <c r="B673" s="1175" t="s">
        <v>294</v>
      </c>
      <c r="C673" s="98"/>
      <c r="D673" s="1221" t="s">
        <v>475</v>
      </c>
      <c r="E673" s="1221"/>
      <c r="F673" s="1221"/>
      <c r="G673" s="2"/>
      <c r="H673" s="101"/>
      <c r="I673" s="101"/>
      <c r="J673" s="101"/>
      <c r="K673" s="101"/>
    </row>
    <row r="674" spans="1:11">
      <c r="A674" s="98"/>
      <c r="B674" s="98"/>
      <c r="C674" s="98"/>
      <c r="D674" s="1221"/>
      <c r="E674" s="1221"/>
      <c r="F674" s="1221"/>
      <c r="G674" s="2"/>
      <c r="H674" s="101"/>
      <c r="I674" s="101"/>
      <c r="J674" s="101"/>
      <c r="K674" s="101"/>
    </row>
    <row r="675" spans="1:11">
      <c r="A675" s="98"/>
      <c r="B675" s="98"/>
      <c r="C675" s="98"/>
      <c r="D675" s="1221"/>
      <c r="E675" s="1221"/>
      <c r="F675" s="1221"/>
      <c r="G675" s="2"/>
      <c r="H675" s="101"/>
      <c r="I675" s="101"/>
      <c r="J675" s="101"/>
      <c r="K675" s="101"/>
    </row>
    <row r="676" spans="1:11">
      <c r="A676" s="98"/>
      <c r="B676" s="98"/>
      <c r="C676" s="98"/>
      <c r="D676" s="1221"/>
      <c r="E676" s="1221"/>
      <c r="F676" s="1221"/>
      <c r="G676" s="2"/>
      <c r="H676" s="101"/>
      <c r="I676" s="101"/>
      <c r="J676" s="101"/>
      <c r="K676" s="101"/>
    </row>
    <row r="677" spans="1:11">
      <c r="A677" s="98"/>
      <c r="B677" s="98"/>
      <c r="C677" s="98"/>
      <c r="D677" s="1221"/>
      <c r="E677" s="1221"/>
      <c r="F677" s="1221"/>
      <c r="G677" s="2"/>
      <c r="H677" s="101"/>
      <c r="I677" s="101"/>
      <c r="J677" s="101"/>
      <c r="K677" s="101"/>
    </row>
    <row r="678" spans="1:11">
      <c r="A678" s="98"/>
      <c r="B678" s="98"/>
      <c r="C678" s="98"/>
      <c r="D678" s="1221"/>
      <c r="E678" s="1221"/>
      <c r="F678" s="1221"/>
      <c r="G678" s="2"/>
      <c r="H678" s="101"/>
      <c r="I678" s="101"/>
      <c r="J678" s="101"/>
      <c r="K678" s="101"/>
    </row>
    <row r="679" spans="1:11">
      <c r="A679" s="98"/>
      <c r="B679" s="98"/>
      <c r="C679" s="98"/>
      <c r="D679" s="1100"/>
      <c r="E679" s="1100"/>
      <c r="F679" s="1100"/>
      <c r="G679" s="2"/>
      <c r="H679" s="101"/>
      <c r="I679" s="101"/>
      <c r="J679" s="101"/>
      <c r="K679" s="101"/>
    </row>
    <row r="680" spans="1:11">
      <c r="A680" s="99"/>
      <c r="B680" s="1175" t="s">
        <v>294</v>
      </c>
      <c r="C680" s="98"/>
      <c r="D680" s="1221" t="s">
        <v>476</v>
      </c>
      <c r="E680" s="1221"/>
      <c r="F680" s="1221"/>
      <c r="G680" s="2"/>
      <c r="H680" s="101"/>
      <c r="I680" s="101"/>
      <c r="J680" s="101"/>
      <c r="K680" s="101"/>
    </row>
    <row r="681" spans="1:11">
      <c r="A681" s="98"/>
      <c r="B681" s="98"/>
      <c r="C681" s="98"/>
      <c r="D681" s="1221"/>
      <c r="E681" s="1221"/>
      <c r="F681" s="1221"/>
      <c r="G681" s="2"/>
      <c r="H681" s="101"/>
      <c r="I681" s="101"/>
      <c r="J681" s="101"/>
      <c r="K681" s="101"/>
    </row>
    <row r="682" spans="1:11">
      <c r="A682" s="98"/>
      <c r="B682" s="98"/>
      <c r="C682" s="98"/>
      <c r="D682" s="1221"/>
      <c r="E682" s="1221"/>
      <c r="F682" s="1221"/>
      <c r="G682" s="2"/>
      <c r="H682" s="101"/>
      <c r="I682" s="101"/>
      <c r="J682" s="101"/>
      <c r="K682" s="101"/>
    </row>
    <row r="683" spans="1:11" ht="15" customHeight="1">
      <c r="A683" s="98"/>
      <c r="B683" s="98"/>
      <c r="C683" s="98"/>
      <c r="D683" s="1221"/>
      <c r="E683" s="1221"/>
      <c r="F683" s="1221"/>
      <c r="G683" s="2"/>
      <c r="H683" s="101"/>
      <c r="I683" s="101"/>
      <c r="J683" s="101"/>
      <c r="K683" s="101"/>
    </row>
    <row r="684" spans="1:11" ht="15" customHeight="1">
      <c r="A684" s="98"/>
      <c r="B684" s="98"/>
      <c r="C684" s="98"/>
      <c r="D684" s="1221"/>
      <c r="E684" s="1221"/>
      <c r="F684" s="1221"/>
      <c r="G684" s="2"/>
      <c r="H684" s="101"/>
      <c r="I684" s="101"/>
      <c r="J684" s="101"/>
      <c r="K684" s="101"/>
    </row>
    <row r="685" spans="1:11">
      <c r="A685" s="98"/>
      <c r="B685" s="98"/>
      <c r="C685" s="98"/>
      <c r="D685" s="1221"/>
      <c r="E685" s="1221"/>
      <c r="F685" s="1221"/>
      <c r="G685" s="2"/>
      <c r="H685" s="101"/>
      <c r="I685" s="101"/>
      <c r="J685" s="101"/>
      <c r="K685" s="101"/>
    </row>
    <row r="686" spans="1:11">
      <c r="A686" s="98"/>
      <c r="B686" s="98"/>
      <c r="C686" s="98"/>
      <c r="D686" s="1221"/>
      <c r="E686" s="1221"/>
      <c r="F686" s="1221"/>
      <c r="G686" s="2"/>
      <c r="H686" s="101"/>
      <c r="I686" s="101"/>
      <c r="J686" s="101"/>
      <c r="K686" s="101"/>
    </row>
    <row r="687" spans="1:11">
      <c r="A687" s="98"/>
      <c r="B687" s="98"/>
      <c r="C687" s="98"/>
      <c r="D687" s="1221"/>
      <c r="E687" s="1221"/>
      <c r="F687" s="1221"/>
      <c r="G687" s="2"/>
      <c r="H687" s="101"/>
      <c r="I687" s="101"/>
      <c r="J687" s="101"/>
      <c r="K687" s="101"/>
    </row>
    <row r="688" spans="1:11" ht="15" customHeight="1">
      <c r="A688" s="98"/>
      <c r="B688" s="98"/>
      <c r="C688" s="98"/>
      <c r="D688" s="1221"/>
      <c r="E688" s="1221"/>
      <c r="F688" s="1221"/>
      <c r="G688" s="2"/>
      <c r="H688" s="101"/>
      <c r="I688" s="101"/>
      <c r="J688" s="101"/>
      <c r="K688" s="101"/>
    </row>
    <row r="689" spans="1:11">
      <c r="A689" s="98"/>
      <c r="B689" s="98"/>
      <c r="C689" s="98"/>
      <c r="D689" s="1221"/>
      <c r="E689" s="1221"/>
      <c r="F689" s="1221"/>
      <c r="G689" s="2"/>
      <c r="H689" s="101"/>
      <c r="I689" s="101"/>
      <c r="J689" s="101"/>
      <c r="K689" s="101"/>
    </row>
    <row r="690" spans="1:11">
      <c r="A690" s="98"/>
      <c r="B690" s="98"/>
      <c r="C690" s="98"/>
      <c r="D690" s="1221"/>
      <c r="E690" s="1221"/>
      <c r="F690" s="1221"/>
      <c r="G690" s="2"/>
      <c r="H690" s="101"/>
      <c r="I690" s="101"/>
      <c r="J690" s="101"/>
      <c r="K690" s="101"/>
    </row>
    <row r="691" spans="1:11">
      <c r="A691" s="98"/>
      <c r="B691" s="98"/>
      <c r="C691" s="98"/>
      <c r="D691" s="1221"/>
      <c r="E691" s="1221"/>
      <c r="F691" s="1221"/>
      <c r="G691" s="2"/>
      <c r="H691" s="101"/>
      <c r="I691" s="101"/>
      <c r="J691" s="101"/>
      <c r="K691" s="101"/>
    </row>
    <row r="692" spans="1:11">
      <c r="A692" s="98"/>
      <c r="B692" s="98"/>
      <c r="C692" s="98"/>
      <c r="D692" s="1100"/>
      <c r="E692" s="1100"/>
      <c r="F692" s="1100"/>
      <c r="G692" s="2"/>
      <c r="H692" s="101"/>
      <c r="I692" s="101"/>
      <c r="J692" s="101"/>
      <c r="K692" s="101"/>
    </row>
    <row r="693" spans="1:11">
      <c r="A693" s="99"/>
      <c r="B693" s="1175" t="s">
        <v>294</v>
      </c>
      <c r="C693" s="98"/>
      <c r="D693" s="1221" t="s">
        <v>477</v>
      </c>
      <c r="E693" s="1221"/>
      <c r="F693" s="1221"/>
      <c r="G693" s="2"/>
      <c r="H693" s="101"/>
      <c r="I693" s="101"/>
      <c r="J693" s="101"/>
      <c r="K693" s="101"/>
    </row>
    <row r="694" spans="1:11">
      <c r="A694" s="98"/>
      <c r="B694" s="98"/>
      <c r="C694" s="98"/>
      <c r="D694" s="1221"/>
      <c r="E694" s="1221"/>
      <c r="F694" s="1221"/>
      <c r="G694" s="2"/>
      <c r="H694" s="101"/>
      <c r="I694" s="101"/>
      <c r="J694" s="101"/>
      <c r="K694" s="101"/>
    </row>
    <row r="695" spans="1:11">
      <c r="A695" s="98"/>
      <c r="B695" s="98"/>
      <c r="C695" s="98"/>
      <c r="D695" s="1221"/>
      <c r="E695" s="1221"/>
      <c r="F695" s="1221"/>
      <c r="G695" s="2"/>
      <c r="H695" s="101"/>
      <c r="I695" s="101"/>
      <c r="J695" s="101"/>
      <c r="K695" s="101"/>
    </row>
    <row r="696" spans="1:11">
      <c r="A696" s="98"/>
      <c r="B696" s="98"/>
      <c r="C696" s="98"/>
      <c r="D696" s="1100"/>
      <c r="E696" s="1100"/>
      <c r="F696" s="1100"/>
      <c r="G696" s="2"/>
      <c r="H696" s="101"/>
      <c r="I696" s="101"/>
      <c r="J696" s="101"/>
      <c r="K696" s="101"/>
    </row>
    <row r="697" spans="1:11">
      <c r="A697" s="98"/>
      <c r="B697" s="1175" t="s">
        <v>294</v>
      </c>
      <c r="C697" s="98"/>
      <c r="D697" s="1221" t="s">
        <v>478</v>
      </c>
      <c r="E697" s="1221"/>
      <c r="F697" s="1221"/>
      <c r="G697" s="2"/>
      <c r="H697" s="101"/>
      <c r="I697" s="101"/>
      <c r="J697" s="101"/>
      <c r="K697" s="101"/>
    </row>
    <row r="698" spans="1:11">
      <c r="A698" s="98"/>
      <c r="B698" s="98"/>
      <c r="C698" s="98"/>
      <c r="D698" s="1221"/>
      <c r="E698" s="1221"/>
      <c r="F698" s="1221"/>
      <c r="G698" s="2"/>
      <c r="H698" s="101"/>
      <c r="I698" s="101"/>
      <c r="J698" s="101"/>
      <c r="K698" s="101"/>
    </row>
    <row r="699" spans="1:11">
      <c r="A699" s="98"/>
      <c r="B699" s="98"/>
      <c r="C699" s="98"/>
      <c r="D699" s="1100"/>
      <c r="E699" s="1100"/>
      <c r="F699" s="1100"/>
      <c r="G699" s="2"/>
      <c r="H699" s="101"/>
      <c r="I699" s="101"/>
      <c r="J699" s="101"/>
      <c r="K699" s="101"/>
    </row>
    <row r="700" spans="1:11">
      <c r="A700" s="98"/>
      <c r="B700" s="1175" t="s">
        <v>294</v>
      </c>
      <c r="C700" s="98"/>
      <c r="D700" s="1221" t="s">
        <v>479</v>
      </c>
      <c r="E700" s="1221"/>
      <c r="F700" s="1221"/>
      <c r="G700" s="2"/>
      <c r="H700" s="101"/>
      <c r="I700" s="101"/>
      <c r="J700" s="101"/>
      <c r="K700" s="101"/>
    </row>
    <row r="701" spans="1:11">
      <c r="A701" s="98"/>
      <c r="B701" s="98"/>
      <c r="C701" s="98"/>
      <c r="D701" s="1221"/>
      <c r="E701" s="1221"/>
      <c r="F701" s="1221"/>
      <c r="G701" s="2"/>
      <c r="H701" s="101"/>
      <c r="I701" s="101"/>
      <c r="J701" s="101"/>
      <c r="K701" s="101"/>
    </row>
    <row r="702" spans="1:11">
      <c r="A702" s="98"/>
      <c r="B702" s="98"/>
      <c r="C702" s="98"/>
      <c r="D702" s="1221"/>
      <c r="E702" s="1221"/>
      <c r="F702" s="1221"/>
      <c r="G702" s="2"/>
      <c r="H702" s="101"/>
      <c r="I702" s="101"/>
      <c r="J702" s="101"/>
      <c r="K702" s="101"/>
    </row>
    <row r="703" spans="1:11">
      <c r="A703" s="98"/>
      <c r="B703" s="98"/>
      <c r="C703" s="98"/>
      <c r="D703" s="1100"/>
      <c r="E703" s="1100"/>
      <c r="F703" s="1100"/>
      <c r="G703" s="2"/>
      <c r="H703" s="101"/>
      <c r="I703" s="101"/>
      <c r="J703" s="101"/>
      <c r="K703" s="101"/>
    </row>
    <row r="704" spans="1:11">
      <c r="A704" s="98"/>
      <c r="B704" s="1175" t="s">
        <v>294</v>
      </c>
      <c r="C704" s="98"/>
      <c r="D704" s="1221" t="s">
        <v>480</v>
      </c>
      <c r="E704" s="1221"/>
      <c r="F704" s="1221"/>
      <c r="G704" s="2"/>
      <c r="H704" s="101"/>
      <c r="I704" s="101"/>
      <c r="J704" s="101"/>
      <c r="K704" s="101"/>
    </row>
    <row r="705" spans="1:11">
      <c r="A705" s="98"/>
      <c r="B705" s="98"/>
      <c r="C705" s="98"/>
      <c r="D705" s="1221"/>
      <c r="E705" s="1221"/>
      <c r="F705" s="1221"/>
      <c r="G705" s="2"/>
      <c r="H705" s="101"/>
      <c r="I705" s="101"/>
      <c r="J705" s="101"/>
      <c r="K705" s="101"/>
    </row>
    <row r="706" spans="1:11">
      <c r="A706" s="98"/>
      <c r="B706" s="98"/>
      <c r="C706" s="98"/>
      <c r="D706" s="1221"/>
      <c r="E706" s="1221"/>
      <c r="F706" s="1221"/>
      <c r="G706" s="2"/>
      <c r="H706" s="101"/>
      <c r="I706" s="101"/>
      <c r="J706" s="101"/>
      <c r="K706" s="101"/>
    </row>
    <row r="707" spans="1:11">
      <c r="A707" s="98"/>
      <c r="B707" s="98"/>
      <c r="C707" s="98"/>
      <c r="D707" s="2"/>
      <c r="E707" s="2"/>
      <c r="F707" s="2"/>
      <c r="G707" s="2"/>
      <c r="H707" s="101"/>
      <c r="I707" s="101"/>
      <c r="J707" s="101"/>
      <c r="K707" s="101"/>
    </row>
    <row r="708" spans="1:11">
      <c r="A708" s="98"/>
      <c r="B708" s="1175" t="s">
        <v>294</v>
      </c>
      <c r="C708" s="98"/>
      <c r="D708" s="1221" t="s">
        <v>481</v>
      </c>
      <c r="E708" s="1221"/>
      <c r="F708" s="1221"/>
      <c r="G708" s="2"/>
      <c r="H708" s="101"/>
      <c r="I708" s="101"/>
      <c r="J708" s="101"/>
      <c r="K708" s="101"/>
    </row>
    <row r="709" spans="1:11">
      <c r="A709" s="98"/>
      <c r="B709" s="98"/>
      <c r="C709" s="98"/>
      <c r="D709" s="1221"/>
      <c r="E709" s="1221"/>
      <c r="F709" s="1221"/>
      <c r="G709" s="2"/>
      <c r="H709" s="101"/>
      <c r="I709" s="101"/>
      <c r="J709" s="101"/>
      <c r="K709" s="101"/>
    </row>
    <row r="710" spans="1:11">
      <c r="A710" s="98"/>
      <c r="B710" s="98"/>
      <c r="C710" s="98"/>
      <c r="D710" s="1221"/>
      <c r="E710" s="1221"/>
      <c r="F710" s="1221"/>
      <c r="G710" s="2"/>
      <c r="H710" s="101"/>
      <c r="I710" s="101"/>
      <c r="J710" s="101"/>
      <c r="K710" s="101"/>
    </row>
    <row r="711" spans="1:11">
      <c r="A711" s="98"/>
      <c r="B711" s="98"/>
      <c r="C711" s="98"/>
      <c r="D711"/>
      <c r="E711" s="2"/>
      <c r="F711" s="2"/>
      <c r="G711" s="2"/>
      <c r="H711" s="101"/>
      <c r="I711" s="101"/>
      <c r="J711" s="101"/>
      <c r="K711" s="101"/>
    </row>
    <row r="712" spans="1:11">
      <c r="A712" s="99"/>
      <c r="B712" s="1175" t="s">
        <v>294</v>
      </c>
      <c r="C712" s="98"/>
      <c r="D712" s="1221" t="s">
        <v>482</v>
      </c>
      <c r="E712" s="1221"/>
      <c r="F712" s="1221"/>
      <c r="G712" s="2"/>
      <c r="H712" s="101"/>
      <c r="I712" s="101"/>
      <c r="J712" s="101"/>
      <c r="K712" s="101"/>
    </row>
    <row r="713" spans="1:11">
      <c r="A713" s="98"/>
      <c r="B713" s="98"/>
      <c r="C713" s="98"/>
      <c r="D713" s="1221"/>
      <c r="E713" s="1221"/>
      <c r="F713" s="1221"/>
      <c r="G713" s="2"/>
      <c r="H713" s="101"/>
      <c r="I713" s="101"/>
      <c r="J713" s="101"/>
      <c r="K713" s="101"/>
    </row>
    <row r="714" spans="1:11">
      <c r="A714" s="98"/>
      <c r="B714" s="98"/>
      <c r="C714" s="98"/>
      <c r="D714" s="1221"/>
      <c r="E714" s="1221"/>
      <c r="F714" s="1221"/>
      <c r="G714" s="2"/>
      <c r="H714" s="101"/>
      <c r="I714" s="101"/>
      <c r="J714" s="101"/>
      <c r="K714" s="101"/>
    </row>
    <row r="715" spans="1:11">
      <c r="A715" s="98"/>
      <c r="B715" s="98"/>
      <c r="C715" s="98"/>
      <c r="D715" s="1221"/>
      <c r="E715" s="1221"/>
      <c r="F715" s="1221"/>
      <c r="G715" s="2"/>
      <c r="H715" s="101"/>
      <c r="I715" s="101"/>
      <c r="J715" s="101"/>
      <c r="K715" s="101"/>
    </row>
    <row r="716" spans="1:11">
      <c r="A716" s="98"/>
      <c r="B716" s="98"/>
      <c r="C716" s="98"/>
      <c r="D716" s="810"/>
      <c r="E716" s="2"/>
      <c r="F716" s="2"/>
      <c r="G716" s="2"/>
      <c r="H716" s="101"/>
      <c r="I716" s="101"/>
      <c r="J716" s="101"/>
      <c r="K716" s="101"/>
    </row>
    <row r="717" spans="1:11">
      <c r="A717" s="99"/>
      <c r="B717" s="1175" t="s">
        <v>294</v>
      </c>
      <c r="C717" s="98"/>
      <c r="D717" s="1221" t="s">
        <v>483</v>
      </c>
      <c r="E717" s="1221"/>
      <c r="F717" s="1221"/>
      <c r="G717" s="2"/>
      <c r="H717" s="101"/>
      <c r="I717" s="101"/>
      <c r="J717" s="101"/>
      <c r="K717" s="101"/>
    </row>
    <row r="718" spans="1:11">
      <c r="A718" s="98"/>
      <c r="B718" s="98"/>
      <c r="C718" s="98"/>
      <c r="D718" s="1221"/>
      <c r="E718" s="1221"/>
      <c r="F718" s="1221"/>
      <c r="G718" s="2"/>
      <c r="H718" s="101"/>
      <c r="I718" s="101"/>
      <c r="J718" s="101"/>
      <c r="K718" s="101"/>
    </row>
    <row r="719" spans="1:11">
      <c r="A719" s="98"/>
      <c r="B719" s="98"/>
      <c r="C719" s="98"/>
      <c r="D719" s="1221"/>
      <c r="E719" s="1221"/>
      <c r="F719" s="1221"/>
      <c r="G719" s="2"/>
      <c r="H719" s="101"/>
      <c r="I719" s="101"/>
      <c r="J719" s="101"/>
      <c r="K719" s="101"/>
    </row>
    <row r="720" spans="1:11">
      <c r="A720" s="98"/>
      <c r="B720" s="98"/>
      <c r="C720" s="98"/>
      <c r="D720" s="1221"/>
      <c r="E720" s="1221"/>
      <c r="F720" s="1221"/>
      <c r="G720" s="2"/>
      <c r="H720" s="101"/>
      <c r="I720" s="101"/>
      <c r="J720" s="101"/>
      <c r="K720" s="101"/>
    </row>
    <row r="721" spans="1:11">
      <c r="A721" s="98"/>
      <c r="B721" s="98"/>
      <c r="C721" s="98"/>
      <c r="D721" s="1221"/>
      <c r="E721" s="1221"/>
      <c r="F721" s="1221"/>
      <c r="G721" s="2"/>
      <c r="H721" s="101"/>
      <c r="I721" s="101"/>
      <c r="J721" s="101"/>
      <c r="K721" s="101"/>
    </row>
    <row r="722" spans="1:11">
      <c r="A722" s="98"/>
      <c r="B722" s="98"/>
      <c r="C722" s="98"/>
      <c r="D722" s="1221"/>
      <c r="E722" s="1221"/>
      <c r="F722" s="1221"/>
      <c r="G722" s="2"/>
      <c r="H722" s="101"/>
      <c r="I722" s="101"/>
      <c r="J722" s="101"/>
      <c r="K722" s="101"/>
    </row>
    <row r="723" spans="1:11">
      <c r="A723" s="98"/>
      <c r="B723" s="98"/>
      <c r="C723" s="98"/>
      <c r="D723" s="1221"/>
      <c r="E723" s="1221"/>
      <c r="F723" s="1221"/>
      <c r="G723" s="2"/>
      <c r="H723" s="101"/>
      <c r="I723" s="101"/>
      <c r="J723" s="101"/>
      <c r="K723" s="101"/>
    </row>
    <row r="724" spans="1:11">
      <c r="A724" s="98"/>
      <c r="B724" s="98"/>
      <c r="C724" s="98"/>
      <c r="D724" s="1246" t="s">
        <v>484</v>
      </c>
      <c r="E724" s="1246"/>
      <c r="F724" s="1246"/>
      <c r="G724" s="2"/>
      <c r="H724" s="101"/>
      <c r="I724" s="101"/>
      <c r="J724" s="101"/>
      <c r="K724" s="101"/>
    </row>
    <row r="725" spans="1:11">
      <c r="A725" s="98"/>
      <c r="B725" s="98"/>
      <c r="C725" s="98"/>
      <c r="D725" s="1122"/>
      <c r="E725" s="2"/>
      <c r="F725" s="2"/>
      <c r="G725" s="2"/>
      <c r="H725" s="101"/>
      <c r="I725" s="101"/>
      <c r="J725" s="101"/>
      <c r="K725" s="101"/>
    </row>
    <row r="726" spans="1:11">
      <c r="A726" s="1243" t="s">
        <v>485</v>
      </c>
      <c r="B726" s="1243"/>
      <c r="C726" s="1243"/>
      <c r="D726" s="1243"/>
      <c r="E726" s="1243"/>
      <c r="F726" s="1243"/>
      <c r="G726" s="1243"/>
      <c r="H726" s="101"/>
      <c r="I726" s="101"/>
      <c r="J726" s="101"/>
      <c r="K726" s="101"/>
    </row>
    <row r="727" spans="1:11">
      <c r="A727" s="98"/>
      <c r="B727" s="98"/>
      <c r="C727" s="98"/>
      <c r="D727" s="810"/>
      <c r="E727" s="2"/>
      <c r="F727" s="2"/>
      <c r="G727" s="805"/>
      <c r="H727" s="101"/>
      <c r="I727" s="101"/>
      <c r="J727" s="101"/>
      <c r="K727" s="101"/>
    </row>
    <row r="728" spans="1:11" ht="13.25" customHeight="1">
      <c r="A728" s="1141"/>
      <c r="B728" s="1141"/>
      <c r="C728" s="98"/>
      <c r="D728" s="1251" t="s">
        <v>486</v>
      </c>
      <c r="E728" s="1251"/>
      <c r="F728" s="1251"/>
      <c r="G728" s="805"/>
      <c r="H728" s="101"/>
      <c r="I728" s="101"/>
      <c r="J728" s="101"/>
      <c r="K728" s="101"/>
    </row>
    <row r="729" spans="1:11">
      <c r="A729" s="98"/>
      <c r="B729" s="98"/>
      <c r="C729" s="98"/>
      <c r="D729" s="1239" t="s">
        <v>487</v>
      </c>
      <c r="E729" s="1239"/>
      <c r="F729" s="1239"/>
      <c r="G729" s="805"/>
      <c r="H729" s="101"/>
      <c r="I729" s="101"/>
      <c r="J729" s="101"/>
      <c r="K729" s="101"/>
    </row>
    <row r="730" spans="1:11">
      <c r="A730" s="98"/>
      <c r="B730" s="98"/>
      <c r="C730" s="98"/>
      <c r="D730" s="2"/>
      <c r="E730" s="2"/>
      <c r="F730" s="2"/>
      <c r="G730" s="805"/>
      <c r="H730" s="101"/>
      <c r="I730" s="101"/>
      <c r="J730" s="101"/>
      <c r="K730" s="101"/>
    </row>
    <row r="731" spans="1:11">
      <c r="A731" s="99"/>
      <c r="B731" s="1175" t="s">
        <v>294</v>
      </c>
      <c r="C731" s="1141"/>
      <c r="D731" s="1221" t="s">
        <v>488</v>
      </c>
      <c r="E731" s="1221"/>
      <c r="F731" s="1221"/>
      <c r="G731" s="805"/>
      <c r="H731" s="101"/>
      <c r="I731" s="101"/>
      <c r="J731" s="101"/>
      <c r="K731" s="101"/>
    </row>
    <row r="732" spans="1:11" ht="10.5" customHeight="1">
      <c r="A732" s="1141"/>
      <c r="B732" s="1141"/>
      <c r="C732" s="1141"/>
      <c r="D732" s="1221"/>
      <c r="E732" s="1221"/>
      <c r="F732" s="1221"/>
      <c r="G732" s="805"/>
      <c r="H732" s="101"/>
      <c r="I732" s="101"/>
      <c r="J732" s="101"/>
      <c r="K732" s="101"/>
    </row>
    <row r="733" spans="1:11">
      <c r="A733" s="1141"/>
      <c r="B733" s="1141"/>
      <c r="C733" s="1141"/>
      <c r="D733" s="1221"/>
      <c r="E733" s="1221"/>
      <c r="F733" s="1221"/>
      <c r="G733" s="805"/>
      <c r="H733" s="101"/>
      <c r="I733" s="101"/>
      <c r="J733" s="101"/>
      <c r="K733" s="101"/>
    </row>
    <row r="734" spans="1:11">
      <c r="A734" s="1141"/>
      <c r="B734" s="1141"/>
      <c r="C734" s="1141"/>
      <c r="D734" s="1221"/>
      <c r="E734" s="1221"/>
      <c r="F734" s="1221"/>
      <c r="G734" s="805"/>
      <c r="H734" s="101"/>
      <c r="I734" s="101"/>
      <c r="J734" s="101"/>
      <c r="K734" s="101"/>
    </row>
    <row r="735" spans="1:11">
      <c r="A735" s="1141"/>
      <c r="B735" s="1141"/>
      <c r="C735" s="1141"/>
      <c r="D735" s="1221"/>
      <c r="E735" s="1221"/>
      <c r="F735" s="1221"/>
      <c r="G735" s="805"/>
      <c r="H735" s="101"/>
      <c r="I735" s="101"/>
      <c r="J735" s="101"/>
      <c r="K735" s="101"/>
    </row>
    <row r="736" spans="1:11" ht="15.5" customHeight="1">
      <c r="A736" s="1141"/>
      <c r="B736" s="1141"/>
      <c r="C736" s="1141"/>
      <c r="D736" s="1221"/>
      <c r="E736" s="1221"/>
      <c r="F736" s="1221"/>
      <c r="G736" s="805"/>
      <c r="H736" s="101"/>
      <c r="I736" s="101"/>
      <c r="J736" s="101"/>
      <c r="K736" s="101"/>
    </row>
    <row r="737" spans="1:11">
      <c r="A737" s="1141"/>
      <c r="B737" s="1141"/>
      <c r="C737" s="1141"/>
      <c r="D737" s="149"/>
      <c r="E737" s="68"/>
      <c r="F737" s="68"/>
      <c r="G737" s="805"/>
      <c r="H737" s="101"/>
      <c r="I737" s="101"/>
      <c r="J737" s="101"/>
      <c r="K737" s="101"/>
    </row>
    <row r="738" spans="1:11" s="154" customFormat="1">
      <c r="A738" s="153"/>
      <c r="B738" s="1175" t="s">
        <v>294</v>
      </c>
      <c r="C738" s="815"/>
      <c r="D738" s="1221" t="s">
        <v>489</v>
      </c>
      <c r="E738" s="1221"/>
      <c r="F738" s="1221"/>
      <c r="G738" s="816"/>
    </row>
    <row r="739" spans="1:11" s="154" customFormat="1">
      <c r="A739" s="815"/>
      <c r="B739" s="815"/>
      <c r="C739" s="815"/>
      <c r="D739" s="1221"/>
      <c r="E739" s="1221"/>
      <c r="F739" s="1221"/>
      <c r="G739" s="816"/>
    </row>
    <row r="740" spans="1:11" s="154" customFormat="1">
      <c r="A740" s="815"/>
      <c r="B740" s="815"/>
      <c r="C740" s="815"/>
      <c r="D740" s="1221"/>
      <c r="E740" s="1221"/>
      <c r="F740" s="1221"/>
      <c r="G740" s="816"/>
    </row>
    <row r="741" spans="1:11" s="154" customFormat="1">
      <c r="A741" s="815"/>
      <c r="B741" s="815"/>
      <c r="C741" s="815"/>
      <c r="D741" s="1221"/>
      <c r="E741" s="1221"/>
      <c r="F741" s="1221"/>
      <c r="G741" s="816"/>
    </row>
    <row r="742" spans="1:11" s="154" customFormat="1">
      <c r="A742" s="815"/>
      <c r="B742" s="815"/>
      <c r="C742" s="815"/>
      <c r="D742" s="149"/>
      <c r="E742" s="816"/>
      <c r="F742" s="816"/>
      <c r="G742" s="816"/>
    </row>
    <row r="743" spans="1:11" s="154" customFormat="1">
      <c r="A743" s="99"/>
      <c r="B743" s="1175" t="s">
        <v>294</v>
      </c>
      <c r="C743" s="815"/>
      <c r="D743" s="1252" t="s">
        <v>490</v>
      </c>
      <c r="E743" s="1252"/>
      <c r="F743" s="1252"/>
      <c r="G743" s="816"/>
    </row>
    <row r="744" spans="1:11" s="154" customFormat="1">
      <c r="A744" s="815"/>
      <c r="B744" s="815"/>
      <c r="C744" s="815"/>
      <c r="D744" s="1252"/>
      <c r="E744" s="1252"/>
      <c r="F744" s="1252"/>
      <c r="G744" s="816"/>
    </row>
    <row r="745" spans="1:11" s="154" customFormat="1">
      <c r="A745" s="815"/>
      <c r="B745" s="815"/>
      <c r="C745" s="815"/>
      <c r="D745" s="1252"/>
      <c r="E745" s="1252"/>
      <c r="F745" s="1252"/>
      <c r="G745" s="816"/>
    </row>
    <row r="746" spans="1:11">
      <c r="A746" s="1141"/>
      <c r="B746" s="1141"/>
      <c r="C746" s="1141"/>
      <c r="D746" s="149"/>
      <c r="E746" s="68"/>
      <c r="F746" s="68"/>
      <c r="G746" s="805"/>
      <c r="H746" s="101"/>
      <c r="I746" s="101"/>
      <c r="J746" s="101"/>
      <c r="K746" s="101"/>
    </row>
    <row r="747" spans="1:11">
      <c r="A747" s="99"/>
      <c r="B747" s="1175" t="s">
        <v>294</v>
      </c>
      <c r="C747" s="1141"/>
      <c r="D747" s="1221" t="s">
        <v>491</v>
      </c>
      <c r="E747" s="1221"/>
      <c r="F747" s="1221"/>
      <c r="G747" s="805"/>
      <c r="H747" s="101"/>
      <c r="I747" s="101"/>
      <c r="J747" s="101"/>
      <c r="K747" s="101"/>
    </row>
    <row r="748" spans="1:11">
      <c r="A748" s="1141"/>
      <c r="B748" s="1141"/>
      <c r="C748" s="1141"/>
      <c r="D748" s="1221"/>
      <c r="E748" s="1221"/>
      <c r="F748" s="1221"/>
      <c r="G748" s="805"/>
      <c r="H748" s="101"/>
      <c r="I748" s="101"/>
      <c r="J748" s="101"/>
      <c r="K748" s="101"/>
    </row>
    <row r="749" spans="1:11">
      <c r="A749" s="1141"/>
      <c r="B749" s="1141"/>
      <c r="C749" s="1141"/>
      <c r="D749" s="1100"/>
      <c r="E749" s="1100"/>
      <c r="F749" s="1100"/>
      <c r="G749" s="805"/>
      <c r="H749" s="101"/>
      <c r="I749" s="101"/>
      <c r="J749" s="101"/>
      <c r="K749" s="101"/>
    </row>
    <row r="750" spans="1:11">
      <c r="A750" s="1141"/>
      <c r="B750" s="1175" t="s">
        <v>294</v>
      </c>
      <c r="C750" s="1141"/>
      <c r="D750" s="1221" t="s">
        <v>492</v>
      </c>
      <c r="E750" s="1221"/>
      <c r="F750" s="1221"/>
      <c r="G750" s="805"/>
      <c r="H750" s="101"/>
      <c r="I750" s="101"/>
      <c r="J750" s="101"/>
      <c r="K750" s="101"/>
    </row>
    <row r="751" spans="1:11">
      <c r="A751" s="1141"/>
      <c r="B751" s="1141"/>
      <c r="C751" s="1141"/>
      <c r="D751" s="1221"/>
      <c r="E751" s="1221"/>
      <c r="F751" s="1221"/>
      <c r="G751" s="805"/>
      <c r="H751" s="101"/>
      <c r="I751" s="101"/>
      <c r="J751" s="101"/>
      <c r="K751" s="101"/>
    </row>
    <row r="752" spans="1:11">
      <c r="A752" s="1141"/>
      <c r="B752" s="1141"/>
      <c r="C752" s="1141"/>
      <c r="D752" s="1221"/>
      <c r="E752" s="1221"/>
      <c r="F752" s="1221"/>
      <c r="G752" s="805"/>
      <c r="H752" s="101"/>
      <c r="I752" s="101"/>
      <c r="J752" s="101"/>
      <c r="K752" s="101"/>
    </row>
    <row r="753" spans="1:11">
      <c r="A753" s="1141"/>
      <c r="B753" s="1141"/>
      <c r="C753" s="1141"/>
      <c r="D753" s="1100"/>
      <c r="E753" s="1100"/>
      <c r="F753" s="1100"/>
      <c r="G753" s="805"/>
      <c r="H753" s="101"/>
      <c r="I753" s="101"/>
      <c r="J753" s="101"/>
      <c r="K753" s="101"/>
    </row>
    <row r="754" spans="1:11">
      <c r="A754" s="1242" t="s">
        <v>493</v>
      </c>
      <c r="B754" s="1242"/>
      <c r="C754" s="1242"/>
      <c r="D754" s="1242"/>
      <c r="E754" s="1242"/>
      <c r="F754" s="1242"/>
      <c r="G754" s="1242"/>
    </row>
    <row r="755" spans="1:11">
      <c r="A755" s="98"/>
      <c r="B755" s="98"/>
      <c r="C755" s="98"/>
      <c r="D755" s="103"/>
      <c r="E755" s="2"/>
      <c r="F755" s="68"/>
      <c r="G755" s="805"/>
    </row>
    <row r="756" spans="1:11">
      <c r="A756" s="1141"/>
      <c r="B756" s="1141"/>
      <c r="C756" s="1141"/>
      <c r="D756" s="1248" t="s">
        <v>494</v>
      </c>
      <c r="E756" s="1248"/>
      <c r="F756" s="1248"/>
      <c r="G756" s="805"/>
    </row>
    <row r="757" spans="1:11">
      <c r="A757" s="213"/>
      <c r="B757" s="213"/>
      <c r="C757" s="213"/>
      <c r="D757" s="1249" t="s">
        <v>495</v>
      </c>
      <c r="E757" s="1249"/>
      <c r="F757" s="1249"/>
      <c r="G757" s="805"/>
    </row>
    <row r="758" spans="1:11">
      <c r="A758" s="1141"/>
      <c r="B758" s="1141"/>
      <c r="C758" s="1141"/>
      <c r="D758" s="291"/>
      <c r="E758" s="291"/>
      <c r="F758" s="291"/>
      <c r="G758" s="805"/>
    </row>
    <row r="759" spans="1:11">
      <c r="A759" s="99"/>
      <c r="B759" s="1175" t="s">
        <v>294</v>
      </c>
      <c r="C759" s="1141"/>
      <c r="D759" s="1249" t="s">
        <v>496</v>
      </c>
      <c r="E759" s="1249"/>
      <c r="F759" s="1249"/>
      <c r="G759" s="805"/>
    </row>
    <row r="760" spans="1:11">
      <c r="A760" s="1141"/>
      <c r="B760" s="1141"/>
      <c r="C760" s="1141"/>
      <c r="D760" s="291"/>
      <c r="E760" s="1250" t="s">
        <v>497</v>
      </c>
      <c r="F760" s="1250"/>
      <c r="G760" s="805"/>
    </row>
    <row r="761" spans="1:11">
      <c r="A761" s="1116"/>
      <c r="B761" s="1116"/>
      <c r="C761" s="1116"/>
      <c r="D761" s="68"/>
      <c r="E761" s="2"/>
      <c r="F761" s="2"/>
      <c r="G761" s="805"/>
    </row>
    <row r="762" spans="1:11">
      <c r="A762" s="1247" t="s">
        <v>498</v>
      </c>
      <c r="B762" s="1247"/>
      <c r="C762" s="1247"/>
      <c r="D762" s="1247"/>
      <c r="E762" s="1247"/>
      <c r="F762" s="1247"/>
      <c r="G762" s="1247"/>
    </row>
    <row r="763" spans="1:11">
      <c r="A763" s="1116"/>
      <c r="B763" s="1116"/>
      <c r="C763" s="806"/>
      <c r="D763" s="805"/>
      <c r="E763" s="805"/>
      <c r="F763" s="805"/>
      <c r="G763" s="805"/>
    </row>
    <row r="764" spans="1:11">
      <c r="A764" s="68"/>
      <c r="B764" s="1239" t="s">
        <v>499</v>
      </c>
      <c r="C764" s="1239"/>
      <c r="D764" s="1239"/>
      <c r="E764" s="1239"/>
      <c r="F764" s="1239"/>
      <c r="G764" s="805"/>
    </row>
    <row r="765" spans="1:11">
      <c r="A765" s="1118"/>
      <c r="B765" s="1118"/>
      <c r="C765" s="1141"/>
      <c r="D765" s="2"/>
      <c r="E765" s="2"/>
      <c r="F765" s="2"/>
      <c r="G765" s="805"/>
    </row>
    <row r="766" spans="1:11">
      <c r="A766" s="1247" t="s">
        <v>500</v>
      </c>
      <c r="B766" s="1247"/>
      <c r="C766" s="1247"/>
      <c r="D766" s="1247"/>
      <c r="E766" s="1247"/>
      <c r="F766" s="1247"/>
      <c r="G766" s="1247"/>
    </row>
    <row r="767" spans="1:11">
      <c r="A767" s="1116"/>
      <c r="B767" s="1116"/>
      <c r="C767" s="1116"/>
      <c r="D767" s="810"/>
      <c r="E767" s="2"/>
      <c r="F767" s="2"/>
      <c r="G767" s="805"/>
    </row>
    <row r="768" spans="1:11">
      <c r="A768" s="68"/>
      <c r="B768" s="1241" t="s">
        <v>334</v>
      </c>
      <c r="C768" s="1241"/>
      <c r="D768" s="1241"/>
      <c r="E768" s="1241"/>
      <c r="F768" s="1241"/>
      <c r="G768" s="805"/>
    </row>
    <row r="769" spans="1:7">
      <c r="A769" s="99"/>
      <c r="B769" s="99"/>
      <c r="C769" s="1141"/>
      <c r="D769" s="68"/>
      <c r="E769" s="68"/>
      <c r="F769" s="805"/>
      <c r="G769" s="805"/>
    </row>
    <row r="770" spans="1:7">
      <c r="A770" s="1247" t="s">
        <v>501</v>
      </c>
      <c r="B770" s="1247"/>
      <c r="C770" s="1247"/>
      <c r="D770" s="1247"/>
      <c r="E770" s="1247"/>
      <c r="F770" s="1247"/>
      <c r="G770" s="1247"/>
    </row>
    <row r="771" spans="1:7">
      <c r="A771" s="1141"/>
      <c r="B771" s="1141"/>
      <c r="C771" s="98"/>
      <c r="D771" s="97"/>
      <c r="E771" s="68"/>
      <c r="F771" s="805"/>
      <c r="G771" s="805"/>
    </row>
    <row r="772" spans="1:7">
      <c r="A772" s="68"/>
      <c r="B772" s="1241" t="s">
        <v>334</v>
      </c>
      <c r="C772" s="1241"/>
      <c r="D772" s="1241"/>
      <c r="E772" s="1241"/>
      <c r="F772" s="1241"/>
      <c r="G772" s="805"/>
    </row>
    <row r="773" spans="1:7">
      <c r="A773" s="68"/>
      <c r="B773" s="68"/>
      <c r="C773" s="806"/>
      <c r="D773" s="805"/>
      <c r="E773" s="805"/>
      <c r="F773" s="805"/>
      <c r="G773" s="805"/>
    </row>
    <row r="774" spans="1:7">
      <c r="A774" s="1247" t="s">
        <v>502</v>
      </c>
      <c r="B774" s="1247"/>
      <c r="C774" s="1247"/>
      <c r="D774" s="1247"/>
      <c r="E774" s="1247"/>
      <c r="F774" s="1247"/>
      <c r="G774" s="1247"/>
    </row>
    <row r="775" spans="1:7">
      <c r="A775" s="68"/>
      <c r="B775" s="68"/>
      <c r="C775" s="1141"/>
      <c r="D775" s="2"/>
      <c r="E775" s="2"/>
      <c r="F775" s="2"/>
      <c r="G775" s="2"/>
    </row>
    <row r="776" spans="1:7">
      <c r="A776" s="68"/>
      <c r="B776" s="1241" t="s">
        <v>334</v>
      </c>
      <c r="C776" s="1241"/>
      <c r="D776" s="1241"/>
      <c r="E776" s="1241"/>
      <c r="F776" s="1241"/>
      <c r="G776" s="2"/>
    </row>
    <row r="777" spans="1:7">
      <c r="A777" s="806"/>
      <c r="B777" s="806"/>
      <c r="C777" s="806"/>
      <c r="D777" s="1108"/>
      <c r="E777" s="2"/>
      <c r="F777" s="805"/>
      <c r="G777" s="2"/>
    </row>
    <row r="778" spans="1:7">
      <c r="A778" s="1247" t="s">
        <v>503</v>
      </c>
      <c r="B778" s="1247"/>
      <c r="C778" s="1247"/>
      <c r="D778" s="1247"/>
      <c r="E778" s="1247"/>
      <c r="F778" s="1247"/>
      <c r="G778" s="1247"/>
    </row>
    <row r="779" spans="1:7">
      <c r="A779" s="68"/>
      <c r="B779" s="68"/>
      <c r="C779" s="1141"/>
      <c r="D779" s="2"/>
      <c r="E779" s="2"/>
      <c r="F779" s="2"/>
      <c r="G779" s="2"/>
    </row>
    <row r="780" spans="1:7">
      <c r="A780" s="68"/>
      <c r="B780" s="1241" t="s">
        <v>334</v>
      </c>
      <c r="C780" s="1241"/>
      <c r="D780" s="1241"/>
      <c r="E780" s="1241"/>
      <c r="F780" s="1241"/>
      <c r="G780" s="2"/>
    </row>
    <row r="781" spans="1:7">
      <c r="A781" s="806"/>
      <c r="B781" s="806"/>
      <c r="C781" s="806"/>
      <c r="D781" s="1108"/>
      <c r="E781" s="2"/>
      <c r="F781" s="805"/>
      <c r="G781" s="2"/>
    </row>
    <row r="782" spans="1:7">
      <c r="A782" s="1247" t="s">
        <v>504</v>
      </c>
      <c r="B782" s="1247"/>
      <c r="C782" s="1247"/>
      <c r="D782" s="1247"/>
      <c r="E782" s="1247"/>
      <c r="F782" s="1247"/>
      <c r="G782" s="1247"/>
    </row>
    <row r="783" spans="1:7">
      <c r="A783" s="68"/>
      <c r="B783" s="68"/>
      <c r="C783" s="1141"/>
      <c r="D783" s="2"/>
      <c r="E783" s="2"/>
      <c r="F783" s="2"/>
      <c r="G783" s="2"/>
    </row>
    <row r="784" spans="1:7">
      <c r="A784" s="68"/>
      <c r="B784" s="1241" t="s">
        <v>334</v>
      </c>
      <c r="C784" s="1241"/>
      <c r="D784" s="1241"/>
      <c r="E784" s="1241"/>
      <c r="F784" s="1241"/>
      <c r="G784" s="2"/>
    </row>
    <row r="785" spans="1:7">
      <c r="A785" s="1141"/>
      <c r="B785" s="1141"/>
      <c r="C785" s="1141"/>
      <c r="D785" s="1108"/>
      <c r="E785" s="2"/>
      <c r="F785" s="2"/>
      <c r="G785" s="2"/>
    </row>
    <row r="786" spans="1:7">
      <c r="A786" s="1247" t="s">
        <v>505</v>
      </c>
      <c r="B786" s="1247"/>
      <c r="C786" s="1247"/>
      <c r="D786" s="1247"/>
      <c r="E786" s="1247"/>
      <c r="F786" s="1247"/>
      <c r="G786" s="1247"/>
    </row>
    <row r="787" spans="1:7">
      <c r="A787" s="68"/>
      <c r="B787" s="68"/>
      <c r="C787" s="1141"/>
      <c r="D787" s="2"/>
      <c r="E787" s="2"/>
      <c r="F787" s="2"/>
      <c r="G787" s="2"/>
    </row>
    <row r="788" spans="1:7">
      <c r="A788" s="68"/>
      <c r="B788" s="1241" t="s">
        <v>334</v>
      </c>
      <c r="C788" s="1241"/>
      <c r="D788" s="1241"/>
      <c r="E788" s="1241"/>
      <c r="F788" s="1241"/>
      <c r="G788" s="2"/>
    </row>
    <row r="789" spans="1:7">
      <c r="A789" s="68"/>
      <c r="B789" s="68"/>
      <c r="C789" s="1141"/>
      <c r="D789" s="1108"/>
      <c r="E789" s="2"/>
      <c r="F789" s="2"/>
      <c r="G789" s="2"/>
    </row>
    <row r="790" spans="1:7">
      <c r="A790" s="1247" t="s">
        <v>506</v>
      </c>
      <c r="B790" s="1247"/>
      <c r="C790" s="1247"/>
      <c r="D790" s="1247"/>
      <c r="E790" s="1247"/>
      <c r="F790" s="1247"/>
      <c r="G790" s="1247"/>
    </row>
    <row r="791" spans="1:7">
      <c r="A791" s="68"/>
      <c r="B791" s="68"/>
      <c r="C791" s="1141"/>
      <c r="D791" s="2"/>
      <c r="E791" s="2"/>
      <c r="F791" s="2"/>
      <c r="G791" s="2"/>
    </row>
    <row r="792" spans="1:7">
      <c r="A792" s="68"/>
      <c r="B792" s="1241" t="s">
        <v>334</v>
      </c>
      <c r="C792" s="1241"/>
      <c r="D792" s="1241"/>
      <c r="E792" s="1241"/>
      <c r="F792" s="1241"/>
      <c r="G792"/>
    </row>
    <row r="793" spans="1:7">
      <c r="A793" s="1116"/>
      <c r="B793" s="1116"/>
      <c r="C793" s="1116"/>
      <c r="D793" s="2"/>
      <c r="E793"/>
      <c r="F793"/>
      <c r="G793"/>
    </row>
    <row r="794" spans="1:7">
      <c r="A794" s="99"/>
      <c r="B794" s="99"/>
      <c r="C794" s="98"/>
      <c r="D794" s="1108"/>
      <c r="E794"/>
      <c r="F794"/>
      <c r="G794"/>
    </row>
    <row r="795" spans="1:7" ht="12.75" hidden="1" customHeight="1">
      <c r="A795" s="1141"/>
      <c r="B795" s="1141"/>
      <c r="C795" s="1141"/>
      <c r="D795" s="68"/>
      <c r="E795"/>
      <c r="F795"/>
      <c r="G795"/>
    </row>
    <row r="796" spans="1:7" ht="12.75" hidden="1" customHeight="1">
      <c r="A796" s="1141"/>
      <c r="B796" s="1141"/>
      <c r="C796" s="1141"/>
      <c r="D796" s="2"/>
      <c r="E796"/>
      <c r="F796"/>
      <c r="G796"/>
    </row>
    <row r="797" spans="1:7" ht="12.75" hidden="1" customHeight="1">
      <c r="A797" s="1141"/>
      <c r="B797" s="1141"/>
      <c r="C797" s="1141"/>
      <c r="D797" s="2"/>
      <c r="E797"/>
      <c r="F797"/>
      <c r="G797"/>
    </row>
    <row r="798" spans="1:7" ht="12.75" hidden="1" customHeight="1">
      <c r="A798" s="1141"/>
      <c r="B798" s="1141"/>
      <c r="C798" s="1141"/>
      <c r="D798" s="1"/>
      <c r="E798"/>
      <c r="F798"/>
      <c r="G798"/>
    </row>
    <row r="799" spans="1:7" ht="12.75" hidden="1" customHeight="1">
      <c r="A799" s="1141"/>
      <c r="B799" s="1141"/>
      <c r="C799" s="1141"/>
      <c r="D799" s="1"/>
      <c r="E799"/>
      <c r="F799"/>
      <c r="G799"/>
    </row>
    <row r="800" spans="1:7" ht="12.75" hidden="1" customHeight="1">
      <c r="A800" s="1141"/>
      <c r="B800" s="1141"/>
      <c r="C800" s="1141"/>
      <c r="D800" s="1"/>
      <c r="E800"/>
      <c r="F800"/>
      <c r="G800"/>
    </row>
    <row r="801" spans="1:7" ht="12.75" hidden="1" customHeight="1">
      <c r="A801" s="1141"/>
      <c r="B801" s="1141"/>
      <c r="C801" s="1141"/>
      <c r="D801" s="2"/>
      <c r="E801"/>
      <c r="F801"/>
      <c r="G801"/>
    </row>
    <row r="802" spans="1:7" ht="14.25" hidden="1" customHeight="1">
      <c r="A802" s="99"/>
      <c r="B802" s="99"/>
      <c r="C802" s="1141"/>
      <c r="D802" s="68"/>
      <c r="E802"/>
      <c r="F802"/>
      <c r="G802"/>
    </row>
    <row r="803" spans="1:7" ht="12.75" hidden="1" customHeight="1">
      <c r="A803" s="1141"/>
      <c r="B803" s="1141"/>
      <c r="C803" s="1141"/>
      <c r="D803" s="2"/>
      <c r="E803"/>
      <c r="F803"/>
      <c r="G803"/>
    </row>
    <row r="804" spans="1:7" ht="12.75" hidden="1" customHeight="1">
      <c r="A804" s="1141"/>
      <c r="B804" s="1141"/>
      <c r="C804" s="1141"/>
      <c r="D804" s="2"/>
      <c r="E804"/>
      <c r="F804"/>
      <c r="G804"/>
    </row>
    <row r="805" spans="1:7" ht="12.75" hidden="1" customHeight="1">
      <c r="A805" s="1141"/>
      <c r="B805" s="1141"/>
      <c r="C805" s="1141"/>
      <c r="D805" s="1"/>
      <c r="E805"/>
      <c r="F805"/>
      <c r="G805"/>
    </row>
    <row r="806" spans="1:7" ht="12.75" hidden="1" customHeight="1">
      <c r="A806" s="1141"/>
      <c r="B806" s="1141"/>
      <c r="C806" s="1141"/>
      <c r="D806" s="1"/>
      <c r="E806"/>
      <c r="F806"/>
      <c r="G806"/>
    </row>
    <row r="807" spans="1:7" ht="14.25" hidden="1" customHeight="1">
      <c r="A807" s="99"/>
      <c r="B807" s="99"/>
      <c r="C807" s="1141"/>
      <c r="D807" s="68"/>
      <c r="E807"/>
      <c r="F807"/>
      <c r="G807"/>
    </row>
    <row r="808" spans="1:7" ht="12.75" hidden="1" customHeight="1">
      <c r="A808" s="1141"/>
      <c r="B808" s="1141"/>
      <c r="C808" s="1141"/>
      <c r="D808" s="2"/>
      <c r="E808"/>
      <c r="F808"/>
      <c r="G808"/>
    </row>
    <row r="809" spans="1:7" ht="12.75" hidden="1" customHeight="1">
      <c r="A809" s="1141"/>
      <c r="B809" s="1141"/>
      <c r="C809" s="1141"/>
      <c r="D809" s="2"/>
      <c r="E809"/>
      <c r="F809"/>
      <c r="G809"/>
    </row>
    <row r="810" spans="1:7" ht="14.25" hidden="1" customHeight="1">
      <c r="A810" s="99"/>
      <c r="B810" s="99"/>
      <c r="C810" s="1141"/>
      <c r="D810" s="68"/>
      <c r="E810"/>
      <c r="F810"/>
      <c r="G810"/>
    </row>
    <row r="811" spans="1:7" ht="12.75" hidden="1" customHeight="1">
      <c r="A811" s="1141"/>
      <c r="B811" s="1141"/>
      <c r="C811" s="1141"/>
      <c r="D811" s="2"/>
      <c r="E811"/>
      <c r="F811"/>
      <c r="G811"/>
    </row>
    <row r="812" spans="1:7" ht="14.25" hidden="1" customHeight="1">
      <c r="A812" s="99"/>
      <c r="B812" s="99"/>
      <c r="C812" s="1141"/>
      <c r="D812" s="68"/>
      <c r="E812"/>
      <c r="F812"/>
      <c r="G812"/>
    </row>
    <row r="813" spans="1:7" ht="12.75" hidden="1" customHeight="1">
      <c r="A813" s="1116"/>
      <c r="B813" s="1116"/>
      <c r="C813" s="1116"/>
      <c r="D813" s="2"/>
      <c r="E813"/>
      <c r="F813"/>
      <c r="G813"/>
    </row>
    <row r="814" spans="1:7" ht="12.75" hidden="1" customHeight="1">
      <c r="A814" s="1141"/>
      <c r="B814" s="1141"/>
      <c r="C814" s="1141"/>
      <c r="D814" s="2"/>
      <c r="E814"/>
      <c r="F814"/>
      <c r="G814"/>
    </row>
    <row r="815" spans="1:7" ht="12.75" hidden="1" customHeight="1">
      <c r="A815" s="1141"/>
      <c r="B815" s="1141"/>
      <c r="C815" s="1141"/>
      <c r="D815" s="2"/>
      <c r="E815"/>
      <c r="F815"/>
      <c r="G815"/>
    </row>
    <row r="816" spans="1:7" ht="12.75" hidden="1" customHeight="1">
      <c r="A816" s="1141"/>
      <c r="B816" s="1141"/>
      <c r="C816" s="1141"/>
      <c r="D816" s="2"/>
      <c r="E816"/>
      <c r="F816"/>
      <c r="G816"/>
    </row>
    <row r="817" spans="1:7" ht="12.75" hidden="1" customHeight="1">
      <c r="A817" s="1141"/>
      <c r="B817" s="1141"/>
      <c r="C817" s="1141"/>
      <c r="D817" s="2"/>
      <c r="E817"/>
      <c r="F817"/>
      <c r="G817"/>
    </row>
    <row r="818" spans="1:7" ht="12.75" hidden="1" customHeight="1">
      <c r="A818" s="1141"/>
      <c r="B818" s="1141"/>
      <c r="C818" s="1141"/>
      <c r="D818" s="2"/>
      <c r="E818"/>
      <c r="F818"/>
      <c r="G818"/>
    </row>
    <row r="819" spans="1:7" ht="12.75" hidden="1" customHeight="1">
      <c r="A819" s="1141"/>
      <c r="B819" s="1141"/>
      <c r="C819" s="1141"/>
      <c r="D819" s="2"/>
      <c r="E819"/>
      <c r="F819"/>
      <c r="G819"/>
    </row>
    <row r="820" spans="1:7" ht="12.75" hidden="1" customHeight="1">
      <c r="A820" s="1141"/>
      <c r="B820" s="1141"/>
      <c r="C820" s="1141"/>
      <c r="D820" s="2"/>
      <c r="E820"/>
      <c r="F820"/>
      <c r="G820"/>
    </row>
    <row r="821" spans="1:7" ht="12.75" hidden="1" customHeight="1">
      <c r="A821" s="1141"/>
      <c r="B821" s="1141"/>
      <c r="C821" s="1141"/>
      <c r="D821" s="2"/>
      <c r="E821"/>
      <c r="F821"/>
      <c r="G821"/>
    </row>
    <row r="822" spans="1:7" ht="12.75" hidden="1" customHeight="1">
      <c r="A822" s="1141"/>
      <c r="B822" s="1141"/>
      <c r="C822" s="1141"/>
      <c r="D822" s="2"/>
      <c r="E822"/>
      <c r="F822"/>
      <c r="G822"/>
    </row>
    <row r="823" spans="1:7" ht="12.75" hidden="1" customHeight="1">
      <c r="A823" s="1141"/>
      <c r="B823" s="1141"/>
      <c r="C823" s="1141"/>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5" style="291" customWidth="1"/>
    <col min="11" max="16384" width="8.83203125" style="291" hidden="1"/>
  </cols>
  <sheetData>
    <row r="1" spans="1:10" ht="14.25" customHeight="1"/>
    <row r="2" spans="1:10" ht="16">
      <c r="A2" s="1272" t="s">
        <v>507</v>
      </c>
      <c r="B2" s="1273"/>
      <c r="C2" s="1273"/>
      <c r="D2" s="1273"/>
      <c r="E2" s="1273"/>
      <c r="F2" s="1273"/>
      <c r="G2" s="1273"/>
      <c r="H2" s="1273"/>
      <c r="I2" s="1273"/>
      <c r="J2" s="1273"/>
    </row>
    <row r="3" spans="1:10" ht="16">
      <c r="A3" s="1276" t="s">
        <v>508</v>
      </c>
      <c r="B3" s="1277"/>
      <c r="C3" s="1277"/>
      <c r="D3" s="1277"/>
      <c r="E3" s="1277"/>
      <c r="F3" s="1277"/>
      <c r="G3" s="1277"/>
      <c r="H3" s="1277"/>
      <c r="I3" s="1277"/>
      <c r="J3" s="1277"/>
    </row>
    <row r="4" spans="1:10" ht="13"/>
    <row r="5" spans="1:10" ht="12.75" customHeight="1">
      <c r="A5" s="1274" t="s">
        <v>509</v>
      </c>
      <c r="B5" s="1274"/>
      <c r="C5" s="1274"/>
      <c r="D5" s="1274"/>
      <c r="E5" s="1274"/>
      <c r="F5" s="1274"/>
      <c r="G5" s="1274"/>
      <c r="H5" s="1274"/>
      <c r="I5" s="1274"/>
      <c r="J5" s="1274"/>
    </row>
    <row r="6" spans="1:10" ht="13">
      <c r="A6" s="1274"/>
      <c r="B6" s="1274"/>
      <c r="C6" s="1274"/>
      <c r="D6" s="1274"/>
      <c r="E6" s="1274"/>
      <c r="F6" s="1274"/>
      <c r="G6" s="1274"/>
      <c r="H6" s="1274"/>
      <c r="I6" s="1274"/>
      <c r="J6" s="1274"/>
    </row>
    <row r="7" spans="1:10" ht="30" customHeight="1">
      <c r="A7" s="1274"/>
      <c r="B7" s="1274"/>
      <c r="C7" s="1274"/>
      <c r="D7" s="1274"/>
      <c r="E7" s="1274"/>
      <c r="F7" s="1274"/>
      <c r="G7" s="1274"/>
      <c r="H7" s="1274"/>
      <c r="I7" s="1274"/>
      <c r="J7" s="1274"/>
    </row>
    <row r="8" spans="1:10" ht="13">
      <c r="A8" s="1125"/>
      <c r="B8" s="1125"/>
      <c r="C8" s="1125"/>
      <c r="D8" s="1125"/>
      <c r="E8" s="1125"/>
      <c r="F8" s="1125"/>
      <c r="G8" s="1125"/>
      <c r="H8" s="1125"/>
      <c r="I8" s="1125"/>
      <c r="J8" s="1125"/>
    </row>
    <row r="9" spans="1:10" ht="12.75" customHeight="1">
      <c r="A9" s="291" t="s">
        <v>510</v>
      </c>
      <c r="B9" s="1125"/>
      <c r="C9" s="1125"/>
      <c r="D9" s="1125"/>
      <c r="E9" s="1125"/>
      <c r="F9" s="1125"/>
      <c r="G9" s="1125"/>
      <c r="H9" s="1125"/>
      <c r="I9" s="1125"/>
      <c r="J9" s="1125"/>
    </row>
    <row r="10" spans="1:10" ht="13"/>
    <row r="11" spans="1:10" ht="12.75" customHeight="1">
      <c r="A11" s="1278" t="s">
        <v>511</v>
      </c>
      <c r="B11" s="1278"/>
      <c r="C11" s="1278"/>
      <c r="D11" s="1278"/>
      <c r="E11" s="1278"/>
      <c r="F11" s="1278"/>
      <c r="G11" s="1278"/>
      <c r="H11" s="1278"/>
      <c r="I11" s="1278"/>
      <c r="J11" s="1278"/>
    </row>
    <row r="12" spans="1:10" ht="13">
      <c r="A12" s="1278"/>
      <c r="B12" s="1278"/>
      <c r="C12" s="1278"/>
      <c r="D12" s="1278"/>
      <c r="E12" s="1278"/>
      <c r="F12" s="1278"/>
      <c r="G12" s="1278"/>
      <c r="H12" s="1278"/>
      <c r="I12" s="1278"/>
      <c r="J12" s="1278"/>
    </row>
    <row r="13" spans="1:10" ht="13">
      <c r="A13" s="1278"/>
      <c r="B13" s="1278"/>
      <c r="C13" s="1278"/>
      <c r="D13" s="1278"/>
      <c r="E13" s="1278"/>
      <c r="F13" s="1278"/>
      <c r="G13" s="1278"/>
      <c r="H13" s="1278"/>
      <c r="I13" s="1278"/>
      <c r="J13" s="1278"/>
    </row>
    <row r="14" spans="1:10" ht="13">
      <c r="A14" s="1278"/>
      <c r="B14" s="1278"/>
      <c r="C14" s="1278"/>
      <c r="D14" s="1278"/>
      <c r="E14" s="1278"/>
      <c r="F14" s="1278"/>
      <c r="G14" s="1278"/>
      <c r="H14" s="1278"/>
      <c r="I14" s="1278"/>
      <c r="J14" s="1278"/>
    </row>
    <row r="15" spans="1:10" ht="13">
      <c r="A15" s="1278"/>
      <c r="B15" s="1278"/>
      <c r="C15" s="1278"/>
      <c r="D15" s="1278"/>
      <c r="E15" s="1278"/>
      <c r="F15" s="1278"/>
      <c r="G15" s="1278"/>
      <c r="H15" s="1278"/>
      <c r="I15" s="1278"/>
      <c r="J15" s="1278"/>
    </row>
    <row r="16" spans="1:10" ht="13">
      <c r="A16" s="1278"/>
      <c r="B16" s="1278"/>
      <c r="C16" s="1278"/>
      <c r="D16" s="1278"/>
      <c r="E16" s="1278"/>
      <c r="F16" s="1278"/>
      <c r="G16" s="1278"/>
      <c r="H16" s="1278"/>
      <c r="I16" s="1278"/>
      <c r="J16" s="1278"/>
    </row>
    <row r="17" spans="1:10" ht="13">
      <c r="A17" s="1126"/>
      <c r="B17" s="1126"/>
      <c r="C17" s="1126"/>
      <c r="D17" s="1126"/>
      <c r="E17" s="1126"/>
      <c r="F17" s="1126"/>
      <c r="G17" s="1126"/>
      <c r="H17" s="1126"/>
      <c r="I17" s="1126"/>
      <c r="J17" s="1126"/>
    </row>
    <row r="18" spans="1:10" ht="13">
      <c r="A18" s="352" t="s">
        <v>512</v>
      </c>
      <c r="B18" s="1125"/>
      <c r="C18" s="1125"/>
      <c r="D18" s="1125"/>
      <c r="E18" s="1125"/>
      <c r="F18" s="1125"/>
      <c r="G18" s="1125"/>
      <c r="H18" s="1125"/>
      <c r="I18" s="1125"/>
      <c r="J18" s="1125"/>
    </row>
    <row r="19" spans="1:10" ht="14">
      <c r="A19" s="1125" t="s">
        <v>253</v>
      </c>
      <c r="B19" s="1125"/>
      <c r="C19" s="1125"/>
      <c r="D19" s="1125"/>
      <c r="E19" s="1125"/>
      <c r="F19" s="1125"/>
      <c r="G19" s="1125"/>
      <c r="H19" s="1125"/>
      <c r="I19" s="1125"/>
      <c r="J19" s="1125"/>
    </row>
    <row r="20" spans="1:10" ht="13">
      <c r="A20" s="1277" t="s">
        <v>513</v>
      </c>
      <c r="B20" s="1277"/>
      <c r="C20" s="1277"/>
      <c r="D20" s="1277"/>
      <c r="E20" s="1277"/>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4" t="s">
        <v>514</v>
      </c>
      <c r="B57" s="1274"/>
      <c r="C57" s="1274"/>
      <c r="D57" s="1274"/>
      <c r="E57" s="1274"/>
      <c r="F57" s="1274"/>
      <c r="G57" s="1274"/>
      <c r="H57" s="1274"/>
      <c r="I57" s="1274"/>
      <c r="J57" s="1274"/>
    </row>
    <row r="58" spans="1:10" ht="13">
      <c r="A58" s="1274"/>
      <c r="B58" s="1274"/>
      <c r="C58" s="1274"/>
      <c r="D58" s="1274"/>
      <c r="E58" s="1274"/>
      <c r="F58" s="1274"/>
      <c r="G58" s="1274"/>
      <c r="H58" s="1274"/>
      <c r="I58" s="1274"/>
      <c r="J58" s="1274"/>
    </row>
    <row r="59" spans="1:10" ht="13">
      <c r="A59" s="1274"/>
      <c r="B59" s="1274"/>
      <c r="C59" s="1274"/>
      <c r="D59" s="1274"/>
      <c r="E59" s="1274"/>
      <c r="F59" s="1274"/>
      <c r="G59" s="1274"/>
      <c r="H59" s="1274"/>
      <c r="I59" s="1274"/>
      <c r="J59" s="1274"/>
    </row>
    <row r="60" spans="1:10" ht="13"/>
    <row r="61" spans="1:10" ht="13">
      <c r="A61" s="291" t="s">
        <v>513</v>
      </c>
    </row>
    <row r="62" spans="1:10" ht="13"/>
    <row r="63" spans="1:10" ht="13"/>
    <row r="64" spans="1:10" ht="13"/>
    <row r="65" spans="1:9" ht="13"/>
    <row r="66" spans="1:9" ht="13"/>
    <row r="67" spans="1:9" ht="13"/>
    <row r="68" spans="1:9" ht="13"/>
    <row r="69" spans="1:9" ht="13"/>
    <row r="70" spans="1:9" ht="13"/>
    <row r="71" spans="1:9" ht="13"/>
    <row r="72" spans="1:9" ht="13">
      <c r="A72" s="1275" t="s">
        <v>515</v>
      </c>
      <c r="B72" s="1275"/>
      <c r="C72" s="1275"/>
      <c r="D72" s="1275"/>
      <c r="E72" s="1275"/>
      <c r="F72" s="1275"/>
      <c r="G72" s="1275"/>
      <c r="H72" s="1275"/>
      <c r="I72" s="1275"/>
    </row>
    <row r="73" spans="1:9" ht="13">
      <c r="A73" s="1228" t="s">
        <v>13</v>
      </c>
      <c r="B73" s="1228"/>
      <c r="C73" s="1228"/>
      <c r="D73" s="1228"/>
      <c r="E73" s="1228"/>
    </row>
    <row r="74" spans="1:9" ht="13">
      <c r="A74" s="1228" t="s">
        <v>14</v>
      </c>
      <c r="B74" s="1228"/>
      <c r="C74" s="1228"/>
      <c r="D74" s="1228"/>
      <c r="E74" s="1228"/>
    </row>
    <row r="75" spans="1:9" ht="13">
      <c r="A75" s="1228" t="s">
        <v>516</v>
      </c>
      <c r="B75" s="1228"/>
      <c r="C75" s="1228"/>
      <c r="D75" s="1228"/>
      <c r="E75" s="1228"/>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4" zoomScale="91" workbookViewId="0">
      <selection activeCell="D1103" sqref="D1103:F1105"/>
    </sheetView>
  </sheetViews>
  <sheetFormatPr baseColWidth="10" defaultColWidth="0" defaultRowHeight="13" zeroHeight="1"/>
  <cols>
    <col min="1" max="1" width="3.5" style="355" customWidth="1"/>
    <col min="2" max="2" width="13.5" style="355" customWidth="1"/>
    <col min="3" max="3" width="2.5" style="355" customWidth="1"/>
    <col min="4" max="5" width="3.5" style="291" customWidth="1"/>
    <col min="6" max="6" width="65.5" style="291" customWidth="1"/>
    <col min="7" max="7" width="1.5" style="291" customWidth="1"/>
    <col min="8" max="8" width="3.5" style="291" customWidth="1"/>
    <col min="9" max="9" width="24.5" style="293" customWidth="1"/>
    <col min="10" max="10" width="8.83203125" style="291" customWidth="1"/>
    <col min="11" max="16384" width="8.83203125" style="291" hidden="1"/>
  </cols>
  <sheetData>
    <row r="1" spans="1:13"/>
    <row r="2" spans="1:13">
      <c r="A2" s="1279" t="s">
        <v>517</v>
      </c>
      <c r="B2" s="1279"/>
      <c r="C2" s="1279"/>
      <c r="D2" s="1279"/>
      <c r="E2" s="1279"/>
      <c r="F2" s="1279"/>
      <c r="G2" s="1279"/>
      <c r="H2" s="1279"/>
      <c r="I2" s="1279"/>
    </row>
    <row r="3" spans="1:13">
      <c r="A3" s="1280" t="s">
        <v>518</v>
      </c>
      <c r="B3" s="1280"/>
      <c r="C3" s="1280"/>
      <c r="D3" s="1280"/>
      <c r="E3" s="1280"/>
      <c r="F3" s="1280"/>
      <c r="G3" s="1280"/>
      <c r="H3" s="1280"/>
      <c r="I3" s="1280"/>
    </row>
    <row r="4" spans="1:13">
      <c r="A4" s="1280"/>
      <c r="B4" s="1280"/>
      <c r="C4" s="1277"/>
      <c r="D4" s="1277"/>
      <c r="E4" s="1277"/>
      <c r="F4" s="1277"/>
      <c r="G4" s="1277"/>
    </row>
    <row r="5" spans="1:13">
      <c r="A5" s="1280"/>
      <c r="B5" s="1280"/>
      <c r="C5" s="1277"/>
      <c r="D5" s="1277"/>
      <c r="E5" s="1277"/>
      <c r="F5" s="1277"/>
      <c r="G5" s="1277"/>
    </row>
    <row r="6" spans="1:13" ht="12.75" customHeight="1">
      <c r="A6" s="1294" t="s">
        <v>519</v>
      </c>
      <c r="B6" s="1294"/>
      <c r="C6" s="1294"/>
      <c r="D6" s="1294"/>
      <c r="E6" s="1294"/>
      <c r="F6" s="1294"/>
      <c r="G6" s="1294"/>
      <c r="I6" s="1133" t="s">
        <v>520</v>
      </c>
    </row>
    <row r="7" spans="1:13">
      <c r="A7" s="1294"/>
      <c r="B7" s="1294"/>
      <c r="C7" s="1294"/>
      <c r="D7" s="1294"/>
      <c r="E7" s="1294"/>
      <c r="F7" s="1294"/>
      <c r="G7" s="1294"/>
      <c r="I7" s="1133" t="s">
        <v>521</v>
      </c>
    </row>
    <row r="8" spans="1:13">
      <c r="A8" s="1110"/>
      <c r="B8" s="1110"/>
      <c r="C8" s="1136"/>
      <c r="D8" s="1136"/>
      <c r="E8" s="1136"/>
      <c r="F8" s="1136"/>
    </row>
    <row r="9" spans="1:13">
      <c r="A9" s="1242" t="s">
        <v>302</v>
      </c>
      <c r="B9" s="1242"/>
      <c r="C9" s="1242"/>
      <c r="D9" s="1242"/>
      <c r="E9" s="1242"/>
      <c r="F9" s="1242"/>
      <c r="G9" s="1242"/>
      <c r="H9" s="836"/>
      <c r="I9" s="837"/>
    </row>
    <row r="10" spans="1:13">
      <c r="A10" s="1136"/>
      <c r="B10" s="1136"/>
      <c r="E10" s="293"/>
    </row>
    <row r="11" spans="1:13" ht="13.75" customHeight="1">
      <c r="C11" s="1136"/>
      <c r="D11" s="1293" t="s">
        <v>303</v>
      </c>
      <c r="E11" s="1293"/>
      <c r="F11" s="1293"/>
    </row>
    <row r="12" spans="1:13">
      <c r="C12" s="1136"/>
      <c r="D12" s="1293"/>
      <c r="E12" s="1293"/>
      <c r="F12" s="1293"/>
    </row>
    <row r="13" spans="1:13">
      <c r="A13" s="356"/>
      <c r="B13" s="356"/>
      <c r="C13" s="356"/>
      <c r="D13" s="1263" t="s">
        <v>304</v>
      </c>
      <c r="E13" s="1263"/>
      <c r="F13" s="1263"/>
      <c r="M13" s="55"/>
    </row>
    <row r="14" spans="1:13">
      <c r="A14" s="356"/>
      <c r="B14" s="356"/>
      <c r="C14" s="356"/>
      <c r="D14" s="352"/>
      <c r="L14" s="1134"/>
    </row>
    <row r="15" spans="1:13">
      <c r="A15" s="357"/>
      <c r="B15" s="358" t="s">
        <v>522</v>
      </c>
      <c r="C15" s="356"/>
      <c r="D15" s="1236" t="s">
        <v>523</v>
      </c>
      <c r="E15" s="1236"/>
      <c r="F15" s="1236"/>
      <c r="I15" s="1133" t="s">
        <v>524</v>
      </c>
    </row>
    <row r="16" spans="1:13">
      <c r="A16" s="356"/>
      <c r="B16" s="356"/>
      <c r="C16" s="356"/>
      <c r="D16" s="1236"/>
      <c r="E16" s="1236"/>
      <c r="F16" s="1236"/>
      <c r="I16" s="1133"/>
    </row>
    <row r="17" spans="1:9">
      <c r="A17" s="356"/>
      <c r="B17" s="356"/>
      <c r="C17" s="356"/>
      <c r="D17" s="1236"/>
      <c r="E17" s="1236"/>
      <c r="F17" s="1236"/>
      <c r="I17" s="1133"/>
    </row>
    <row r="18" spans="1:9">
      <c r="A18" s="356"/>
      <c r="B18" s="356"/>
      <c r="C18" s="356"/>
      <c r="D18" s="1111"/>
      <c r="E18" s="1134" t="s">
        <v>525</v>
      </c>
      <c r="F18" s="1111"/>
      <c r="I18" s="1133"/>
    </row>
    <row r="19" spans="1:9">
      <c r="A19" s="356"/>
      <c r="B19" s="356"/>
      <c r="C19" s="356"/>
      <c r="I19" s="1133"/>
    </row>
    <row r="20" spans="1:9">
      <c r="A20" s="357"/>
      <c r="B20" s="358" t="s">
        <v>522</v>
      </c>
      <c r="D20" s="1236" t="s">
        <v>526</v>
      </c>
      <c r="E20" s="1236"/>
      <c r="F20" s="1236"/>
      <c r="I20" s="1133" t="s">
        <v>527</v>
      </c>
    </row>
    <row r="21" spans="1:9">
      <c r="A21" s="357"/>
      <c r="D21" s="1236"/>
      <c r="E21" s="1236"/>
      <c r="F21" s="1236"/>
      <c r="I21" s="1133"/>
    </row>
    <row r="22" spans="1:9">
      <c r="A22" s="357"/>
      <c r="D22" s="1113"/>
      <c r="E22" s="55" t="s">
        <v>528</v>
      </c>
      <c r="F22" s="1113"/>
      <c r="I22" s="1133"/>
    </row>
    <row r="23" spans="1:9">
      <c r="A23" s="357"/>
      <c r="B23" s="357"/>
      <c r="D23" s="1112"/>
      <c r="I23" s="1133"/>
    </row>
    <row r="24" spans="1:9">
      <c r="A24" s="357"/>
      <c r="B24" s="358" t="s">
        <v>529</v>
      </c>
      <c r="D24" s="1236" t="s">
        <v>307</v>
      </c>
      <c r="E24" s="1236"/>
      <c r="F24" s="1236"/>
      <c r="I24" s="1133" t="s">
        <v>527</v>
      </c>
    </row>
    <row r="25" spans="1:9">
      <c r="A25" s="357"/>
      <c r="B25" s="357"/>
      <c r="D25" s="1236"/>
      <c r="E25" s="1236"/>
      <c r="F25" s="1236"/>
      <c r="I25" s="1133"/>
    </row>
    <row r="26" spans="1:9">
      <c r="I26" s="1133"/>
    </row>
    <row r="27" spans="1:9">
      <c r="A27" s="357"/>
      <c r="B27" s="358" t="s">
        <v>522</v>
      </c>
      <c r="D27" s="1236" t="s">
        <v>530</v>
      </c>
      <c r="E27" s="1236"/>
      <c r="F27" s="1236"/>
      <c r="I27" s="1133" t="s">
        <v>531</v>
      </c>
    </row>
    <row r="28" spans="1:9">
      <c r="D28" s="1236"/>
      <c r="E28" s="1236"/>
      <c r="F28" s="1236"/>
      <c r="I28" s="1133"/>
    </row>
    <row r="29" spans="1:9">
      <c r="D29" s="1236"/>
      <c r="E29" s="1236"/>
      <c r="F29" s="1236"/>
      <c r="I29" s="1133"/>
    </row>
    <row r="30" spans="1:9">
      <c r="D30" s="1236"/>
      <c r="E30" s="1236"/>
      <c r="F30" s="1236"/>
      <c r="I30" s="1133"/>
    </row>
    <row r="31" spans="1:9">
      <c r="D31" s="1236"/>
      <c r="E31" s="1236"/>
      <c r="F31" s="1236"/>
      <c r="I31" s="1133"/>
    </row>
    <row r="32" spans="1:9">
      <c r="D32" s="1106"/>
      <c r="I32" s="1133"/>
    </row>
    <row r="33" spans="1:9">
      <c r="B33" s="358" t="s">
        <v>522</v>
      </c>
      <c r="D33" s="1236" t="s">
        <v>532</v>
      </c>
      <c r="E33" s="1236"/>
      <c r="F33" s="1236"/>
      <c r="I33" s="1133" t="s">
        <v>524</v>
      </c>
    </row>
    <row r="34" spans="1:9">
      <c r="D34" s="1236"/>
      <c r="E34" s="1236"/>
      <c r="F34" s="1236"/>
      <c r="I34" s="1133"/>
    </row>
    <row r="35" spans="1:9">
      <c r="A35" s="357"/>
      <c r="B35" s="357"/>
      <c r="D35" s="1106"/>
      <c r="I35" s="1133"/>
    </row>
    <row r="36" spans="1:9" ht="14.5" customHeight="1">
      <c r="A36" s="357"/>
      <c r="B36" s="358" t="s">
        <v>529</v>
      </c>
      <c r="D36" s="1236" t="s">
        <v>533</v>
      </c>
      <c r="E36" s="1236"/>
      <c r="F36" s="1236"/>
      <c r="I36" s="1133" t="s">
        <v>534</v>
      </c>
    </row>
    <row r="37" spans="1:9">
      <c r="A37" s="357"/>
      <c r="B37" s="357"/>
      <c r="D37" s="1236"/>
      <c r="E37" s="1236"/>
      <c r="F37" s="1236"/>
      <c r="I37" s="1133"/>
    </row>
    <row r="38" spans="1:9">
      <c r="A38" s="357"/>
      <c r="B38" s="357"/>
      <c r="D38" s="1236"/>
      <c r="E38" s="1236"/>
      <c r="F38" s="1236"/>
      <c r="I38" s="1133"/>
    </row>
    <row r="39" spans="1:9">
      <c r="A39" s="357"/>
      <c r="B39" s="357"/>
      <c r="D39" s="1236"/>
      <c r="E39" s="1236"/>
      <c r="F39" s="1236"/>
      <c r="I39" s="1133"/>
    </row>
    <row r="40" spans="1:9">
      <c r="A40" s="357"/>
      <c r="B40" s="357"/>
      <c r="I40" s="1133"/>
    </row>
    <row r="41" spans="1:9">
      <c r="A41" s="357"/>
      <c r="B41" s="358" t="s">
        <v>529</v>
      </c>
      <c r="D41" s="1236" t="s">
        <v>311</v>
      </c>
      <c r="E41" s="1236"/>
      <c r="F41" s="1236"/>
      <c r="I41" s="1133"/>
    </row>
    <row r="42" spans="1:9">
      <c r="A42" s="357"/>
      <c r="B42" s="357"/>
      <c r="D42" s="1236"/>
      <c r="E42" s="1236"/>
      <c r="F42" s="1236"/>
      <c r="I42" s="1133"/>
    </row>
    <row r="43" spans="1:9">
      <c r="A43" s="357"/>
      <c r="B43" s="357"/>
      <c r="D43" s="1236"/>
      <c r="E43" s="1236"/>
      <c r="F43" s="1236"/>
      <c r="I43" s="1133"/>
    </row>
    <row r="44" spans="1:9">
      <c r="A44" s="357"/>
      <c r="B44" s="357"/>
      <c r="D44" s="1236"/>
      <c r="E44" s="1236"/>
      <c r="F44" s="1236"/>
      <c r="I44" s="1133"/>
    </row>
    <row r="45" spans="1:9">
      <c r="A45" s="357"/>
      <c r="B45" s="357"/>
      <c r="D45" s="1236"/>
      <c r="E45" s="1236"/>
      <c r="F45" s="1236"/>
      <c r="I45" s="1133"/>
    </row>
    <row r="46" spans="1:9">
      <c r="A46" s="357"/>
      <c r="B46" s="357"/>
      <c r="D46" s="1111"/>
      <c r="E46" s="1111"/>
      <c r="F46" s="1111"/>
      <c r="I46" s="1133"/>
    </row>
    <row r="47" spans="1:9">
      <c r="A47" s="357"/>
      <c r="B47" s="358" t="s">
        <v>529</v>
      </c>
      <c r="D47" s="1236" t="s">
        <v>312</v>
      </c>
      <c r="E47" s="1236"/>
      <c r="F47" s="1236"/>
      <c r="I47" s="1133" t="s">
        <v>534</v>
      </c>
    </row>
    <row r="48" spans="1:9">
      <c r="A48" s="357"/>
      <c r="B48" s="357"/>
      <c r="D48" s="1236"/>
      <c r="E48" s="1236"/>
      <c r="F48" s="1236"/>
      <c r="I48" s="1133"/>
    </row>
    <row r="49" spans="1:9">
      <c r="A49" s="357"/>
      <c r="B49" s="357"/>
      <c r="D49" s="1236"/>
      <c r="E49" s="1236"/>
      <c r="F49" s="1236"/>
      <c r="I49" s="1133"/>
    </row>
    <row r="50" spans="1:9" ht="23.25" customHeight="1">
      <c r="A50" s="357"/>
      <c r="B50" s="357"/>
      <c r="D50" s="1236"/>
      <c r="E50" s="1236"/>
      <c r="F50" s="1236"/>
      <c r="I50" s="1133"/>
    </row>
    <row r="51" spans="1:9">
      <c r="A51" s="357"/>
      <c r="B51" s="357"/>
      <c r="D51" s="1112"/>
      <c r="I51" s="1133"/>
    </row>
    <row r="52" spans="1:9" ht="14.5" customHeight="1">
      <c r="A52" s="357"/>
      <c r="B52" s="358" t="s">
        <v>529</v>
      </c>
      <c r="D52" s="1236" t="s">
        <v>313</v>
      </c>
      <c r="E52" s="1236"/>
      <c r="F52" s="1236"/>
      <c r="I52" s="1133" t="s">
        <v>534</v>
      </c>
    </row>
    <row r="53" spans="1:9">
      <c r="A53" s="357"/>
      <c r="B53" s="357"/>
      <c r="D53" s="1236"/>
      <c r="E53" s="1236"/>
      <c r="F53" s="1236"/>
      <c r="I53" s="1133"/>
    </row>
    <row r="54" spans="1:9">
      <c r="A54" s="357"/>
      <c r="B54" s="357"/>
      <c r="D54" s="1236"/>
      <c r="E54" s="1236"/>
      <c r="F54" s="1236"/>
      <c r="I54" s="1133"/>
    </row>
    <row r="55" spans="1:9">
      <c r="A55" s="357"/>
      <c r="B55" s="357"/>
      <c r="I55" s="1133"/>
    </row>
    <row r="56" spans="1:9">
      <c r="A56" s="357"/>
      <c r="B56" s="358" t="s">
        <v>522</v>
      </c>
      <c r="D56" s="1290" t="s">
        <v>314</v>
      </c>
      <c r="E56" s="1290"/>
      <c r="F56" s="1290"/>
      <c r="I56" s="1133"/>
    </row>
    <row r="57" spans="1:9">
      <c r="A57" s="357"/>
      <c r="B57" s="357"/>
      <c r="D57" s="1290"/>
      <c r="E57" s="1290"/>
      <c r="F57" s="1290"/>
      <c r="I57" s="1133"/>
    </row>
    <row r="58" spans="1:9">
      <c r="A58" s="357"/>
      <c r="B58" s="357"/>
      <c r="D58" s="1113" t="s">
        <v>535</v>
      </c>
      <c r="E58" s="1111"/>
      <c r="F58" s="1111"/>
      <c r="I58" s="1133"/>
    </row>
    <row r="59" spans="1:9">
      <c r="A59" s="357"/>
      <c r="B59" s="357"/>
      <c r="D59" s="1111"/>
      <c r="E59" s="1134" t="s">
        <v>525</v>
      </c>
      <c r="F59" s="1111"/>
      <c r="I59" s="1133"/>
    </row>
    <row r="60" spans="1:9">
      <c r="D60" s="1106"/>
      <c r="I60" s="1133"/>
    </row>
    <row r="61" spans="1:9">
      <c r="A61" s="357"/>
      <c r="B61" s="358" t="s">
        <v>529</v>
      </c>
      <c r="D61" s="1236" t="s">
        <v>315</v>
      </c>
      <c r="E61" s="1236"/>
      <c r="F61" s="1236"/>
      <c r="I61" s="1133" t="s">
        <v>536</v>
      </c>
    </row>
    <row r="62" spans="1:9">
      <c r="D62" s="1236"/>
      <c r="E62" s="1236"/>
      <c r="F62" s="1236"/>
      <c r="I62" s="1133"/>
    </row>
    <row r="63" spans="1:9">
      <c r="D63" s="1236"/>
      <c r="E63" s="1236"/>
      <c r="F63" s="1236"/>
      <c r="I63" s="1133"/>
    </row>
    <row r="64" spans="1:9">
      <c r="I64" s="1133"/>
    </row>
    <row r="65" spans="1:9">
      <c r="A65" s="357"/>
      <c r="B65" s="358" t="s">
        <v>529</v>
      </c>
      <c r="D65" s="1236" t="s">
        <v>316</v>
      </c>
      <c r="E65" s="1236"/>
      <c r="F65" s="1236"/>
      <c r="I65" s="1133" t="s">
        <v>537</v>
      </c>
    </row>
    <row r="66" spans="1:9">
      <c r="D66" s="1236"/>
      <c r="E66" s="1236"/>
      <c r="F66" s="1236"/>
      <c r="I66" s="1133"/>
    </row>
    <row r="67" spans="1:9">
      <c r="I67" s="1133"/>
    </row>
    <row r="68" spans="1:9">
      <c r="A68" s="357"/>
      <c r="B68" s="358" t="s">
        <v>522</v>
      </c>
      <c r="D68" s="1236" t="s">
        <v>317</v>
      </c>
      <c r="E68" s="1236"/>
      <c r="F68" s="1236"/>
      <c r="I68" s="1133"/>
    </row>
    <row r="69" spans="1:9">
      <c r="D69" s="1236"/>
      <c r="E69" s="1236"/>
      <c r="F69" s="1236"/>
      <c r="I69" s="1133" t="s">
        <v>531</v>
      </c>
    </row>
    <row r="70" spans="1:9">
      <c r="D70" s="1236"/>
      <c r="E70" s="1236"/>
      <c r="F70" s="1236"/>
      <c r="I70" s="1133"/>
    </row>
    <row r="71" spans="1:9">
      <c r="I71" s="1133"/>
    </row>
    <row r="72" spans="1:9">
      <c r="A72" s="357"/>
      <c r="B72" s="358" t="s">
        <v>522</v>
      </c>
      <c r="D72" s="1236" t="s">
        <v>318</v>
      </c>
      <c r="E72" s="1236"/>
      <c r="F72" s="1236"/>
      <c r="I72" s="1133" t="s">
        <v>531</v>
      </c>
    </row>
    <row r="73" spans="1:9">
      <c r="D73" s="1236"/>
      <c r="E73" s="1236"/>
      <c r="F73" s="1236"/>
      <c r="I73" s="1133"/>
    </row>
    <row r="74" spans="1:9">
      <c r="A74" s="357"/>
      <c r="B74" s="357"/>
      <c r="D74" s="1112"/>
      <c r="I74" s="1133"/>
    </row>
    <row r="75" spans="1:9">
      <c r="A75" s="1242" t="s">
        <v>319</v>
      </c>
      <c r="B75" s="1242"/>
      <c r="C75" s="1242"/>
      <c r="D75" s="1242"/>
      <c r="E75" s="1242"/>
      <c r="F75" s="1242"/>
      <c r="G75" s="1242"/>
      <c r="H75" s="836"/>
      <c r="I75" s="1021"/>
    </row>
    <row r="76" spans="1:9">
      <c r="I76" s="1133"/>
    </row>
    <row r="77" spans="1:9">
      <c r="C77" s="359"/>
      <c r="D77" s="1262" t="s">
        <v>320</v>
      </c>
      <c r="E77" s="1262"/>
      <c r="F77" s="1262"/>
      <c r="I77" s="1133"/>
    </row>
    <row r="78" spans="1:9">
      <c r="A78" s="1112"/>
      <c r="B78" s="1112"/>
      <c r="D78" s="1236" t="s">
        <v>321</v>
      </c>
      <c r="E78" s="1236"/>
      <c r="F78" s="1236"/>
      <c r="I78" s="1133"/>
    </row>
    <row r="79" spans="1:9">
      <c r="A79" s="1112"/>
      <c r="B79" s="1112"/>
      <c r="I79" s="1133"/>
    </row>
    <row r="80" spans="1:9" ht="13.75" customHeight="1">
      <c r="A80" s="357"/>
      <c r="B80" s="358" t="s">
        <v>522</v>
      </c>
      <c r="D80" s="1236" t="s">
        <v>538</v>
      </c>
      <c r="E80" s="1236"/>
      <c r="F80" s="1236"/>
      <c r="I80" s="1133" t="s">
        <v>539</v>
      </c>
    </row>
    <row r="81" spans="1:9">
      <c r="A81" s="357"/>
      <c r="B81" s="357"/>
      <c r="D81" s="1236"/>
      <c r="E81" s="1236"/>
      <c r="F81" s="1236"/>
      <c r="I81" s="1133"/>
    </row>
    <row r="82" spans="1:9">
      <c r="A82" s="357"/>
      <c r="B82" s="357"/>
      <c r="D82" s="1236"/>
      <c r="E82" s="1236"/>
      <c r="F82" s="1236"/>
      <c r="I82" s="1133"/>
    </row>
    <row r="83" spans="1:9">
      <c r="A83" s="357"/>
      <c r="B83" s="357"/>
      <c r="D83" s="1236"/>
      <c r="E83" s="1236"/>
      <c r="F83" s="1236"/>
      <c r="I83" s="1133"/>
    </row>
    <row r="84" spans="1:9">
      <c r="A84" s="357"/>
      <c r="B84" s="357"/>
      <c r="D84" s="1236"/>
      <c r="E84" s="1236"/>
      <c r="F84" s="1236"/>
      <c r="I84" s="1133"/>
    </row>
    <row r="85" spans="1:9">
      <c r="A85" s="357"/>
      <c r="B85" s="357"/>
      <c r="D85" s="1236"/>
      <c r="E85" s="1236"/>
      <c r="F85" s="1236"/>
      <c r="I85" s="1133"/>
    </row>
    <row r="86" spans="1:9">
      <c r="A86" s="357"/>
      <c r="B86" s="357"/>
      <c r="D86" s="1236"/>
      <c r="E86" s="1236"/>
      <c r="F86" s="1236"/>
      <c r="I86" s="1133"/>
    </row>
    <row r="87" spans="1:9">
      <c r="A87" s="357"/>
      <c r="B87" s="357"/>
      <c r="D87" s="1236"/>
      <c r="E87" s="1236"/>
      <c r="F87" s="1236"/>
      <c r="I87" s="1133"/>
    </row>
    <row r="88" spans="1:9">
      <c r="A88" s="357"/>
      <c r="B88" s="357"/>
      <c r="D88" s="1131"/>
      <c r="E88" s="1131"/>
      <c r="F88" s="1131"/>
      <c r="I88" s="1133"/>
    </row>
    <row r="89" spans="1:9" ht="15" customHeight="1">
      <c r="A89" s="357"/>
      <c r="B89" s="358" t="s">
        <v>522</v>
      </c>
      <c r="D89" s="1236" t="s">
        <v>540</v>
      </c>
      <c r="E89" s="1236"/>
      <c r="F89" s="1236"/>
      <c r="I89" s="1133" t="s">
        <v>541</v>
      </c>
    </row>
    <row r="90" spans="1:9">
      <c r="A90" s="357"/>
      <c r="B90" s="357"/>
      <c r="D90" s="1236"/>
      <c r="E90" s="1236"/>
      <c r="F90" s="1236"/>
      <c r="I90" s="1133"/>
    </row>
    <row r="91" spans="1:9">
      <c r="A91" s="357"/>
      <c r="B91" s="357"/>
      <c r="D91" s="1111"/>
      <c r="E91" s="1111"/>
      <c r="F91" s="1111"/>
      <c r="I91" s="1133"/>
    </row>
    <row r="92" spans="1:9">
      <c r="A92" s="357"/>
      <c r="B92" s="358" t="s">
        <v>522</v>
      </c>
      <c r="D92" s="1236" t="s">
        <v>542</v>
      </c>
      <c r="E92" s="1236"/>
      <c r="F92" s="1236"/>
      <c r="I92" s="1133" t="s">
        <v>543</v>
      </c>
    </row>
    <row r="93" spans="1:9">
      <c r="A93" s="357"/>
      <c r="B93" s="357"/>
      <c r="D93" s="1236"/>
      <c r="E93" s="1236"/>
      <c r="F93" s="1236"/>
      <c r="I93" s="1133"/>
    </row>
    <row r="94" spans="1:9">
      <c r="A94" s="357"/>
      <c r="B94" s="357"/>
      <c r="D94" s="1236"/>
      <c r="E94" s="1236"/>
      <c r="F94" s="1236"/>
      <c r="I94" s="1133"/>
    </row>
    <row r="95" spans="1:9">
      <c r="A95" s="357"/>
      <c r="B95" s="357"/>
      <c r="D95" s="1111"/>
      <c r="E95" s="1111"/>
      <c r="F95" s="1111"/>
      <c r="I95" s="1133"/>
    </row>
    <row r="96" spans="1:9">
      <c r="A96" s="357"/>
      <c r="B96" s="358" t="s">
        <v>522</v>
      </c>
      <c r="D96" s="1236" t="s">
        <v>544</v>
      </c>
      <c r="E96" s="1236"/>
      <c r="F96" s="1236"/>
      <c r="I96" s="1133" t="s">
        <v>545</v>
      </c>
    </row>
    <row r="97" spans="1:9" s="804" customFormat="1">
      <c r="A97" s="802"/>
      <c r="B97" s="802"/>
      <c r="C97" s="803"/>
      <c r="D97" s="1236"/>
      <c r="E97" s="1236"/>
      <c r="F97" s="1236"/>
      <c r="I97" s="1022"/>
    </row>
    <row r="98" spans="1:9">
      <c r="A98" s="357"/>
      <c r="B98" s="357"/>
      <c r="D98" s="1113"/>
      <c r="E98" s="1134" t="s">
        <v>546</v>
      </c>
      <c r="F98" s="1111"/>
      <c r="I98" s="1133"/>
    </row>
    <row r="99" spans="1:9">
      <c r="A99" s="357"/>
      <c r="B99" s="357"/>
      <c r="D99" s="1131"/>
      <c r="E99" s="1131"/>
      <c r="F99" s="1131"/>
      <c r="I99" s="1133"/>
    </row>
    <row r="100" spans="1:9">
      <c r="A100" s="357"/>
      <c r="B100" s="358" t="s">
        <v>529</v>
      </c>
      <c r="D100" s="1236" t="s">
        <v>547</v>
      </c>
      <c r="E100" s="1236"/>
      <c r="F100" s="1236"/>
      <c r="I100" s="1133" t="s">
        <v>548</v>
      </c>
    </row>
    <row r="101" spans="1:9">
      <c r="A101" s="357"/>
      <c r="B101" s="357"/>
      <c r="D101" s="1236"/>
      <c r="E101" s="1236"/>
      <c r="F101" s="1236"/>
      <c r="I101" s="1133"/>
    </row>
    <row r="102" spans="1:9">
      <c r="A102" s="357"/>
      <c r="B102" s="357"/>
      <c r="D102" s="1111"/>
      <c r="E102" s="1111"/>
      <c r="F102" s="1111"/>
      <c r="I102" s="1133"/>
    </row>
    <row r="103" spans="1:9" ht="14.5" customHeight="1">
      <c r="A103" s="357"/>
      <c r="B103" s="358" t="s">
        <v>529</v>
      </c>
      <c r="D103" s="1236" t="s">
        <v>549</v>
      </c>
      <c r="E103" s="1236"/>
      <c r="F103" s="1236"/>
      <c r="I103" s="1133" t="s">
        <v>550</v>
      </c>
    </row>
    <row r="104" spans="1:9">
      <c r="A104" s="357"/>
      <c r="B104" s="357"/>
      <c r="D104" s="1236"/>
      <c r="E104" s="1236"/>
      <c r="F104" s="1236"/>
      <c r="I104" s="1133"/>
    </row>
    <row r="105" spans="1:9">
      <c r="A105" s="357"/>
      <c r="B105" s="357"/>
      <c r="D105" s="1236"/>
      <c r="E105" s="1236"/>
      <c r="F105" s="1236"/>
      <c r="I105" s="1133"/>
    </row>
    <row r="106" spans="1:9">
      <c r="A106" s="357"/>
      <c r="B106" s="357"/>
      <c r="D106" s="1236"/>
      <c r="E106" s="1236"/>
      <c r="F106" s="1236"/>
      <c r="I106" s="1133"/>
    </row>
    <row r="107" spans="1:9">
      <c r="A107" s="357"/>
      <c r="B107" s="357"/>
      <c r="D107" s="1236"/>
      <c r="E107" s="1236"/>
      <c r="F107" s="1236"/>
      <c r="I107" s="1133"/>
    </row>
    <row r="108" spans="1:9">
      <c r="A108" s="357"/>
      <c r="B108" s="357"/>
      <c r="D108" s="1236"/>
      <c r="E108" s="1236"/>
      <c r="F108" s="1236"/>
      <c r="I108" s="1133"/>
    </row>
    <row r="109" spans="1:9">
      <c r="A109" s="357"/>
      <c r="B109" s="357"/>
      <c r="D109" s="1236"/>
      <c r="E109" s="1236"/>
      <c r="F109" s="1236"/>
      <c r="I109" s="1133"/>
    </row>
    <row r="110" spans="1:9">
      <c r="A110" s="357"/>
      <c r="B110" s="357"/>
      <c r="D110" s="1236"/>
      <c r="E110" s="1236"/>
      <c r="F110" s="1236"/>
      <c r="I110" s="1133"/>
    </row>
    <row r="111" spans="1:9">
      <c r="A111" s="357"/>
      <c r="B111" s="357"/>
      <c r="D111" s="1236"/>
      <c r="E111" s="1236"/>
      <c r="F111" s="1236"/>
      <c r="I111" s="1133"/>
    </row>
    <row r="112" spans="1:9">
      <c r="A112" s="357"/>
      <c r="B112" s="357"/>
      <c r="D112" s="1236"/>
      <c r="E112" s="1236"/>
      <c r="F112" s="1236"/>
      <c r="I112" s="1133"/>
    </row>
    <row r="113" spans="1:9">
      <c r="A113" s="357"/>
      <c r="B113" s="357"/>
      <c r="D113" s="1236"/>
      <c r="E113" s="1236"/>
      <c r="F113" s="1236"/>
      <c r="I113" s="1133"/>
    </row>
    <row r="114" spans="1:9">
      <c r="A114" s="357"/>
      <c r="B114" s="357"/>
      <c r="D114" s="1236"/>
      <c r="E114" s="1236"/>
      <c r="F114" s="1236"/>
      <c r="I114" s="1133"/>
    </row>
    <row r="115" spans="1:9">
      <c r="A115" s="357"/>
      <c r="B115" s="357"/>
      <c r="D115" s="1236"/>
      <c r="E115" s="1236"/>
      <c r="F115" s="1236"/>
      <c r="I115" s="1133"/>
    </row>
    <row r="116" spans="1:9">
      <c r="A116" s="357"/>
      <c r="B116" s="357"/>
      <c r="D116" s="1236"/>
      <c r="E116" s="1236"/>
      <c r="F116" s="1236"/>
      <c r="I116" s="1133"/>
    </row>
    <row r="117" spans="1:9">
      <c r="A117" s="357"/>
      <c r="B117" s="357"/>
      <c r="D117" s="1236"/>
      <c r="E117" s="1236"/>
      <c r="F117" s="1236"/>
      <c r="I117" s="1133"/>
    </row>
    <row r="118" spans="1:9">
      <c r="A118" s="357"/>
      <c r="B118" s="357"/>
      <c r="D118" s="1126"/>
      <c r="E118" s="1126"/>
      <c r="F118" s="1126"/>
      <c r="I118" s="1133"/>
    </row>
    <row r="119" spans="1:9" ht="14.25" customHeight="1">
      <c r="A119" s="357"/>
      <c r="B119" s="358" t="s">
        <v>529</v>
      </c>
      <c r="D119" s="1261" t="s">
        <v>324</v>
      </c>
      <c r="E119" s="1261"/>
      <c r="F119" s="1261"/>
      <c r="I119" s="1133"/>
    </row>
    <row r="120" spans="1:9">
      <c r="A120" s="357"/>
      <c r="B120" s="357"/>
      <c r="D120" s="1261"/>
      <c r="E120" s="1261"/>
      <c r="F120" s="1261"/>
      <c r="I120" s="1133"/>
    </row>
    <row r="121" spans="1:9">
      <c r="A121" s="357"/>
      <c r="B121" s="357"/>
      <c r="D121" s="1261"/>
      <c r="E121" s="1261"/>
      <c r="F121" s="1261"/>
      <c r="I121" s="1133"/>
    </row>
    <row r="122" spans="1:9">
      <c r="A122" s="357"/>
      <c r="B122" s="357"/>
      <c r="D122" s="1261"/>
      <c r="E122" s="1261"/>
      <c r="F122" s="1261"/>
      <c r="I122" s="1133"/>
    </row>
    <row r="123" spans="1:9">
      <c r="A123" s="357"/>
      <c r="B123" s="357"/>
      <c r="D123" s="1261"/>
      <c r="E123" s="1261"/>
      <c r="F123" s="1261"/>
      <c r="I123" s="1133"/>
    </row>
    <row r="124" spans="1:9">
      <c r="A124" s="357"/>
      <c r="B124" s="357"/>
      <c r="D124" s="1261"/>
      <c r="E124" s="1261"/>
      <c r="F124" s="1261"/>
      <c r="I124" s="1133"/>
    </row>
    <row r="125" spans="1:9">
      <c r="A125" s="357"/>
      <c r="B125" s="357"/>
      <c r="D125" s="1261"/>
      <c r="E125" s="1261"/>
      <c r="F125" s="1261"/>
      <c r="I125" s="1133"/>
    </row>
    <row r="126" spans="1:9">
      <c r="A126" s="357"/>
      <c r="B126" s="357"/>
      <c r="D126" s="1261"/>
      <c r="E126" s="1261"/>
      <c r="F126" s="1261"/>
      <c r="I126" s="1133"/>
    </row>
    <row r="127" spans="1:9">
      <c r="C127" s="291"/>
      <c r="D127" s="394"/>
      <c r="E127" s="394"/>
      <c r="F127" s="394"/>
      <c r="I127" s="1133"/>
    </row>
    <row r="128" spans="1:9">
      <c r="A128" s="357"/>
      <c r="B128" s="358" t="s">
        <v>529</v>
      </c>
      <c r="C128" s="291"/>
      <c r="D128" s="1261" t="s">
        <v>551</v>
      </c>
      <c r="E128" s="1261"/>
      <c r="F128" s="1261"/>
      <c r="I128" s="1133" t="s">
        <v>552</v>
      </c>
    </row>
    <row r="129" spans="1:9">
      <c r="A129" s="357"/>
      <c r="B129" s="357"/>
      <c r="C129" s="291"/>
      <c r="D129" s="1261"/>
      <c r="E129" s="1261"/>
      <c r="F129" s="1261"/>
      <c r="I129" s="1133"/>
    </row>
    <row r="130" spans="1:9">
      <c r="I130" s="1133"/>
    </row>
    <row r="131" spans="1:9">
      <c r="A131" s="357"/>
      <c r="B131" s="358" t="s">
        <v>522</v>
      </c>
      <c r="D131" s="1236" t="s">
        <v>327</v>
      </c>
      <c r="E131" s="1236"/>
      <c r="F131" s="1236"/>
      <c r="I131" s="1133" t="s">
        <v>552</v>
      </c>
    </row>
    <row r="132" spans="1:9">
      <c r="D132" s="1236"/>
      <c r="E132" s="1236"/>
      <c r="F132" s="1236"/>
      <c r="I132" s="1133"/>
    </row>
    <row r="133" spans="1:9">
      <c r="D133" s="1236"/>
      <c r="E133" s="1236"/>
      <c r="F133" s="1236"/>
      <c r="I133" s="1133"/>
    </row>
    <row r="134" spans="1:9">
      <c r="D134" s="1236"/>
      <c r="E134" s="1236"/>
      <c r="F134" s="1236"/>
      <c r="I134" s="1133"/>
    </row>
    <row r="135" spans="1:9">
      <c r="D135" s="1236"/>
      <c r="E135" s="1236"/>
      <c r="F135" s="1236"/>
      <c r="I135" s="1133"/>
    </row>
    <row r="136" spans="1:9">
      <c r="I136" s="1133"/>
    </row>
    <row r="137" spans="1:9">
      <c r="A137" s="357"/>
      <c r="B137" s="358" t="s">
        <v>522</v>
      </c>
      <c r="D137" s="1236" t="s">
        <v>328</v>
      </c>
      <c r="E137" s="1236"/>
      <c r="F137" s="1236"/>
      <c r="I137" s="1133" t="s">
        <v>553</v>
      </c>
    </row>
    <row r="138" spans="1:9" s="305" customFormat="1" ht="13.75" customHeight="1">
      <c r="A138" s="361"/>
      <c r="B138" s="361"/>
      <c r="C138" s="361"/>
      <c r="D138" s="1236"/>
      <c r="E138" s="1236"/>
      <c r="F138" s="1236"/>
      <c r="I138" s="1023"/>
    </row>
    <row r="139" spans="1:9" ht="13.75" customHeight="1">
      <c r="D139" s="1236"/>
      <c r="E139" s="1236"/>
      <c r="F139" s="1236"/>
      <c r="I139" s="1133"/>
    </row>
    <row r="140" spans="1:9" ht="13.75" customHeight="1">
      <c r="D140" s="1236"/>
      <c r="E140" s="1236"/>
      <c r="F140" s="1236"/>
      <c r="I140" s="1133"/>
    </row>
    <row r="141" spans="1:9" ht="13.75" customHeight="1">
      <c r="D141" s="1236"/>
      <c r="E141" s="1236"/>
      <c r="F141" s="1236"/>
      <c r="I141" s="1133"/>
    </row>
    <row r="142" spans="1:9" ht="13.75" customHeight="1">
      <c r="A142" s="362"/>
      <c r="B142" s="362"/>
      <c r="D142" s="1236"/>
      <c r="E142" s="1236"/>
      <c r="F142" s="1236"/>
      <c r="I142" s="1133"/>
    </row>
    <row r="143" spans="1:9" ht="13.75" customHeight="1">
      <c r="D143" s="1236"/>
      <c r="E143" s="1236"/>
      <c r="F143" s="1236"/>
      <c r="I143" s="1133"/>
    </row>
    <row r="144" spans="1:9" ht="13.75" customHeight="1">
      <c r="D144" s="1236"/>
      <c r="E144" s="1236"/>
      <c r="F144" s="1236"/>
      <c r="I144" s="1133"/>
    </row>
    <row r="145" spans="2:9" ht="13.75" customHeight="1">
      <c r="D145" s="1236"/>
      <c r="E145" s="1236"/>
      <c r="F145" s="1236"/>
      <c r="I145" s="1133"/>
    </row>
    <row r="146" spans="2:9" ht="13.75" customHeight="1">
      <c r="D146" s="1236"/>
      <c r="E146" s="1236"/>
      <c r="F146" s="1236"/>
      <c r="I146" s="1133"/>
    </row>
    <row r="147" spans="2:9" ht="13.75" customHeight="1">
      <c r="D147" s="1236"/>
      <c r="E147" s="1236"/>
      <c r="F147" s="1236"/>
      <c r="I147" s="1133"/>
    </row>
    <row r="148" spans="2:9" ht="13.75" customHeight="1">
      <c r="D148" s="1236"/>
      <c r="E148" s="1236"/>
      <c r="F148" s="1236"/>
      <c r="I148" s="1133"/>
    </row>
    <row r="149" spans="2:9" ht="13.75" customHeight="1">
      <c r="D149" s="1236"/>
      <c r="E149" s="1236"/>
      <c r="F149" s="1236"/>
      <c r="I149" s="1133"/>
    </row>
    <row r="150" spans="2:9" ht="13.75" customHeight="1">
      <c r="D150" s="352"/>
      <c r="E150" s="1112"/>
      <c r="F150" s="1112"/>
      <c r="I150" s="1133"/>
    </row>
    <row r="151" spans="2:9" ht="13.75" customHeight="1">
      <c r="B151" s="358" t="s">
        <v>529</v>
      </c>
      <c r="D151" s="1236" t="s">
        <v>329</v>
      </c>
      <c r="E151" s="1236"/>
      <c r="F151" s="1236"/>
      <c r="I151" s="1133" t="s">
        <v>554</v>
      </c>
    </row>
    <row r="152" spans="2:9" ht="13.75" customHeight="1">
      <c r="D152" s="1236"/>
      <c r="E152" s="1236"/>
      <c r="F152" s="1236"/>
      <c r="I152" s="1133"/>
    </row>
    <row r="153" spans="2:9" ht="13.75" customHeight="1">
      <c r="D153" s="1236"/>
      <c r="E153" s="1236"/>
      <c r="F153" s="1236"/>
      <c r="I153" s="1133"/>
    </row>
    <row r="154" spans="2:9" ht="13.75" customHeight="1">
      <c r="D154" s="1236"/>
      <c r="E154" s="1236"/>
      <c r="F154" s="1236"/>
      <c r="I154" s="1133"/>
    </row>
    <row r="155" spans="2:9" ht="13.75" customHeight="1">
      <c r="D155" s="1236"/>
      <c r="E155" s="1236"/>
      <c r="F155" s="1236"/>
      <c r="I155" s="1133"/>
    </row>
    <row r="156" spans="2:9" ht="13.75" customHeight="1">
      <c r="D156" s="1236"/>
      <c r="E156" s="1236"/>
      <c r="F156" s="1236"/>
      <c r="I156" s="1133"/>
    </row>
    <row r="157" spans="2:9" ht="13.75" customHeight="1">
      <c r="D157" s="1236"/>
      <c r="E157" s="1236"/>
      <c r="F157" s="1236"/>
      <c r="I157" s="1133"/>
    </row>
    <row r="158" spans="2:9" ht="13.75" customHeight="1">
      <c r="D158" s="1236"/>
      <c r="E158" s="1236"/>
      <c r="F158" s="1236"/>
      <c r="I158" s="1133"/>
    </row>
    <row r="159" spans="2:9" ht="13.75" customHeight="1">
      <c r="D159" s="1236"/>
      <c r="E159" s="1236"/>
      <c r="F159" s="1236"/>
      <c r="I159" s="1133"/>
    </row>
    <row r="160" spans="2:9" ht="13.75" customHeight="1">
      <c r="D160" s="1236"/>
      <c r="E160" s="1236"/>
      <c r="F160" s="1236"/>
      <c r="I160" s="1133"/>
    </row>
    <row r="161" spans="1:9" ht="13.75" customHeight="1">
      <c r="D161" s="1236"/>
      <c r="E161" s="1236"/>
      <c r="F161" s="1236"/>
      <c r="I161" s="1133"/>
    </row>
    <row r="162" spans="1:9" ht="13.75" customHeight="1">
      <c r="D162" s="1236"/>
      <c r="E162" s="1236"/>
      <c r="F162" s="1236"/>
      <c r="I162" s="1133"/>
    </row>
    <row r="163" spans="1:9" ht="13.75" customHeight="1">
      <c r="D163" s="1236"/>
      <c r="E163" s="1236"/>
      <c r="F163" s="1236"/>
      <c r="I163" s="1133"/>
    </row>
    <row r="164" spans="1:9" ht="13.75" customHeight="1">
      <c r="D164" s="1236"/>
      <c r="E164" s="1236"/>
      <c r="F164" s="1236"/>
      <c r="I164" s="1133"/>
    </row>
    <row r="165" spans="1:9" ht="13.75" customHeight="1">
      <c r="D165" s="1236"/>
      <c r="E165" s="1236"/>
      <c r="F165" s="1236"/>
      <c r="I165" s="1133"/>
    </row>
    <row r="166" spans="1:9" ht="13.75" customHeight="1">
      <c r="D166" s="1236"/>
      <c r="E166" s="1236"/>
      <c r="F166" s="1236"/>
      <c r="I166" s="1133"/>
    </row>
    <row r="167" spans="1:9" ht="13.75" customHeight="1">
      <c r="D167" s="1236"/>
      <c r="E167" s="1236"/>
      <c r="F167" s="1236"/>
      <c r="I167" s="1133"/>
    </row>
    <row r="168" spans="1:9" ht="13.75" customHeight="1">
      <c r="D168" s="1236"/>
      <c r="E168" s="1236"/>
      <c r="F168" s="1236"/>
      <c r="I168" s="1133"/>
    </row>
    <row r="169" spans="1:9" ht="13.75" customHeight="1">
      <c r="D169" s="1292" t="s">
        <v>555</v>
      </c>
      <c r="E169" s="1292"/>
      <c r="F169" s="1292"/>
      <c r="G169" s="379"/>
      <c r="I169" s="1133"/>
    </row>
    <row r="170" spans="1:9" ht="13.75" customHeight="1">
      <c r="D170" s="1267"/>
      <c r="E170" s="1267"/>
      <c r="F170" s="1267"/>
      <c r="G170" s="1267"/>
      <c r="I170" s="1133"/>
    </row>
    <row r="171" spans="1:9" ht="14.5" customHeight="1">
      <c r="A171" s="362"/>
      <c r="B171" s="358" t="s">
        <v>529</v>
      </c>
      <c r="C171" s="352"/>
      <c r="D171" s="1224" t="s">
        <v>556</v>
      </c>
      <c r="E171" s="1224"/>
      <c r="F171" s="1224"/>
      <c r="G171" s="352"/>
      <c r="I171" s="1133" t="s">
        <v>543</v>
      </c>
    </row>
    <row r="172" spans="1:9" ht="14.5" customHeight="1">
      <c r="A172" s="362"/>
      <c r="B172" s="362"/>
      <c r="C172" s="352"/>
      <c r="D172" s="1224"/>
      <c r="E172" s="1224"/>
      <c r="F172" s="1224"/>
      <c r="G172" s="352"/>
      <c r="I172" s="1133"/>
    </row>
    <row r="173" spans="1:9" ht="14.5" customHeight="1">
      <c r="A173" s="362"/>
      <c r="B173" s="362"/>
      <c r="C173" s="352"/>
      <c r="D173" s="1224"/>
      <c r="E173" s="1224"/>
      <c r="F173" s="1224"/>
      <c r="G173" s="352"/>
      <c r="I173" s="1133"/>
    </row>
    <row r="174" spans="1:9" ht="14.5" customHeight="1">
      <c r="A174" s="362"/>
      <c r="B174" s="362"/>
      <c r="C174" s="352"/>
      <c r="D174" s="1224"/>
      <c r="E174" s="1224"/>
      <c r="F174" s="1224"/>
      <c r="G174" s="352"/>
      <c r="I174" s="1133"/>
    </row>
    <row r="175" spans="1:9" ht="13.75" customHeight="1">
      <c r="A175" s="362"/>
      <c r="B175" s="362"/>
      <c r="C175" s="352"/>
      <c r="D175" s="1224"/>
      <c r="E175" s="1224"/>
      <c r="F175" s="1224"/>
      <c r="G175" s="352"/>
      <c r="I175" s="1133"/>
    </row>
    <row r="176" spans="1:9" ht="13.75" customHeight="1">
      <c r="A176" s="362"/>
      <c r="B176" s="362"/>
      <c r="C176" s="352"/>
      <c r="D176" s="352"/>
      <c r="E176" s="352"/>
      <c r="F176" s="352"/>
      <c r="G176" s="352"/>
      <c r="I176" s="1133"/>
    </row>
    <row r="177" spans="1:9" ht="13.75" customHeight="1">
      <c r="A177" s="362"/>
      <c r="B177" s="358" t="s">
        <v>529</v>
      </c>
      <c r="C177" s="352"/>
      <c r="D177" s="1224" t="s">
        <v>331</v>
      </c>
      <c r="E177" s="1224"/>
      <c r="F177" s="1224"/>
      <c r="G177" s="352"/>
      <c r="I177" s="1133" t="s">
        <v>557</v>
      </c>
    </row>
    <row r="178" spans="1:9" ht="13.75" customHeight="1">
      <c r="A178" s="362"/>
      <c r="B178" s="362"/>
      <c r="C178" s="352"/>
      <c r="D178" s="1224"/>
      <c r="E178" s="1224"/>
      <c r="F178" s="1224"/>
      <c r="G178" s="352"/>
      <c r="I178" s="1133"/>
    </row>
    <row r="179" spans="1:9" ht="13.75" customHeight="1">
      <c r="A179" s="362"/>
      <c r="B179" s="362"/>
      <c r="C179" s="352"/>
      <c r="D179" s="1224"/>
      <c r="E179" s="1224"/>
      <c r="F179" s="1224"/>
      <c r="G179" s="352"/>
      <c r="I179" s="1133"/>
    </row>
    <row r="180" spans="1:9" ht="13.75" customHeight="1">
      <c r="A180" s="362"/>
      <c r="B180" s="362"/>
      <c r="C180" s="352"/>
      <c r="D180" s="1224"/>
      <c r="E180" s="1224"/>
      <c r="F180" s="1224"/>
      <c r="G180" s="352"/>
      <c r="I180" s="1133"/>
    </row>
    <row r="181" spans="1:9" ht="13.75" customHeight="1">
      <c r="D181" s="1112"/>
      <c r="E181" s="1112"/>
      <c r="F181" s="1112"/>
      <c r="I181" s="1133"/>
    </row>
    <row r="182" spans="1:9" ht="13.75" customHeight="1">
      <c r="B182" s="358" t="s">
        <v>529</v>
      </c>
      <c r="D182" s="1256" t="s">
        <v>558</v>
      </c>
      <c r="E182" s="1256"/>
      <c r="F182" s="1256"/>
      <c r="I182" s="1133" t="s">
        <v>559</v>
      </c>
    </row>
    <row r="183" spans="1:9" ht="13.75" customHeight="1">
      <c r="D183" s="1256"/>
      <c r="E183" s="1256"/>
      <c r="F183" s="1256"/>
      <c r="I183" s="1133"/>
    </row>
    <row r="184" spans="1:9" ht="13.75" customHeight="1">
      <c r="D184" s="1256"/>
      <c r="E184" s="1256"/>
      <c r="F184" s="1256"/>
      <c r="I184" s="1133"/>
    </row>
    <row r="185" spans="1:9" ht="13.75" customHeight="1">
      <c r="A185" s="1133"/>
      <c r="B185" s="1133"/>
      <c r="E185" s="1112"/>
      <c r="F185" s="1112"/>
      <c r="I185" s="1133"/>
    </row>
    <row r="186" spans="1:9">
      <c r="A186" s="1242" t="s">
        <v>560</v>
      </c>
      <c r="B186" s="1242"/>
      <c r="C186" s="1242"/>
      <c r="D186" s="1242"/>
      <c r="E186" s="1242"/>
      <c r="F186" s="1242"/>
      <c r="G186" s="1242"/>
      <c r="H186" s="836"/>
      <c r="I186" s="1021"/>
    </row>
    <row r="187" spans="1:9" ht="12" customHeight="1">
      <c r="D187" s="1112"/>
      <c r="E187" s="1112"/>
      <c r="F187" s="1112"/>
      <c r="I187" s="1133"/>
    </row>
    <row r="188" spans="1:9">
      <c r="B188" s="1249" t="s">
        <v>334</v>
      </c>
      <c r="C188" s="1249"/>
      <c r="D188" s="1249"/>
      <c r="E188" s="1249"/>
      <c r="F188" s="1249"/>
      <c r="I188" s="1133"/>
    </row>
    <row r="189" spans="1:9">
      <c r="B189" s="1113" t="s">
        <v>561</v>
      </c>
      <c r="C189" s="1113"/>
      <c r="D189" s="1113"/>
      <c r="E189" s="1113"/>
      <c r="F189" s="1113"/>
      <c r="I189" s="1133"/>
    </row>
    <row r="190" spans="1:9" ht="12" customHeight="1">
      <c r="A190" s="1136"/>
      <c r="B190" s="1136"/>
      <c r="C190" s="1136"/>
      <c r="I190" s="1133"/>
    </row>
    <row r="191" spans="1:9">
      <c r="A191" s="1242" t="s">
        <v>335</v>
      </c>
      <c r="B191" s="1242"/>
      <c r="C191" s="1242"/>
      <c r="D191" s="1242"/>
      <c r="E191" s="1242"/>
      <c r="F191" s="1242"/>
      <c r="G191" s="1242"/>
      <c r="H191" s="836"/>
      <c r="I191" s="1021"/>
    </row>
    <row r="192" spans="1:9" ht="12" customHeight="1">
      <c r="A192" s="293"/>
      <c r="B192" s="293"/>
      <c r="E192" s="293"/>
      <c r="I192" s="1133"/>
    </row>
    <row r="193" spans="1:9" ht="13.75" customHeight="1">
      <c r="A193" s="293"/>
      <c r="B193" s="293"/>
      <c r="D193" s="1262" t="s">
        <v>562</v>
      </c>
      <c r="E193" s="1262"/>
      <c r="F193" s="1262"/>
      <c r="I193" s="1133"/>
    </row>
    <row r="194" spans="1:9">
      <c r="A194" s="293"/>
      <c r="B194" s="293"/>
      <c r="D194" s="1262"/>
      <c r="E194" s="1262"/>
      <c r="F194" s="1262"/>
      <c r="I194" s="1133"/>
    </row>
    <row r="195" spans="1:9">
      <c r="A195" s="293"/>
      <c r="B195" s="293"/>
      <c r="D195" s="1249" t="s">
        <v>563</v>
      </c>
      <c r="E195" s="1249"/>
      <c r="F195" s="1249"/>
      <c r="I195" s="1133"/>
    </row>
    <row r="196" spans="1:9">
      <c r="A196" s="293"/>
      <c r="B196" s="293"/>
      <c r="D196" s="1113"/>
      <c r="E196" s="1113"/>
      <c r="F196" s="1113"/>
      <c r="I196" s="1133"/>
    </row>
    <row r="197" spans="1:9">
      <c r="A197" s="293"/>
      <c r="B197" s="358" t="s">
        <v>522</v>
      </c>
      <c r="D197" s="1241" t="s">
        <v>564</v>
      </c>
      <c r="E197" s="1241"/>
      <c r="F197" s="1241"/>
      <c r="I197" s="1133" t="s">
        <v>565</v>
      </c>
    </row>
    <row r="198" spans="1:9">
      <c r="A198" s="293"/>
      <c r="B198" s="293"/>
      <c r="D198" s="1239" t="s">
        <v>566</v>
      </c>
      <c r="E198" s="1239"/>
      <c r="F198" s="1239"/>
      <c r="I198" s="1133"/>
    </row>
    <row r="199" spans="1:9">
      <c r="A199" s="293"/>
      <c r="B199" s="293"/>
      <c r="D199" s="55" t="s">
        <v>567</v>
      </c>
      <c r="E199" s="1291" t="s">
        <v>568</v>
      </c>
      <c r="F199" s="1291"/>
      <c r="I199" s="1133"/>
    </row>
    <row r="200" spans="1:9">
      <c r="A200" s="293"/>
      <c r="B200" s="293"/>
      <c r="D200" s="2"/>
      <c r="E200" s="2"/>
      <c r="F200" s="2"/>
      <c r="I200" s="1133"/>
    </row>
    <row r="201" spans="1:9">
      <c r="A201" s="293"/>
      <c r="B201" s="358" t="s">
        <v>529</v>
      </c>
      <c r="D201" s="1239" t="s">
        <v>569</v>
      </c>
      <c r="E201" s="1239"/>
      <c r="F201" s="1239"/>
      <c r="I201" s="1133" t="s">
        <v>570</v>
      </c>
    </row>
    <row r="202" spans="1:9">
      <c r="A202" s="293"/>
      <c r="B202" s="293"/>
      <c r="D202" s="1241" t="s">
        <v>566</v>
      </c>
      <c r="E202" s="1241"/>
      <c r="F202" s="1241"/>
      <c r="I202" s="1133"/>
    </row>
    <row r="203" spans="1:9">
      <c r="A203" s="293"/>
      <c r="B203" s="293"/>
      <c r="D203" s="1109" t="s">
        <v>571</v>
      </c>
      <c r="E203" s="1291" t="s">
        <v>572</v>
      </c>
      <c r="F203" s="1291"/>
      <c r="I203" s="1133"/>
    </row>
    <row r="204" spans="1:9">
      <c r="A204" s="293"/>
      <c r="B204" s="293"/>
      <c r="D204" s="2"/>
      <c r="E204" s="2"/>
      <c r="F204" s="2"/>
      <c r="I204" s="1133"/>
    </row>
    <row r="205" spans="1:9">
      <c r="A205" s="293"/>
      <c r="B205" s="358" t="s">
        <v>529</v>
      </c>
      <c r="D205" s="1239" t="s">
        <v>573</v>
      </c>
      <c r="E205" s="1239"/>
      <c r="F205" s="1239"/>
      <c r="I205" s="1133" t="s">
        <v>574</v>
      </c>
    </row>
    <row r="206" spans="1:9">
      <c r="A206" s="293"/>
      <c r="B206" s="293"/>
      <c r="D206" s="1241" t="s">
        <v>566</v>
      </c>
      <c r="E206" s="1241"/>
      <c r="F206" s="1241"/>
      <c r="I206" s="1133"/>
    </row>
    <row r="207" spans="1:9">
      <c r="A207" s="293"/>
      <c r="B207" s="293"/>
      <c r="D207" s="1109" t="s">
        <v>567</v>
      </c>
      <c r="E207" s="1291" t="s">
        <v>575</v>
      </c>
      <c r="F207" s="1291"/>
      <c r="I207" s="1133"/>
    </row>
    <row r="208" spans="1:9">
      <c r="A208" s="293"/>
      <c r="B208" s="293"/>
      <c r="D208" s="1113"/>
      <c r="E208" s="1113"/>
      <c r="F208" s="1113"/>
      <c r="I208" s="1133"/>
    </row>
    <row r="209" spans="1:9" ht="14.25" customHeight="1">
      <c r="A209" s="357"/>
      <c r="B209" s="358" t="s">
        <v>529</v>
      </c>
      <c r="D209" s="277" t="s">
        <v>576</v>
      </c>
      <c r="E209" s="1131"/>
      <c r="F209" s="1131"/>
      <c r="I209" s="1133" t="s">
        <v>577</v>
      </c>
    </row>
    <row r="210" spans="1:9">
      <c r="A210" s="357"/>
      <c r="B210" s="357"/>
      <c r="D210" s="1241" t="s">
        <v>566</v>
      </c>
      <c r="E210" s="1241"/>
      <c r="F210" s="1241"/>
      <c r="I210" s="1133"/>
    </row>
    <row r="211" spans="1:9">
      <c r="D211" s="1131"/>
      <c r="E211" s="1291" t="s">
        <v>578</v>
      </c>
      <c r="F211" s="1291"/>
      <c r="I211" s="1133"/>
    </row>
    <row r="212" spans="1:9">
      <c r="D212" s="1106"/>
      <c r="I212" s="1133"/>
    </row>
    <row r="213" spans="1:9">
      <c r="B213" s="358" t="s">
        <v>529</v>
      </c>
      <c r="D213" s="1239" t="s">
        <v>579</v>
      </c>
      <c r="E213" s="1239"/>
      <c r="F213" s="1239"/>
      <c r="I213" s="1133" t="s">
        <v>580</v>
      </c>
    </row>
    <row r="214" spans="1:9">
      <c r="D214" s="1241" t="s">
        <v>566</v>
      </c>
      <c r="E214" s="1241"/>
      <c r="F214" s="1241"/>
      <c r="I214" s="1133"/>
    </row>
    <row r="215" spans="1:9">
      <c r="D215" s="1109" t="s">
        <v>567</v>
      </c>
      <c r="E215" s="1291" t="s">
        <v>581</v>
      </c>
      <c r="F215" s="1291"/>
      <c r="I215" s="1133"/>
    </row>
    <row r="216" spans="1:9">
      <c r="D216" s="1104"/>
      <c r="E216" s="1104"/>
      <c r="F216" s="1104"/>
      <c r="I216" s="1133"/>
    </row>
    <row r="217" spans="1:9">
      <c r="A217" s="357"/>
      <c r="B217" s="358" t="s">
        <v>529</v>
      </c>
      <c r="D217" s="1236" t="s">
        <v>582</v>
      </c>
      <c r="E217" s="1236"/>
      <c r="F217" s="1236"/>
      <c r="I217" s="1133"/>
    </row>
    <row r="218" spans="1:9" ht="14.5" customHeight="1">
      <c r="A218" s="357"/>
      <c r="B218" s="291"/>
      <c r="D218" s="1236"/>
      <c r="E218" s="1236"/>
      <c r="F218" s="1236"/>
      <c r="I218" s="1133"/>
    </row>
    <row r="219" spans="1:9">
      <c r="A219" s="357"/>
      <c r="D219" s="1236"/>
      <c r="E219" s="1236"/>
      <c r="F219" s="1236"/>
      <c r="I219" s="1133"/>
    </row>
    <row r="220" spans="1:9">
      <c r="A220" s="357"/>
      <c r="D220" s="1236"/>
      <c r="E220" s="1236"/>
      <c r="F220" s="1236"/>
      <c r="I220" s="1133"/>
    </row>
    <row r="221" spans="1:9">
      <c r="D221" s="1104"/>
      <c r="E221" s="1104"/>
      <c r="F221" s="1104"/>
      <c r="I221" s="1133"/>
    </row>
    <row r="222" spans="1:9">
      <c r="A222" s="1242" t="s">
        <v>341</v>
      </c>
      <c r="B222" s="1242"/>
      <c r="C222" s="1242"/>
      <c r="D222" s="1242"/>
      <c r="E222" s="1242"/>
      <c r="F222" s="1242"/>
      <c r="G222" s="1242"/>
      <c r="H222" s="836"/>
      <c r="I222" s="1021"/>
    </row>
    <row r="223" spans="1:9" ht="12" customHeight="1">
      <c r="D223" s="1112"/>
      <c r="E223" s="1112"/>
      <c r="F223" s="1112"/>
      <c r="I223" s="1133"/>
    </row>
    <row r="224" spans="1:9">
      <c r="C224" s="359"/>
      <c r="D224" s="1234" t="s">
        <v>342</v>
      </c>
      <c r="E224" s="1234"/>
      <c r="F224" s="1234"/>
      <c r="I224" s="1133"/>
    </row>
    <row r="225" spans="1:9">
      <c r="A225" s="1136"/>
      <c r="B225" s="1136"/>
      <c r="C225" s="1136"/>
      <c r="D225" s="1263" t="s">
        <v>343</v>
      </c>
      <c r="E225" s="1263"/>
      <c r="F225" s="1263"/>
      <c r="I225" s="1133"/>
    </row>
    <row r="226" spans="1:9" ht="12" customHeight="1">
      <c r="A226" s="1133"/>
      <c r="B226" s="1133"/>
      <c r="C226" s="1133"/>
      <c r="I226" s="1133"/>
    </row>
    <row r="227" spans="1:9" ht="13.75" customHeight="1">
      <c r="A227" s="1133"/>
      <c r="C227" s="1133"/>
      <c r="D227" s="1234" t="s">
        <v>344</v>
      </c>
      <c r="E227" s="1234"/>
      <c r="F227" s="1234"/>
      <c r="I227" s="1133" t="s">
        <v>583</v>
      </c>
    </row>
    <row r="228" spans="1:9">
      <c r="A228" s="357"/>
      <c r="B228" s="358" t="s">
        <v>522</v>
      </c>
      <c r="D228" s="1236" t="s">
        <v>584</v>
      </c>
      <c r="E228" s="1236"/>
      <c r="F228" s="1236"/>
      <c r="I228" s="1133"/>
    </row>
    <row r="229" spans="1:9" ht="14.25" customHeight="1">
      <c r="A229" s="357"/>
      <c r="B229" s="357"/>
      <c r="D229" s="1236"/>
      <c r="E229" s="1236"/>
      <c r="F229" s="1236"/>
      <c r="I229" s="1133"/>
    </row>
    <row r="230" spans="1:9" ht="14.25" customHeight="1">
      <c r="A230" s="357"/>
      <c r="B230" s="357"/>
      <c r="D230" s="1236"/>
      <c r="E230" s="1236"/>
      <c r="F230" s="1236"/>
      <c r="I230" s="1133"/>
    </row>
    <row r="231" spans="1:9">
      <c r="A231" s="357"/>
      <c r="B231" s="357"/>
      <c r="D231" s="1236"/>
      <c r="E231" s="1236"/>
      <c r="F231" s="1236"/>
      <c r="I231" s="1133"/>
    </row>
    <row r="232" spans="1:9">
      <c r="A232" s="357"/>
      <c r="B232" s="357"/>
      <c r="D232" s="1111"/>
      <c r="E232" s="1111"/>
      <c r="F232" s="1111"/>
      <c r="I232" s="1133"/>
    </row>
    <row r="233" spans="1:9">
      <c r="A233" s="357"/>
      <c r="B233" s="358" t="s">
        <v>522</v>
      </c>
      <c r="D233" s="1236" t="s">
        <v>585</v>
      </c>
      <c r="E233" s="1236"/>
      <c r="F233" s="1236"/>
      <c r="I233" s="1133" t="s">
        <v>586</v>
      </c>
    </row>
    <row r="234" spans="1:9">
      <c r="A234" s="357"/>
      <c r="B234" s="357"/>
      <c r="D234" s="1236"/>
      <c r="E234" s="1236"/>
      <c r="F234" s="1236"/>
      <c r="I234" s="1133"/>
    </row>
    <row r="235" spans="1:9">
      <c r="A235" s="357"/>
      <c r="B235" s="357"/>
      <c r="D235" s="1236"/>
      <c r="E235" s="1236"/>
      <c r="F235" s="1236"/>
      <c r="I235" s="1133"/>
    </row>
    <row r="236" spans="1:9">
      <c r="A236" s="357"/>
      <c r="B236" s="357"/>
      <c r="D236" s="1236"/>
      <c r="E236" s="1236"/>
      <c r="F236" s="1236"/>
      <c r="I236" s="1133"/>
    </row>
    <row r="237" spans="1:9" ht="14.25" customHeight="1">
      <c r="A237" s="357"/>
      <c r="B237" s="357"/>
      <c r="D237" s="1236"/>
      <c r="E237" s="1236"/>
      <c r="F237" s="1236"/>
      <c r="I237" s="1133"/>
    </row>
    <row r="238" spans="1:9" ht="14.25" customHeight="1">
      <c r="A238" s="357"/>
      <c r="B238" s="357"/>
      <c r="D238" s="1111"/>
      <c r="E238" s="1111"/>
      <c r="F238" s="1111"/>
      <c r="I238" s="1133"/>
    </row>
    <row r="239" spans="1:9">
      <c r="A239" s="357"/>
      <c r="B239" s="357"/>
      <c r="D239" s="1236" t="s">
        <v>347</v>
      </c>
      <c r="E239" s="1236"/>
      <c r="F239" s="1236"/>
      <c r="I239" s="1133" t="s">
        <v>583</v>
      </c>
    </row>
    <row r="240" spans="1:9">
      <c r="A240" s="357"/>
      <c r="B240" s="357"/>
      <c r="D240" s="1236"/>
      <c r="E240" s="1236"/>
      <c r="F240" s="1236"/>
      <c r="I240" s="1133"/>
    </row>
    <row r="241" spans="1:9">
      <c r="A241" s="357"/>
      <c r="B241" s="357"/>
      <c r="D241" s="1236"/>
      <c r="E241" s="1236"/>
      <c r="F241" s="1236"/>
      <c r="I241" s="1133"/>
    </row>
    <row r="242" spans="1:9">
      <c r="A242" s="357"/>
      <c r="B242" s="357"/>
      <c r="D242" s="1236"/>
      <c r="E242" s="1236"/>
      <c r="F242" s="1236"/>
      <c r="I242" s="1133"/>
    </row>
    <row r="243" spans="1:9">
      <c r="A243" s="357"/>
      <c r="B243" s="357"/>
      <c r="D243" s="1236"/>
      <c r="E243" s="1236"/>
      <c r="F243" s="1236"/>
      <c r="I243" s="1133"/>
    </row>
    <row r="244" spans="1:9">
      <c r="A244" s="357"/>
      <c r="B244" s="357"/>
      <c r="D244" s="1112"/>
      <c r="E244" s="1112"/>
      <c r="F244" s="1112"/>
      <c r="I244" s="1133"/>
    </row>
    <row r="245" spans="1:9">
      <c r="A245" s="357"/>
      <c r="B245" s="358" t="s">
        <v>522</v>
      </c>
      <c r="D245" s="1236" t="s">
        <v>587</v>
      </c>
      <c r="E245" s="1236"/>
      <c r="F245" s="1236"/>
      <c r="I245" s="1133" t="s">
        <v>588</v>
      </c>
    </row>
    <row r="246" spans="1:9">
      <c r="A246" s="357"/>
      <c r="B246" s="357"/>
      <c r="D246" s="1236"/>
      <c r="E246" s="1236"/>
      <c r="F246" s="1236"/>
      <c r="I246" s="1133"/>
    </row>
    <row r="247" spans="1:9">
      <c r="A247" s="357"/>
      <c r="B247" s="357"/>
      <c r="D247" s="1236"/>
      <c r="E247" s="1236"/>
      <c r="F247" s="1236"/>
      <c r="I247" s="1133"/>
    </row>
    <row r="248" spans="1:9">
      <c r="A248" s="357"/>
      <c r="B248" s="357"/>
      <c r="E248" s="844" t="s">
        <v>589</v>
      </c>
      <c r="I248" s="1133"/>
    </row>
    <row r="249" spans="1:9">
      <c r="A249" s="357"/>
      <c r="B249" s="357"/>
      <c r="D249" s="1112"/>
      <c r="E249" s="1112"/>
      <c r="F249" s="1112"/>
      <c r="I249" s="1133"/>
    </row>
    <row r="250" spans="1:9" ht="14.5" customHeight="1">
      <c r="A250" s="357"/>
      <c r="B250" s="358" t="s">
        <v>529</v>
      </c>
      <c r="D250" s="1236" t="s">
        <v>590</v>
      </c>
      <c r="E250" s="1236"/>
      <c r="F250" s="1236"/>
      <c r="I250" s="1133" t="s">
        <v>591</v>
      </c>
    </row>
    <row r="251" spans="1:9">
      <c r="A251" s="357"/>
      <c r="B251" s="357"/>
      <c r="D251" s="1236"/>
      <c r="E251" s="1236"/>
      <c r="F251" s="1236"/>
      <c r="I251" s="1133"/>
    </row>
    <row r="252" spans="1:9">
      <c r="A252" s="357"/>
      <c r="B252" s="357"/>
      <c r="D252" s="1236"/>
      <c r="E252" s="1236"/>
      <c r="F252" s="1236"/>
      <c r="I252" s="1133"/>
    </row>
    <row r="253" spans="1:9">
      <c r="A253" s="357"/>
      <c r="B253" s="357"/>
      <c r="D253" s="1236"/>
      <c r="E253" s="1236"/>
      <c r="F253" s="1236"/>
      <c r="I253" s="1133"/>
    </row>
    <row r="254" spans="1:9">
      <c r="A254" s="357"/>
      <c r="B254" s="357"/>
      <c r="D254" s="1236"/>
      <c r="E254" s="1236"/>
      <c r="F254" s="1236"/>
      <c r="I254" s="1133"/>
    </row>
    <row r="255" spans="1:9">
      <c r="A255" s="357"/>
      <c r="B255" s="357"/>
      <c r="D255" s="1111"/>
      <c r="E255" s="1111"/>
      <c r="F255" s="1111"/>
      <c r="I255" s="1133"/>
    </row>
    <row r="256" spans="1:9">
      <c r="A256" s="357"/>
      <c r="B256" s="358" t="s">
        <v>522</v>
      </c>
      <c r="D256" s="1113" t="s">
        <v>592</v>
      </c>
      <c r="E256" s="1111"/>
      <c r="F256" s="1111"/>
      <c r="I256" s="1133" t="s">
        <v>593</v>
      </c>
    </row>
    <row r="257" spans="1:9">
      <c r="A257" s="357"/>
      <c r="B257" s="357"/>
      <c r="E257" s="844" t="s">
        <v>594</v>
      </c>
      <c r="I257" s="1133"/>
    </row>
    <row r="258" spans="1:9">
      <c r="D258" s="1112"/>
      <c r="E258" s="1112"/>
      <c r="F258" s="1112"/>
      <c r="I258" s="1133"/>
    </row>
    <row r="259" spans="1:9">
      <c r="A259" s="357"/>
      <c r="B259" s="358" t="s">
        <v>522</v>
      </c>
      <c r="D259" s="1236" t="s">
        <v>351</v>
      </c>
      <c r="E259" s="1236"/>
      <c r="F259" s="1236"/>
      <c r="I259" s="1133"/>
    </row>
    <row r="260" spans="1:9">
      <c r="A260" s="357"/>
      <c r="B260" s="357"/>
      <c r="D260" s="1236"/>
      <c r="E260" s="1236"/>
      <c r="F260" s="1236"/>
      <c r="I260" s="1133"/>
    </row>
    <row r="261" spans="1:9">
      <c r="D261" s="363"/>
      <c r="I261" s="1133"/>
    </row>
    <row r="262" spans="1:9">
      <c r="A262" s="1242" t="s">
        <v>352</v>
      </c>
      <c r="B262" s="1242"/>
      <c r="C262" s="1242"/>
      <c r="D262" s="1242"/>
      <c r="E262" s="1242"/>
      <c r="F262" s="1242"/>
      <c r="G262" s="1242"/>
      <c r="H262" s="836"/>
      <c r="I262" s="1021"/>
    </row>
    <row r="263" spans="1:9">
      <c r="D263" s="363"/>
      <c r="I263" s="1133"/>
    </row>
    <row r="264" spans="1:9">
      <c r="C264" s="359"/>
      <c r="D264" s="1234" t="s">
        <v>353</v>
      </c>
      <c r="E264" s="1234"/>
      <c r="F264" s="1234"/>
      <c r="I264" s="1133"/>
    </row>
    <row r="265" spans="1:9">
      <c r="A265" s="1136"/>
      <c r="B265" s="1136"/>
      <c r="C265" s="1136"/>
      <c r="D265" s="1112"/>
      <c r="E265" s="1112"/>
      <c r="F265" s="1112"/>
      <c r="I265" s="1133"/>
    </row>
    <row r="266" spans="1:9">
      <c r="A266" s="356"/>
      <c r="B266" s="356"/>
      <c r="C266" s="356"/>
      <c r="D266" s="1234" t="s">
        <v>354</v>
      </c>
      <c r="E266" s="1234"/>
      <c r="F266" s="1234"/>
      <c r="I266" s="1133" t="s">
        <v>595</v>
      </c>
    </row>
    <row r="267" spans="1:9" ht="14.5" customHeight="1">
      <c r="A267" s="357"/>
      <c r="B267" s="358" t="s">
        <v>522</v>
      </c>
      <c r="D267" s="1236" t="s">
        <v>596</v>
      </c>
      <c r="E267" s="1236"/>
      <c r="F267" s="1236"/>
      <c r="I267" s="1133"/>
    </row>
    <row r="268" spans="1:9">
      <c r="D268" s="1236"/>
      <c r="E268" s="1236"/>
      <c r="F268" s="1236"/>
      <c r="I268" s="1133"/>
    </row>
    <row r="269" spans="1:9">
      <c r="E269" s="844" t="s">
        <v>597</v>
      </c>
      <c r="I269" s="1133"/>
    </row>
    <row r="270" spans="1:9">
      <c r="D270" s="1112"/>
      <c r="E270" s="1112"/>
      <c r="F270" s="1112"/>
      <c r="I270" s="1133"/>
    </row>
    <row r="271" spans="1:9" ht="14.5" customHeight="1">
      <c r="A271" s="357"/>
      <c r="B271" s="358" t="s">
        <v>529</v>
      </c>
      <c r="D271" s="1236" t="s">
        <v>598</v>
      </c>
      <c r="E271" s="1236"/>
      <c r="F271" s="1236"/>
      <c r="I271" s="1133" t="s">
        <v>599</v>
      </c>
    </row>
    <row r="272" spans="1:9">
      <c r="D272" s="1236"/>
      <c r="E272" s="1236"/>
      <c r="F272" s="1236"/>
      <c r="I272" s="1133"/>
    </row>
    <row r="273" spans="1:9">
      <c r="D273" s="1236"/>
      <c r="E273" s="1236"/>
      <c r="F273" s="1236"/>
      <c r="I273" s="1133"/>
    </row>
    <row r="274" spans="1:9">
      <c r="D274" s="1236"/>
      <c r="E274" s="1236"/>
      <c r="F274" s="1236"/>
      <c r="I274" s="1133"/>
    </row>
    <row r="275" spans="1:9">
      <c r="D275" s="1236"/>
      <c r="E275" s="1236"/>
      <c r="F275" s="1236"/>
      <c r="I275" s="1133"/>
    </row>
    <row r="276" spans="1:9">
      <c r="D276" s="1236"/>
      <c r="E276" s="1236"/>
      <c r="F276" s="1236"/>
      <c r="I276" s="1133"/>
    </row>
    <row r="277" spans="1:9">
      <c r="D277" s="1112"/>
      <c r="E277" s="1112"/>
      <c r="F277" s="1112"/>
      <c r="I277" s="1133"/>
    </row>
    <row r="278" spans="1:9">
      <c r="A278" s="357"/>
      <c r="B278" s="358" t="s">
        <v>529</v>
      </c>
      <c r="D278" s="1236" t="s">
        <v>359</v>
      </c>
      <c r="E278" s="1236"/>
      <c r="F278" s="1236"/>
      <c r="I278" s="1133"/>
    </row>
    <row r="279" spans="1:9">
      <c r="D279" s="1236"/>
      <c r="E279" s="1236"/>
      <c r="F279" s="1236"/>
      <c r="I279" s="1133"/>
    </row>
    <row r="280" spans="1:9">
      <c r="D280" s="1236"/>
      <c r="E280" s="1236"/>
      <c r="F280" s="1236"/>
      <c r="I280" s="1133"/>
    </row>
    <row r="281" spans="1:9">
      <c r="D281" s="364"/>
      <c r="E281" s="1112"/>
      <c r="F281" s="1112"/>
      <c r="I281" s="1133"/>
    </row>
    <row r="282" spans="1:9">
      <c r="A282" s="1242" t="s">
        <v>360</v>
      </c>
      <c r="B282" s="1242"/>
      <c r="C282" s="1242"/>
      <c r="D282" s="1242"/>
      <c r="E282" s="1242"/>
      <c r="F282" s="1242"/>
      <c r="G282" s="1242"/>
      <c r="H282" s="836"/>
      <c r="I282" s="1021"/>
    </row>
    <row r="283" spans="1:9">
      <c r="D283" s="364"/>
      <c r="E283" s="1112"/>
      <c r="F283" s="1112"/>
      <c r="I283" s="1133"/>
    </row>
    <row r="284" spans="1:9">
      <c r="C284" s="1136"/>
      <c r="D284" s="1262" t="s">
        <v>361</v>
      </c>
      <c r="E284" s="1262"/>
      <c r="F284" s="1262"/>
      <c r="I284" s="1133"/>
    </row>
    <row r="285" spans="1:9">
      <c r="C285" s="1136"/>
      <c r="D285" s="1262"/>
      <c r="E285" s="1262"/>
      <c r="F285" s="1262"/>
      <c r="I285" s="1133"/>
    </row>
    <row r="286" spans="1:9">
      <c r="A286" s="356"/>
      <c r="B286" s="356"/>
      <c r="C286" s="356"/>
      <c r="D286" s="293"/>
      <c r="I286" s="1133"/>
    </row>
    <row r="287" spans="1:9">
      <c r="C287" s="356"/>
      <c r="D287" s="1234" t="s">
        <v>362</v>
      </c>
      <c r="E287" s="1234"/>
      <c r="F287" s="1234"/>
      <c r="I287" s="1133"/>
    </row>
    <row r="288" spans="1:9" ht="15.75" customHeight="1">
      <c r="A288" s="357"/>
      <c r="B288" s="357"/>
      <c r="D288" s="1287" t="s">
        <v>363</v>
      </c>
      <c r="E288" s="1287"/>
      <c r="F288" s="1287"/>
      <c r="I288" s="1133"/>
    </row>
    <row r="289" spans="1:9">
      <c r="E289" s="1112"/>
      <c r="F289" s="1112"/>
      <c r="I289" s="1133"/>
    </row>
    <row r="290" spans="1:9">
      <c r="A290" s="357"/>
      <c r="B290" s="358" t="s">
        <v>529</v>
      </c>
      <c r="D290" s="1236" t="s">
        <v>364</v>
      </c>
      <c r="E290" s="1236"/>
      <c r="F290" s="1236"/>
      <c r="I290" s="1133" t="s">
        <v>600</v>
      </c>
    </row>
    <row r="291" spans="1:9">
      <c r="A291" s="357"/>
      <c r="B291" s="357"/>
      <c r="D291" s="1236"/>
      <c r="E291" s="1236"/>
      <c r="F291" s="1236"/>
      <c r="I291" s="1133"/>
    </row>
    <row r="292" spans="1:9">
      <c r="D292" s="1112"/>
      <c r="E292" s="1112"/>
      <c r="F292" s="1112"/>
      <c r="I292" s="1133"/>
    </row>
    <row r="293" spans="1:9">
      <c r="A293" s="357"/>
      <c r="B293" s="358" t="s">
        <v>529</v>
      </c>
      <c r="D293" s="1236" t="s">
        <v>365</v>
      </c>
      <c r="E293" s="1236"/>
      <c r="F293" s="1236"/>
      <c r="I293" s="1133" t="s">
        <v>600</v>
      </c>
    </row>
    <row r="294" spans="1:9">
      <c r="A294" s="357"/>
      <c r="B294" s="357"/>
      <c r="D294" s="1236"/>
      <c r="E294" s="1236"/>
      <c r="F294" s="1236"/>
      <c r="I294" s="1133"/>
    </row>
    <row r="295" spans="1:9">
      <c r="A295" s="357"/>
      <c r="B295" s="357"/>
      <c r="D295" s="1236"/>
      <c r="E295" s="1236"/>
      <c r="F295" s="1236"/>
      <c r="I295" s="1133"/>
    </row>
    <row r="296" spans="1:9">
      <c r="D296" s="1112"/>
      <c r="E296" s="1112"/>
      <c r="F296" s="1112"/>
      <c r="I296" s="1133"/>
    </row>
    <row r="297" spans="1:9">
      <c r="A297" s="357"/>
      <c r="B297" s="358" t="s">
        <v>529</v>
      </c>
      <c r="D297" s="1236" t="s">
        <v>366</v>
      </c>
      <c r="E297" s="1236"/>
      <c r="F297" s="1236"/>
      <c r="I297" s="1133" t="s">
        <v>600</v>
      </c>
    </row>
    <row r="298" spans="1:9">
      <c r="A298" s="357"/>
      <c r="B298" s="357"/>
      <c r="D298" s="1236"/>
      <c r="E298" s="1236"/>
      <c r="F298" s="1236"/>
      <c r="I298" s="1133"/>
    </row>
    <row r="299" spans="1:9">
      <c r="A299" s="1133"/>
      <c r="B299" s="1133"/>
      <c r="E299" s="1112"/>
      <c r="F299" s="1112"/>
      <c r="I299" s="1133"/>
    </row>
    <row r="300" spans="1:9">
      <c r="A300" s="1242" t="s">
        <v>367</v>
      </c>
      <c r="B300" s="1242"/>
      <c r="C300" s="1242"/>
      <c r="D300" s="1242"/>
      <c r="E300" s="1242"/>
      <c r="F300" s="1242"/>
      <c r="G300" s="1242"/>
      <c r="H300" s="836"/>
      <c r="I300" s="1021"/>
    </row>
    <row r="301" spans="1:9">
      <c r="A301" s="1133"/>
      <c r="B301" s="1133"/>
      <c r="D301" s="1112"/>
      <c r="E301" s="1112"/>
      <c r="F301" s="1112"/>
      <c r="I301" s="1133"/>
    </row>
    <row r="302" spans="1:9">
      <c r="C302" s="1133"/>
      <c r="D302" s="1234" t="s">
        <v>368</v>
      </c>
      <c r="E302" s="1234"/>
      <c r="F302" s="1234"/>
      <c r="I302" s="1133"/>
    </row>
    <row r="303" spans="1:9">
      <c r="C303" s="1133"/>
      <c r="D303" s="1263" t="s">
        <v>369</v>
      </c>
      <c r="E303" s="1263"/>
      <c r="F303" s="1263"/>
      <c r="I303" s="1133"/>
    </row>
    <row r="304" spans="1:9">
      <c r="C304" s="1133"/>
      <c r="D304" s="365"/>
      <c r="I304" s="1133"/>
    </row>
    <row r="305" spans="1:9">
      <c r="B305" s="358" t="s">
        <v>529</v>
      </c>
      <c r="D305" s="1263" t="s">
        <v>370</v>
      </c>
      <c r="E305" s="1263"/>
      <c r="F305" s="1263"/>
      <c r="I305" s="1133" t="s">
        <v>601</v>
      </c>
    </row>
    <row r="306" spans="1:9">
      <c r="A306" s="357"/>
      <c r="B306" s="357"/>
      <c r="D306" s="366"/>
      <c r="E306" s="367"/>
      <c r="F306" s="367"/>
      <c r="I306" s="1133"/>
    </row>
    <row r="307" spans="1:9" ht="13.75" customHeight="1">
      <c r="B307" s="358" t="s">
        <v>529</v>
      </c>
      <c r="D307" s="1284" t="s">
        <v>602</v>
      </c>
      <c r="E307" s="1284"/>
      <c r="F307" s="1284"/>
      <c r="I307" s="1133" t="s">
        <v>601</v>
      </c>
    </row>
    <row r="308" spans="1:9">
      <c r="A308" s="357"/>
      <c r="B308" s="357"/>
      <c r="D308" s="1284"/>
      <c r="E308" s="1284"/>
      <c r="F308" s="1284"/>
      <c r="I308" s="1133"/>
    </row>
    <row r="309" spans="1:9">
      <c r="A309" s="357"/>
      <c r="B309" s="357"/>
      <c r="D309" s="1284"/>
      <c r="E309" s="1284"/>
      <c r="F309" s="1284"/>
      <c r="I309" s="1133"/>
    </row>
    <row r="310" spans="1:9">
      <c r="A310" s="357"/>
      <c r="B310" s="357"/>
      <c r="D310" s="1284"/>
      <c r="E310" s="1284"/>
      <c r="F310" s="1284"/>
      <c r="I310" s="1133"/>
    </row>
    <row r="311" spans="1:9">
      <c r="A311" s="357"/>
      <c r="B311" s="357"/>
      <c r="D311" s="1284"/>
      <c r="E311" s="1284"/>
      <c r="F311" s="1284"/>
      <c r="I311" s="1133"/>
    </row>
    <row r="312" spans="1:9">
      <c r="A312" s="357"/>
      <c r="B312" s="357"/>
      <c r="D312" s="366"/>
      <c r="E312" s="367"/>
      <c r="F312" s="367"/>
      <c r="I312" s="1133"/>
    </row>
    <row r="313" spans="1:9" ht="13.75" customHeight="1">
      <c r="B313" s="358" t="s">
        <v>529</v>
      </c>
      <c r="D313" s="1284" t="s">
        <v>372</v>
      </c>
      <c r="E313" s="1284"/>
      <c r="F313" s="1284"/>
      <c r="I313" s="1133" t="s">
        <v>601</v>
      </c>
    </row>
    <row r="314" spans="1:9">
      <c r="D314" s="1284"/>
      <c r="E314" s="1284"/>
      <c r="F314" s="1284"/>
      <c r="I314" s="1133"/>
    </row>
    <row r="315" spans="1:9">
      <c r="A315" s="357"/>
      <c r="B315" s="357"/>
      <c r="D315" s="366"/>
      <c r="E315" s="367"/>
      <c r="F315" s="367"/>
      <c r="I315" s="1133"/>
    </row>
    <row r="316" spans="1:9">
      <c r="B316" s="358" t="s">
        <v>529</v>
      </c>
      <c r="D316" s="1263" t="s">
        <v>373</v>
      </c>
      <c r="E316" s="1263"/>
      <c r="F316" s="1263"/>
      <c r="I316" s="1133" t="s">
        <v>531</v>
      </c>
    </row>
    <row r="317" spans="1:9">
      <c r="E317" s="1112"/>
      <c r="F317" s="1112"/>
      <c r="I317" s="1133"/>
    </row>
    <row r="318" spans="1:9">
      <c r="A318" s="357"/>
      <c r="B318" s="358" t="s">
        <v>529</v>
      </c>
      <c r="D318" s="1236" t="s">
        <v>603</v>
      </c>
      <c r="E318" s="1236"/>
      <c r="F318" s="1236"/>
      <c r="I318" s="1133" t="s">
        <v>604</v>
      </c>
    </row>
    <row r="319" spans="1:9">
      <c r="A319" s="357"/>
      <c r="B319" s="357"/>
      <c r="D319" s="1236"/>
      <c r="E319" s="1236"/>
      <c r="F319" s="1236"/>
      <c r="I319" s="1133"/>
    </row>
    <row r="320" spans="1:9">
      <c r="A320" s="357"/>
      <c r="B320" s="357"/>
      <c r="D320" s="1236"/>
      <c r="E320" s="1236"/>
      <c r="F320" s="1236"/>
      <c r="I320" s="1133"/>
    </row>
    <row r="321" spans="1:9">
      <c r="A321" s="357"/>
      <c r="B321" s="357"/>
      <c r="D321" s="1236"/>
      <c r="E321" s="1236"/>
      <c r="F321" s="1236"/>
      <c r="I321" s="1133"/>
    </row>
    <row r="322" spans="1:9">
      <c r="A322" s="357"/>
      <c r="B322" s="357"/>
      <c r="D322" s="1236"/>
      <c r="E322" s="1236"/>
      <c r="F322" s="1236"/>
      <c r="I322" s="1133"/>
    </row>
    <row r="323" spans="1:9">
      <c r="A323" s="357"/>
      <c r="B323" s="357"/>
      <c r="D323" s="1236"/>
      <c r="E323" s="1236"/>
      <c r="F323" s="1236"/>
      <c r="I323" s="1133"/>
    </row>
    <row r="324" spans="1:9">
      <c r="A324" s="357"/>
      <c r="B324" s="357"/>
      <c r="D324" s="1236"/>
      <c r="E324" s="1236"/>
      <c r="F324" s="1236"/>
      <c r="I324" s="1133"/>
    </row>
    <row r="325" spans="1:9">
      <c r="A325" s="357"/>
      <c r="B325" s="357"/>
      <c r="D325" s="1236"/>
      <c r="E325" s="1236"/>
      <c r="F325" s="1236"/>
      <c r="I325" s="1133"/>
    </row>
    <row r="326" spans="1:9">
      <c r="A326" s="357"/>
      <c r="B326" s="357"/>
      <c r="D326" s="1236"/>
      <c r="E326" s="1236"/>
      <c r="F326" s="1236"/>
      <c r="I326" s="1133"/>
    </row>
    <row r="327" spans="1:9">
      <c r="A327" s="357"/>
      <c r="B327" s="357"/>
      <c r="D327" s="1236"/>
      <c r="E327" s="1236"/>
      <c r="F327" s="1236"/>
      <c r="I327" s="1133"/>
    </row>
    <row r="328" spans="1:9">
      <c r="A328" s="357"/>
      <c r="B328" s="357"/>
      <c r="D328" s="1236"/>
      <c r="E328" s="1236"/>
      <c r="F328" s="1236"/>
      <c r="I328" s="1133"/>
    </row>
    <row r="329" spans="1:9">
      <c r="A329" s="357"/>
      <c r="B329" s="357"/>
      <c r="D329" s="1236"/>
      <c r="E329" s="1236"/>
      <c r="F329" s="1236"/>
      <c r="I329" s="1133"/>
    </row>
    <row r="330" spans="1:9">
      <c r="A330" s="357"/>
      <c r="B330" s="357"/>
      <c r="D330" s="1236"/>
      <c r="E330" s="1236"/>
      <c r="F330" s="1236"/>
      <c r="I330" s="1133"/>
    </row>
    <row r="331" spans="1:9">
      <c r="A331" s="357"/>
      <c r="B331" s="357"/>
      <c r="D331" s="1236"/>
      <c r="E331" s="1236"/>
      <c r="F331" s="1236"/>
      <c r="I331" s="1133"/>
    </row>
    <row r="332" spans="1:9">
      <c r="A332" s="357"/>
      <c r="B332" s="357"/>
      <c r="D332" s="1236"/>
      <c r="E332" s="1236"/>
      <c r="F332" s="1236"/>
      <c r="I332" s="1133"/>
    </row>
    <row r="333" spans="1:9">
      <c r="D333" s="1112"/>
      <c r="E333" s="1112"/>
      <c r="F333" s="1112"/>
      <c r="I333" s="1133"/>
    </row>
    <row r="334" spans="1:9">
      <c r="A334" s="357"/>
      <c r="B334" s="358" t="s">
        <v>529</v>
      </c>
      <c r="D334" s="1236" t="s">
        <v>375</v>
      </c>
      <c r="E334" s="1236"/>
      <c r="F334" s="1236"/>
      <c r="I334" s="1133" t="s">
        <v>604</v>
      </c>
    </row>
    <row r="335" spans="1:9">
      <c r="D335" s="1236"/>
      <c r="E335" s="1236"/>
      <c r="F335" s="1236"/>
      <c r="I335" s="1133"/>
    </row>
    <row r="336" spans="1:9">
      <c r="D336" s="1236"/>
      <c r="E336" s="1236"/>
      <c r="F336" s="1236"/>
      <c r="I336" s="1133"/>
    </row>
    <row r="337" spans="1:9">
      <c r="D337" s="1236"/>
      <c r="E337" s="1236"/>
      <c r="F337" s="1236"/>
      <c r="I337" s="1133"/>
    </row>
    <row r="338" spans="1:9">
      <c r="D338" s="1236"/>
      <c r="E338" s="1236"/>
      <c r="F338" s="1236"/>
      <c r="I338" s="1133"/>
    </row>
    <row r="339" spans="1:9">
      <c r="D339" s="1236"/>
      <c r="E339" s="1236"/>
      <c r="F339" s="1236"/>
      <c r="I339" s="1133"/>
    </row>
    <row r="340" spans="1:9">
      <c r="D340" s="1236"/>
      <c r="E340" s="1236"/>
      <c r="F340" s="1236"/>
      <c r="I340" s="1133"/>
    </row>
    <row r="341" spans="1:9">
      <c r="D341" s="1236"/>
      <c r="E341" s="1236"/>
      <c r="F341" s="1236"/>
      <c r="I341" s="1133"/>
    </row>
    <row r="342" spans="1:9">
      <c r="D342" s="1236"/>
      <c r="E342" s="1236"/>
      <c r="F342" s="1236"/>
      <c r="I342" s="1133"/>
    </row>
    <row r="343" spans="1:9">
      <c r="D343" s="1112"/>
      <c r="E343" s="1112"/>
      <c r="F343" s="1112"/>
      <c r="I343" s="1133"/>
    </row>
    <row r="344" spans="1:9" ht="14.25" customHeight="1">
      <c r="A344" s="357"/>
      <c r="B344" s="358" t="s">
        <v>529</v>
      </c>
      <c r="D344" s="1236" t="s">
        <v>605</v>
      </c>
      <c r="E344" s="1236"/>
      <c r="F344" s="1236"/>
      <c r="I344" s="1133" t="s">
        <v>606</v>
      </c>
    </row>
    <row r="345" spans="1:9">
      <c r="D345" s="1236"/>
      <c r="E345" s="1236"/>
      <c r="F345" s="1236"/>
      <c r="I345" s="1133"/>
    </row>
    <row r="346" spans="1:9">
      <c r="D346" s="1236"/>
      <c r="E346" s="1236"/>
      <c r="F346" s="1236"/>
      <c r="I346" s="1133"/>
    </row>
    <row r="347" spans="1:9">
      <c r="D347" s="1236"/>
      <c r="E347" s="1236"/>
      <c r="F347" s="1236"/>
      <c r="I347" s="1133"/>
    </row>
    <row r="348" spans="1:9">
      <c r="D348" s="277" t="s">
        <v>566</v>
      </c>
      <c r="E348" s="1131"/>
      <c r="F348" s="1131"/>
      <c r="I348" s="1133"/>
    </row>
    <row r="349" spans="1:9">
      <c r="D349" s="1131"/>
      <c r="E349" s="55" t="s">
        <v>607</v>
      </c>
      <c r="G349" s="55"/>
      <c r="I349" s="1133"/>
    </row>
    <row r="350" spans="1:9">
      <c r="D350" s="1111"/>
      <c r="E350" s="1111"/>
      <c r="F350" s="1111"/>
      <c r="I350" s="1133"/>
    </row>
    <row r="351" spans="1:9" ht="14" thickBot="1">
      <c r="A351" s="831"/>
      <c r="B351" s="831"/>
      <c r="C351" s="831"/>
      <c r="D351" s="1289" t="s">
        <v>377</v>
      </c>
      <c r="E351" s="1289"/>
      <c r="F351" s="1289"/>
      <c r="G351" s="835"/>
      <c r="H351" s="835"/>
      <c r="I351" s="1024"/>
    </row>
    <row r="352" spans="1:9" ht="14" thickTop="1">
      <c r="D352" s="1285" t="s">
        <v>378</v>
      </c>
      <c r="E352" s="1285"/>
      <c r="F352" s="1285"/>
      <c r="I352" s="1133"/>
    </row>
    <row r="353" spans="1:9">
      <c r="D353" s="1112"/>
      <c r="E353" s="1112"/>
      <c r="F353" s="1112"/>
      <c r="I353" s="1133"/>
    </row>
    <row r="354" spans="1:9">
      <c r="A354" s="352"/>
      <c r="B354" s="352"/>
      <c r="C354" s="352"/>
      <c r="D354" s="1106"/>
      <c r="E354" s="1106"/>
      <c r="F354" s="1112"/>
      <c r="I354" s="1133" t="s">
        <v>608</v>
      </c>
    </row>
    <row r="355" spans="1:9">
      <c r="A355" s="357"/>
      <c r="B355" s="358" t="s">
        <v>529</v>
      </c>
      <c r="C355" s="360"/>
      <c r="D355" s="1263" t="s">
        <v>609</v>
      </c>
      <c r="E355" s="1263"/>
      <c r="F355" s="1263"/>
      <c r="I355" s="1281" t="s">
        <v>610</v>
      </c>
    </row>
    <row r="356" spans="1:9" ht="12.75" customHeight="1">
      <c r="D356" s="1103"/>
      <c r="E356" s="55" t="s">
        <v>611</v>
      </c>
      <c r="F356" s="1103"/>
      <c r="I356" s="1282"/>
    </row>
    <row r="357" spans="1:9">
      <c r="D357" s="1236" t="s">
        <v>612</v>
      </c>
      <c r="E357" s="1236"/>
      <c r="F357" s="1236"/>
      <c r="I357" s="1282"/>
    </row>
    <row r="358" spans="1:9">
      <c r="D358" s="1236"/>
      <c r="E358" s="1236"/>
      <c r="F358" s="1236"/>
      <c r="I358" s="1282"/>
    </row>
    <row r="359" spans="1:9">
      <c r="D359" s="1236"/>
      <c r="E359" s="1236"/>
      <c r="F359" s="1236"/>
      <c r="I359" s="1283"/>
    </row>
    <row r="360" spans="1:9">
      <c r="A360" s="357"/>
      <c r="B360" s="358" t="s">
        <v>529</v>
      </c>
      <c r="C360" s="352"/>
      <c r="D360" s="1267" t="s">
        <v>613</v>
      </c>
      <c r="E360" s="1267"/>
      <c r="F360" s="1267"/>
      <c r="I360" s="355"/>
    </row>
    <row r="361" spans="1:9">
      <c r="A361" s="352"/>
      <c r="B361" s="352"/>
      <c r="C361" s="352"/>
      <c r="D361" s="1106"/>
      <c r="E361" s="1106"/>
      <c r="F361" s="1112"/>
      <c r="I361" s="1133"/>
    </row>
    <row r="362" spans="1:9">
      <c r="A362" s="352"/>
      <c r="B362" s="358" t="s">
        <v>529</v>
      </c>
      <c r="C362" s="352"/>
      <c r="D362" s="1224" t="s">
        <v>614</v>
      </c>
      <c r="E362" s="1224"/>
      <c r="F362" s="1224"/>
      <c r="I362" s="1133"/>
    </row>
    <row r="363" spans="1:9">
      <c r="A363" s="352"/>
      <c r="B363" s="352"/>
      <c r="C363" s="352"/>
      <c r="D363" s="1224"/>
      <c r="E363" s="1224"/>
      <c r="F363" s="1224"/>
      <c r="I363" s="1133"/>
    </row>
    <row r="364" spans="1:9">
      <c r="A364" s="352"/>
      <c r="B364" s="352"/>
      <c r="C364" s="352"/>
      <c r="D364" s="1224"/>
      <c r="E364" s="1224"/>
      <c r="F364" s="1224"/>
      <c r="I364" s="1133"/>
    </row>
    <row r="365" spans="1:9">
      <c r="A365" s="352"/>
      <c r="B365" s="352"/>
      <c r="C365" s="352"/>
      <c r="D365" s="1224"/>
      <c r="E365" s="1224"/>
      <c r="F365" s="1224"/>
      <c r="I365" s="1133"/>
    </row>
    <row r="366" spans="1:9">
      <c r="A366" s="352"/>
      <c r="B366" s="352"/>
      <c r="C366" s="352"/>
      <c r="D366" s="1224"/>
      <c r="E366" s="1224"/>
      <c r="F366" s="1224"/>
      <c r="I366" s="1133"/>
    </row>
    <row r="367" spans="1:9">
      <c r="A367" s="352"/>
      <c r="B367" s="352"/>
      <c r="C367" s="352"/>
      <c r="D367" s="1224"/>
      <c r="E367" s="1224"/>
      <c r="F367" s="1224"/>
      <c r="I367" s="1133"/>
    </row>
    <row r="368" spans="1:9">
      <c r="A368" s="352"/>
      <c r="B368" s="352"/>
      <c r="C368" s="352"/>
      <c r="D368" s="1224"/>
      <c r="E368" s="1224"/>
      <c r="F368" s="1224"/>
      <c r="I368" s="1133"/>
    </row>
    <row r="369" spans="1:9">
      <c r="A369" s="352"/>
      <c r="B369" s="352"/>
      <c r="C369" s="352"/>
      <c r="D369" s="1224"/>
      <c r="E369" s="1224"/>
      <c r="F369" s="1224"/>
      <c r="I369" s="1133"/>
    </row>
    <row r="370" spans="1:9">
      <c r="A370" s="352"/>
      <c r="B370" s="352"/>
      <c r="C370" s="352"/>
      <c r="D370" s="1224"/>
      <c r="E370" s="1224"/>
      <c r="F370" s="1224"/>
      <c r="I370" s="1133"/>
    </row>
    <row r="371" spans="1:9">
      <c r="A371" s="352"/>
      <c r="B371" s="352"/>
      <c r="C371" s="352"/>
      <c r="D371" s="1224"/>
      <c r="E371" s="1224"/>
      <c r="F371" s="1224"/>
      <c r="I371" s="1133"/>
    </row>
    <row r="372" spans="1:9">
      <c r="A372" s="352"/>
      <c r="B372" s="352"/>
      <c r="C372" s="352"/>
      <c r="D372" s="1224"/>
      <c r="E372" s="1224"/>
      <c r="F372" s="1224"/>
      <c r="I372" s="1133"/>
    </row>
    <row r="373" spans="1:9">
      <c r="A373" s="352"/>
      <c r="B373" s="352"/>
      <c r="C373" s="352"/>
      <c r="D373" s="1224"/>
      <c r="E373" s="1224"/>
      <c r="F373" s="1224"/>
      <c r="I373" s="1133"/>
    </row>
    <row r="374" spans="1:9">
      <c r="A374" s="352"/>
      <c r="B374" s="352"/>
      <c r="C374" s="352"/>
      <c r="D374" s="1104"/>
      <c r="E374" s="1104"/>
      <c r="F374" s="1104"/>
      <c r="I374" s="1133"/>
    </row>
    <row r="375" spans="1:9" ht="12.5" customHeight="1">
      <c r="A375" s="352"/>
      <c r="B375" s="358" t="s">
        <v>529</v>
      </c>
      <c r="C375" s="352"/>
      <c r="D375" s="1278" t="s">
        <v>615</v>
      </c>
      <c r="E375" s="1278"/>
      <c r="F375" s="1278"/>
      <c r="I375" s="1133"/>
    </row>
    <row r="376" spans="1:9">
      <c r="A376" s="352"/>
      <c r="B376" s="352"/>
      <c r="C376" s="352"/>
      <c r="D376" s="1278"/>
      <c r="E376" s="1278"/>
      <c r="F376" s="1278"/>
      <c r="I376" s="1133"/>
    </row>
    <row r="377" spans="1:9">
      <c r="A377" s="352"/>
      <c r="B377" s="352"/>
      <c r="C377" s="352"/>
      <c r="D377" s="1278"/>
      <c r="E377" s="1278"/>
      <c r="F377" s="1278"/>
      <c r="I377" s="1133"/>
    </row>
    <row r="378" spans="1:9">
      <c r="A378" s="352"/>
      <c r="B378" s="352"/>
      <c r="C378" s="352"/>
      <c r="D378" s="1278"/>
      <c r="E378" s="1278"/>
      <c r="F378" s="1278"/>
      <c r="I378" s="1133"/>
    </row>
    <row r="379" spans="1:9">
      <c r="A379" s="352"/>
      <c r="B379" s="352"/>
      <c r="C379" s="352"/>
      <c r="D379" s="1126"/>
      <c r="E379" s="1126"/>
      <c r="F379" s="1126"/>
      <c r="I379" s="1133"/>
    </row>
    <row r="380" spans="1:9">
      <c r="A380" s="352"/>
      <c r="B380" s="358" t="s">
        <v>529</v>
      </c>
      <c r="C380" s="352"/>
      <c r="D380" s="291" t="s">
        <v>616</v>
      </c>
      <c r="E380" s="1126"/>
      <c r="F380" s="1126"/>
      <c r="I380" s="1133"/>
    </row>
    <row r="381" spans="1:9">
      <c r="A381" s="352"/>
      <c r="B381" s="352"/>
      <c r="C381" s="352"/>
      <c r="D381" s="291" t="s">
        <v>617</v>
      </c>
      <c r="E381" s="1126"/>
      <c r="F381" s="1126"/>
      <c r="I381" s="1133"/>
    </row>
    <row r="382" spans="1:9">
      <c r="A382" s="352"/>
      <c r="B382" s="352"/>
      <c r="C382" s="352"/>
      <c r="D382" s="291" t="s">
        <v>618</v>
      </c>
      <c r="E382" s="1126"/>
      <c r="F382" s="1126"/>
      <c r="I382" s="1133"/>
    </row>
    <row r="383" spans="1:9">
      <c r="A383" s="352"/>
      <c r="B383" s="352"/>
      <c r="C383" s="352"/>
      <c r="D383" s="291" t="s">
        <v>619</v>
      </c>
      <c r="E383" s="1126"/>
      <c r="F383" s="1126"/>
      <c r="I383" s="1133"/>
    </row>
    <row r="384" spans="1:9">
      <c r="A384" s="352"/>
      <c r="B384" s="352"/>
      <c r="C384" s="352"/>
      <c r="D384" s="291" t="s">
        <v>620</v>
      </c>
      <c r="E384" s="1126"/>
      <c r="F384" s="1126"/>
      <c r="I384" s="1133"/>
    </row>
    <row r="385" spans="1:9">
      <c r="A385" s="352"/>
      <c r="B385" s="352"/>
      <c r="C385" s="352"/>
      <c r="D385" s="291" t="s">
        <v>621</v>
      </c>
      <c r="E385" s="1126"/>
      <c r="F385" s="1126"/>
      <c r="I385" s="1133"/>
    </row>
    <row r="386" spans="1:9">
      <c r="A386" s="352"/>
      <c r="B386" s="352"/>
      <c r="C386" s="352"/>
      <c r="E386" s="1106"/>
      <c r="F386" s="1112"/>
      <c r="I386" s="1133"/>
    </row>
    <row r="387" spans="1:9">
      <c r="A387" s="357"/>
      <c r="B387" s="358" t="s">
        <v>529</v>
      </c>
      <c r="C387" s="352"/>
      <c r="D387" s="1224" t="s">
        <v>381</v>
      </c>
      <c r="E387" s="1224"/>
      <c r="F387" s="1224"/>
      <c r="I387" s="1133"/>
    </row>
    <row r="388" spans="1:9">
      <c r="A388" s="352"/>
      <c r="B388" s="352"/>
      <c r="C388" s="352"/>
      <c r="D388" s="1224"/>
      <c r="E388" s="1224"/>
      <c r="F388" s="1224"/>
      <c r="I388" s="1133"/>
    </row>
    <row r="389" spans="1:9">
      <c r="A389" s="352"/>
      <c r="B389" s="352"/>
      <c r="C389" s="352"/>
      <c r="D389" s="1224"/>
      <c r="E389" s="1224"/>
      <c r="F389" s="1224"/>
      <c r="I389" s="1133"/>
    </row>
    <row r="390" spans="1:9">
      <c r="A390" s="352"/>
      <c r="B390" s="352"/>
      <c r="C390" s="352"/>
      <c r="D390" s="1224"/>
      <c r="E390" s="1224"/>
      <c r="F390" s="1224"/>
      <c r="I390" s="1133"/>
    </row>
    <row r="391" spans="1:9">
      <c r="A391" s="352"/>
      <c r="B391" s="352"/>
      <c r="C391" s="352"/>
      <c r="D391" s="1106"/>
      <c r="E391" s="1106"/>
      <c r="F391" s="1112"/>
      <c r="I391" s="1133"/>
    </row>
    <row r="392" spans="1:9">
      <c r="A392" s="352"/>
      <c r="B392" s="352"/>
      <c r="C392" s="352"/>
      <c r="D392" s="1224" t="s">
        <v>382</v>
      </c>
      <c r="E392" s="1224"/>
      <c r="F392" s="1224"/>
      <c r="I392" s="1133"/>
    </row>
    <row r="393" spans="1:9">
      <c r="A393" s="352"/>
      <c r="B393" s="352"/>
      <c r="C393" s="352"/>
      <c r="D393" s="1224"/>
      <c r="E393" s="1224"/>
      <c r="F393" s="1224"/>
      <c r="I393" s="1133"/>
    </row>
    <row r="394" spans="1:9">
      <c r="A394" s="352"/>
      <c r="B394" s="352"/>
      <c r="C394" s="352"/>
      <c r="D394" s="1224"/>
      <c r="E394" s="1224"/>
      <c r="F394" s="1224"/>
      <c r="I394" s="1133"/>
    </row>
    <row r="395" spans="1:9">
      <c r="A395" s="352"/>
      <c r="B395" s="352"/>
      <c r="C395" s="352"/>
      <c r="D395" s="1224"/>
      <c r="E395" s="1224"/>
      <c r="F395" s="1224"/>
      <c r="I395" s="1133"/>
    </row>
    <row r="396" spans="1:9" ht="18" customHeight="1">
      <c r="A396" s="352"/>
      <c r="B396" s="352"/>
      <c r="C396" s="352"/>
      <c r="D396" s="1224"/>
      <c r="E396" s="1224"/>
      <c r="F396" s="1224"/>
      <c r="I396" s="1133"/>
    </row>
    <row r="397" spans="1:9">
      <c r="A397" s="352"/>
      <c r="B397" s="352"/>
      <c r="C397" s="352"/>
      <c r="D397" s="1224"/>
      <c r="E397" s="1224"/>
      <c r="F397" s="1224"/>
      <c r="I397" s="1133"/>
    </row>
    <row r="398" spans="1:9">
      <c r="A398" s="352"/>
      <c r="B398" s="352"/>
      <c r="C398" s="352"/>
      <c r="D398" s="1224"/>
      <c r="E398" s="1224"/>
      <c r="F398" s="1224"/>
      <c r="I398" s="1133"/>
    </row>
    <row r="399" spans="1:9">
      <c r="A399" s="352"/>
      <c r="B399" s="352"/>
      <c r="C399" s="352"/>
      <c r="D399" s="1224"/>
      <c r="E399" s="1224"/>
      <c r="F399" s="1224"/>
      <c r="I399" s="1133"/>
    </row>
    <row r="400" spans="1:9" ht="8.25" customHeight="1">
      <c r="A400" s="352"/>
      <c r="B400" s="352"/>
      <c r="C400" s="352"/>
      <c r="D400" s="1224"/>
      <c r="E400" s="1224"/>
      <c r="F400" s="1224"/>
      <c r="I400" s="1133"/>
    </row>
    <row r="401" spans="1:9" ht="13.75" customHeight="1">
      <c r="A401" s="352"/>
      <c r="B401" s="352"/>
      <c r="C401" s="352"/>
      <c r="D401" s="1224" t="s">
        <v>383</v>
      </c>
      <c r="E401" s="1224"/>
      <c r="F401" s="1224"/>
      <c r="I401" s="1133"/>
    </row>
    <row r="402" spans="1:9">
      <c r="A402" s="352"/>
      <c r="B402" s="352"/>
      <c r="C402" s="352"/>
      <c r="D402" s="1224"/>
      <c r="E402" s="1224"/>
      <c r="F402" s="1224"/>
      <c r="I402" s="1133"/>
    </row>
    <row r="403" spans="1:9">
      <c r="A403" s="352"/>
      <c r="B403" s="352"/>
      <c r="C403" s="352"/>
      <c r="D403" s="1224"/>
      <c r="E403" s="1224"/>
      <c r="F403" s="1224"/>
      <c r="I403" s="1133"/>
    </row>
    <row r="404" spans="1:9">
      <c r="A404" s="352"/>
      <c r="B404" s="352"/>
      <c r="C404" s="352"/>
      <c r="D404" s="1224"/>
      <c r="E404" s="1224"/>
      <c r="F404" s="1224"/>
      <c r="I404" s="1133"/>
    </row>
    <row r="405" spans="1:9">
      <c r="A405" s="352"/>
      <c r="B405" s="352"/>
      <c r="C405" s="352"/>
      <c r="D405" s="1224"/>
      <c r="E405" s="1224"/>
      <c r="F405" s="1224"/>
      <c r="I405" s="1133"/>
    </row>
    <row r="406" spans="1:9">
      <c r="A406" s="352"/>
      <c r="B406" s="352"/>
      <c r="C406" s="352"/>
      <c r="D406" s="1224"/>
      <c r="E406" s="1224"/>
      <c r="F406" s="1224"/>
      <c r="I406" s="1133"/>
    </row>
    <row r="407" spans="1:9">
      <c r="A407" s="352"/>
      <c r="B407" s="352"/>
      <c r="C407" s="352"/>
      <c r="D407" s="1224"/>
      <c r="E407" s="1224"/>
      <c r="F407" s="1224"/>
      <c r="I407" s="1133"/>
    </row>
    <row r="408" spans="1:9">
      <c r="A408" s="352"/>
      <c r="B408" s="352"/>
      <c r="C408" s="352"/>
      <c r="D408" s="1224"/>
      <c r="E408" s="1224"/>
      <c r="F408" s="1224"/>
      <c r="I408" s="1133"/>
    </row>
    <row r="409" spans="1:9">
      <c r="A409" s="352"/>
      <c r="B409" s="352"/>
      <c r="C409" s="352"/>
      <c r="D409" s="1224"/>
      <c r="E409" s="1224"/>
      <c r="F409" s="1224"/>
      <c r="I409" s="1133"/>
    </row>
    <row r="410" spans="1:9">
      <c r="A410" s="352"/>
      <c r="B410" s="352"/>
      <c r="C410" s="352"/>
      <c r="D410" s="1224"/>
      <c r="E410" s="1224"/>
      <c r="F410" s="1224"/>
      <c r="I410" s="1133"/>
    </row>
    <row r="411" spans="1:9">
      <c r="A411" s="352"/>
      <c r="B411" s="352"/>
      <c r="C411" s="352"/>
      <c r="D411" s="1224"/>
      <c r="E411" s="1224"/>
      <c r="F411" s="1224"/>
      <c r="I411" s="1133"/>
    </row>
    <row r="412" spans="1:9">
      <c r="A412" s="352"/>
      <c r="B412" s="352"/>
      <c r="C412" s="352"/>
      <c r="D412" s="1224"/>
      <c r="E412" s="1224"/>
      <c r="F412" s="1224"/>
      <c r="I412" s="1133"/>
    </row>
    <row r="413" spans="1:9">
      <c r="A413" s="352"/>
      <c r="B413" s="352"/>
      <c r="C413" s="368"/>
      <c r="D413" s="1224"/>
      <c r="E413" s="1224"/>
      <c r="F413" s="1224"/>
      <c r="I413" s="1133"/>
    </row>
    <row r="414" spans="1:9">
      <c r="A414" s="352"/>
      <c r="B414" s="352"/>
      <c r="C414" s="368"/>
      <c r="D414" s="1224"/>
      <c r="E414" s="1224"/>
      <c r="F414" s="1224"/>
      <c r="I414" s="1133"/>
    </row>
    <row r="415" spans="1:9">
      <c r="A415" s="352"/>
      <c r="B415" s="352"/>
      <c r="C415" s="352"/>
      <c r="D415" s="1224"/>
      <c r="E415" s="1224"/>
      <c r="F415" s="1224"/>
      <c r="I415" s="1133"/>
    </row>
    <row r="416" spans="1:9">
      <c r="A416" s="352"/>
      <c r="B416" s="352"/>
      <c r="C416" s="368"/>
      <c r="D416" s="1224"/>
      <c r="E416" s="1224"/>
      <c r="F416" s="1224"/>
      <c r="I416" s="1133"/>
    </row>
    <row r="417" spans="1:9">
      <c r="A417" s="352"/>
      <c r="B417" s="352"/>
      <c r="C417" s="368"/>
      <c r="D417" s="1224"/>
      <c r="E417" s="1224"/>
      <c r="F417" s="1224"/>
      <c r="I417" s="1133"/>
    </row>
    <row r="418" spans="1:9">
      <c r="A418" s="352"/>
      <c r="B418" s="352"/>
      <c r="C418" s="368"/>
      <c r="D418" s="1224"/>
      <c r="E418" s="1224"/>
      <c r="F418" s="1224"/>
      <c r="I418" s="1133"/>
    </row>
    <row r="419" spans="1:9">
      <c r="A419" s="352"/>
      <c r="B419" s="352"/>
      <c r="C419" s="352"/>
      <c r="D419" s="1106"/>
      <c r="E419" s="1106"/>
      <c r="F419" s="1112"/>
      <c r="I419" s="1133"/>
    </row>
    <row r="420" spans="1:9">
      <c r="A420" s="352"/>
      <c r="B420" s="358" t="s">
        <v>529</v>
      </c>
      <c r="C420" s="352"/>
      <c r="D420" s="1224" t="s">
        <v>384</v>
      </c>
      <c r="E420" s="1224"/>
      <c r="F420" s="1224"/>
      <c r="I420" s="1133"/>
    </row>
    <row r="421" spans="1:9">
      <c r="A421" s="352"/>
      <c r="B421" s="352"/>
      <c r="C421" s="352"/>
      <c r="D421" s="1224"/>
      <c r="E421" s="1224"/>
      <c r="F421" s="1224"/>
      <c r="I421" s="1133"/>
    </row>
    <row r="422" spans="1:9">
      <c r="A422" s="352"/>
      <c r="B422" s="352"/>
      <c r="C422" s="352"/>
      <c r="D422" s="1104"/>
      <c r="E422" s="1104"/>
      <c r="F422" s="1104"/>
      <c r="I422" s="1133"/>
    </row>
    <row r="423" spans="1:9" ht="14.5" customHeight="1">
      <c r="A423" s="357"/>
      <c r="B423" s="358" t="s">
        <v>529</v>
      </c>
      <c r="D423" s="1224" t="s">
        <v>622</v>
      </c>
      <c r="E423" s="1224"/>
      <c r="F423" s="1224"/>
      <c r="I423" s="1133"/>
    </row>
    <row r="424" spans="1:9" ht="14.5" customHeight="1">
      <c r="A424" s="357"/>
      <c r="D424" s="1224"/>
      <c r="E424" s="1224"/>
      <c r="F424" s="1224"/>
      <c r="I424" s="1133"/>
    </row>
    <row r="425" spans="1:9" ht="14.5" customHeight="1">
      <c r="A425" s="357"/>
      <c r="D425" s="1224"/>
      <c r="E425" s="1224"/>
      <c r="F425" s="1224"/>
      <c r="I425" s="1133"/>
    </row>
    <row r="426" spans="1:9" ht="14.5" customHeight="1">
      <c r="A426" s="357"/>
      <c r="D426" s="1224"/>
      <c r="E426" s="1224"/>
      <c r="F426" s="1224"/>
      <c r="I426" s="1133"/>
    </row>
    <row r="427" spans="1:9" ht="14.5" customHeight="1">
      <c r="A427" s="357"/>
      <c r="D427" s="1224"/>
      <c r="E427" s="1224"/>
      <c r="F427" s="1224"/>
      <c r="I427" s="1133"/>
    </row>
    <row r="428" spans="1:9" ht="14.5" customHeight="1">
      <c r="A428" s="357"/>
      <c r="D428" s="1131"/>
      <c r="E428" s="1131"/>
      <c r="F428" s="1131"/>
      <c r="I428" s="1133"/>
    </row>
    <row r="429" spans="1:9" ht="13.75" customHeight="1">
      <c r="A429" s="357"/>
      <c r="B429" s="358" t="s">
        <v>529</v>
      </c>
      <c r="C429" s="352"/>
      <c r="D429" s="1224" t="s">
        <v>623</v>
      </c>
      <c r="E429" s="1224"/>
      <c r="F429" s="1224"/>
      <c r="I429" s="1133"/>
    </row>
    <row r="430" spans="1:9">
      <c r="A430" s="369"/>
      <c r="B430" s="369"/>
      <c r="C430" s="352"/>
      <c r="D430" s="1224"/>
      <c r="E430" s="1224"/>
      <c r="F430" s="1224"/>
      <c r="I430" s="1133"/>
    </row>
    <row r="431" spans="1:9">
      <c r="A431" s="369"/>
      <c r="B431" s="369"/>
      <c r="C431" s="352"/>
      <c r="D431" s="1224"/>
      <c r="E431" s="1224"/>
      <c r="F431" s="1224"/>
      <c r="I431" s="1133"/>
    </row>
    <row r="432" spans="1:9">
      <c r="A432" s="369"/>
      <c r="B432" s="369"/>
      <c r="C432" s="352"/>
      <c r="D432" s="1224"/>
      <c r="E432" s="1224"/>
      <c r="F432" s="1224"/>
      <c r="I432" s="1133"/>
    </row>
    <row r="433" spans="1:9" ht="15.75" customHeight="1">
      <c r="A433" s="369"/>
      <c r="B433" s="369"/>
      <c r="C433" s="352"/>
      <c r="D433" s="1286" t="s">
        <v>624</v>
      </c>
      <c r="E433" s="1224"/>
      <c r="F433" s="1224"/>
      <c r="I433" s="1133"/>
    </row>
    <row r="434" spans="1:9">
      <c r="D434" s="1112"/>
      <c r="E434" s="1112"/>
      <c r="F434" s="1112"/>
      <c r="I434" s="1133"/>
    </row>
    <row r="435" spans="1:9">
      <c r="A435" s="357"/>
      <c r="B435" s="358" t="s">
        <v>529</v>
      </c>
      <c r="C435" s="360"/>
      <c r="D435" s="1236" t="s">
        <v>625</v>
      </c>
      <c r="E435" s="1236"/>
      <c r="F435" s="1236"/>
      <c r="I435" s="1133"/>
    </row>
    <row r="436" spans="1:9">
      <c r="A436" s="357"/>
      <c r="B436" s="357"/>
      <c r="D436" s="1236"/>
      <c r="E436" s="1236"/>
      <c r="F436" s="1236"/>
      <c r="I436" s="1133"/>
    </row>
    <row r="437" spans="1:9">
      <c r="D437" s="1236"/>
      <c r="E437" s="1236"/>
      <c r="F437" s="1236"/>
      <c r="I437" s="1133"/>
    </row>
    <row r="438" spans="1:9">
      <c r="D438" s="1236"/>
      <c r="E438" s="1236"/>
      <c r="F438" s="1236"/>
      <c r="I438" s="1133"/>
    </row>
    <row r="439" spans="1:9">
      <c r="D439" s="1236"/>
      <c r="E439" s="1236"/>
      <c r="F439" s="1236"/>
      <c r="I439" s="1133"/>
    </row>
    <row r="440" spans="1:9">
      <c r="D440" s="1236"/>
      <c r="E440" s="1236"/>
      <c r="F440" s="1236"/>
      <c r="I440" s="1133"/>
    </row>
    <row r="441" spans="1:9">
      <c r="D441" s="1236"/>
      <c r="E441" s="1236"/>
      <c r="F441" s="1236"/>
      <c r="I441" s="1133"/>
    </row>
    <row r="442" spans="1:9">
      <c r="D442" s="1236"/>
      <c r="E442" s="1236"/>
      <c r="F442" s="1236"/>
      <c r="I442" s="1133"/>
    </row>
    <row r="443" spans="1:9">
      <c r="D443" s="1236"/>
      <c r="E443" s="1236"/>
      <c r="F443" s="1236"/>
      <c r="I443" s="1133"/>
    </row>
    <row r="444" spans="1:9">
      <c r="D444" s="1236"/>
      <c r="E444" s="1236"/>
      <c r="F444" s="1236"/>
      <c r="I444" s="1133"/>
    </row>
    <row r="445" spans="1:9">
      <c r="D445" s="1236"/>
      <c r="E445" s="1236"/>
      <c r="F445" s="1236"/>
      <c r="I445" s="1133"/>
    </row>
    <row r="446" spans="1:9">
      <c r="D446" s="1236"/>
      <c r="E446" s="1236"/>
      <c r="F446" s="1236"/>
      <c r="I446" s="1133"/>
    </row>
    <row r="447" spans="1:9">
      <c r="D447" s="1236"/>
      <c r="E447" s="1236"/>
      <c r="F447" s="1236"/>
      <c r="I447" s="1133"/>
    </row>
    <row r="448" spans="1:9">
      <c r="A448" s="291"/>
      <c r="B448" s="291"/>
      <c r="C448" s="291"/>
      <c r="D448" s="1236"/>
      <c r="E448" s="1236"/>
      <c r="F448" s="1236"/>
      <c r="I448" s="1133"/>
    </row>
    <row r="449" spans="1:9">
      <c r="A449" s="291"/>
      <c r="B449" s="291"/>
      <c r="C449" s="291"/>
      <c r="D449" s="1236"/>
      <c r="E449" s="1236"/>
      <c r="F449" s="1236"/>
      <c r="I449" s="1133"/>
    </row>
    <row r="450" spans="1:9">
      <c r="A450" s="291"/>
      <c r="B450" s="291"/>
      <c r="C450" s="291"/>
      <c r="D450" s="1236"/>
      <c r="E450" s="1236"/>
      <c r="F450" s="1236"/>
      <c r="I450" s="1133"/>
    </row>
    <row r="451" spans="1:9">
      <c r="A451" s="291"/>
      <c r="B451" s="291"/>
      <c r="C451" s="291"/>
      <c r="D451" s="1236"/>
      <c r="E451" s="1236"/>
      <c r="F451" s="1236"/>
      <c r="I451" s="1133"/>
    </row>
    <row r="452" spans="1:9">
      <c r="A452" s="291"/>
      <c r="B452" s="291"/>
      <c r="C452" s="291"/>
      <c r="D452" s="1236"/>
      <c r="E452" s="1236"/>
      <c r="F452" s="1236"/>
      <c r="I452" s="1133"/>
    </row>
    <row r="453" spans="1:9">
      <c r="A453" s="291"/>
      <c r="B453" s="291"/>
      <c r="C453" s="291"/>
      <c r="D453" s="1236"/>
      <c r="E453" s="1236"/>
      <c r="F453" s="1236"/>
      <c r="I453" s="1133"/>
    </row>
    <row r="454" spans="1:9">
      <c r="A454" s="291"/>
      <c r="B454" s="291"/>
      <c r="C454" s="291"/>
      <c r="D454" s="1236"/>
      <c r="E454" s="1236"/>
      <c r="F454" s="1236"/>
      <c r="I454" s="1133"/>
    </row>
    <row r="455" spans="1:9">
      <c r="A455" s="291"/>
      <c r="B455" s="291"/>
      <c r="C455" s="291"/>
      <c r="D455" s="1236"/>
      <c r="E455" s="1236"/>
      <c r="F455" s="1236"/>
      <c r="I455" s="1133"/>
    </row>
    <row r="456" spans="1:9">
      <c r="A456" s="291"/>
      <c r="B456" s="291"/>
      <c r="C456" s="291"/>
      <c r="D456" s="1236"/>
      <c r="E456" s="1236"/>
      <c r="F456" s="1236"/>
      <c r="I456" s="1133"/>
    </row>
    <row r="457" spans="1:9">
      <c r="A457" s="291"/>
      <c r="B457" s="291"/>
      <c r="C457" s="291"/>
      <c r="D457" s="1236"/>
      <c r="E457" s="1236"/>
      <c r="F457" s="1236"/>
      <c r="I457" s="1133"/>
    </row>
    <row r="458" spans="1:9">
      <c r="A458" s="291"/>
      <c r="B458" s="291"/>
      <c r="C458" s="291"/>
      <c r="D458" s="1236"/>
      <c r="E458" s="1236"/>
      <c r="F458" s="1236"/>
      <c r="I458" s="1133"/>
    </row>
    <row r="459" spans="1:9">
      <c r="A459" s="291"/>
      <c r="B459" s="291"/>
      <c r="C459" s="291"/>
      <c r="D459" s="1236"/>
      <c r="E459" s="1236"/>
      <c r="F459" s="1236"/>
      <c r="I459" s="1133"/>
    </row>
    <row r="460" spans="1:9">
      <c r="A460" s="291"/>
      <c r="B460" s="291"/>
      <c r="C460" s="291"/>
      <c r="D460" s="1236"/>
      <c r="E460" s="1236"/>
      <c r="F460" s="1236"/>
      <c r="I460" s="1133"/>
    </row>
    <row r="461" spans="1:9">
      <c r="A461" s="291"/>
      <c r="B461" s="291"/>
      <c r="C461" s="291"/>
      <c r="D461" s="1236"/>
      <c r="E461" s="1236"/>
      <c r="F461" s="1236"/>
      <c r="I461" s="1133"/>
    </row>
    <row r="462" spans="1:9">
      <c r="A462" s="291"/>
      <c r="B462" s="291"/>
      <c r="C462" s="291"/>
      <c r="D462" s="1236"/>
      <c r="E462" s="1236"/>
      <c r="F462" s="1236"/>
      <c r="I462" s="1133"/>
    </row>
    <row r="463" spans="1:9">
      <c r="A463" s="291"/>
      <c r="B463" s="291"/>
      <c r="C463" s="291"/>
      <c r="D463" s="1236"/>
      <c r="E463" s="1236"/>
      <c r="F463" s="1236"/>
      <c r="I463" s="1133"/>
    </row>
    <row r="464" spans="1:9">
      <c r="D464" s="1236"/>
      <c r="E464" s="1236"/>
      <c r="F464" s="1236"/>
      <c r="I464" s="1133"/>
    </row>
    <row r="465" spans="1:9" ht="40.75" customHeight="1">
      <c r="D465" s="1236"/>
      <c r="E465" s="1236"/>
      <c r="F465" s="1236"/>
      <c r="I465" s="1133"/>
    </row>
    <row r="466" spans="1:9">
      <c r="D466" s="1112"/>
      <c r="E466" s="1112"/>
      <c r="F466" s="1112"/>
      <c r="I466" s="1133"/>
    </row>
    <row r="467" spans="1:9">
      <c r="A467" s="357"/>
      <c r="B467" s="358" t="s">
        <v>529</v>
      </c>
      <c r="C467" s="360"/>
      <c r="D467" s="1236" t="s">
        <v>390</v>
      </c>
      <c r="E467" s="1236"/>
      <c r="F467" s="1236"/>
      <c r="I467" s="1133"/>
    </row>
    <row r="468" spans="1:9">
      <c r="D468" s="1236"/>
      <c r="E468" s="1236"/>
      <c r="F468" s="1236"/>
      <c r="I468" s="1133"/>
    </row>
    <row r="469" spans="1:9">
      <c r="D469" s="1236"/>
      <c r="E469" s="1236"/>
      <c r="F469" s="1236"/>
      <c r="I469" s="1133"/>
    </row>
    <row r="470" spans="1:9">
      <c r="D470" s="1111"/>
      <c r="E470" s="1111"/>
      <c r="F470" s="1111"/>
      <c r="I470" s="1133"/>
    </row>
    <row r="471" spans="1:9">
      <c r="B471" s="358" t="s">
        <v>529</v>
      </c>
      <c r="C471" s="357"/>
      <c r="D471" s="1236" t="s">
        <v>626</v>
      </c>
      <c r="E471" s="1236"/>
      <c r="F471" s="1236"/>
      <c r="I471" s="1133"/>
    </row>
    <row r="472" spans="1:9">
      <c r="D472" s="1236"/>
      <c r="E472" s="1236"/>
      <c r="F472" s="1236"/>
      <c r="I472" s="1133"/>
    </row>
    <row r="473" spans="1:9">
      <c r="D473" s="1112"/>
      <c r="E473" s="1112"/>
      <c r="F473" s="1112"/>
      <c r="I473" s="1133"/>
    </row>
    <row r="474" spans="1:9">
      <c r="B474" s="358" t="s">
        <v>529</v>
      </c>
      <c r="C474" s="357"/>
      <c r="D474" s="1236" t="s">
        <v>392</v>
      </c>
      <c r="E474" s="1236"/>
      <c r="F474" s="1236"/>
      <c r="I474" s="1133"/>
    </row>
    <row r="475" spans="1:9">
      <c r="D475" s="1236"/>
      <c r="E475" s="1236"/>
      <c r="F475" s="1236"/>
      <c r="I475" s="1133"/>
    </row>
    <row r="476" spans="1:9">
      <c r="D476" s="1236"/>
      <c r="E476" s="1236"/>
      <c r="F476" s="1236"/>
      <c r="I476" s="1133"/>
    </row>
    <row r="477" spans="1:9">
      <c r="D477" s="1236"/>
      <c r="E477" s="1236"/>
      <c r="F477" s="1236"/>
      <c r="I477" s="1133"/>
    </row>
    <row r="478" spans="1:9">
      <c r="B478" s="358" t="s">
        <v>529</v>
      </c>
      <c r="D478" s="1236"/>
      <c r="E478" s="1236"/>
      <c r="F478" s="1236"/>
      <c r="I478" s="1133"/>
    </row>
    <row r="479" spans="1:9">
      <c r="A479" s="291"/>
      <c r="B479" s="291"/>
      <c r="C479" s="291"/>
      <c r="D479" s="1236"/>
      <c r="E479" s="1236"/>
      <c r="F479" s="1236"/>
      <c r="I479" s="1133"/>
    </row>
    <row r="480" spans="1:9">
      <c r="A480" s="291"/>
      <c r="C480" s="291"/>
      <c r="D480" s="1236"/>
      <c r="E480" s="1236"/>
      <c r="F480" s="1236"/>
      <c r="I480" s="1133"/>
    </row>
    <row r="481" spans="1:9">
      <c r="A481" s="291"/>
      <c r="B481" s="358" t="s">
        <v>529</v>
      </c>
      <c r="C481" s="291"/>
      <c r="D481" s="1236"/>
      <c r="E481" s="1236"/>
      <c r="F481" s="1236"/>
      <c r="I481" s="1133"/>
    </row>
    <row r="482" spans="1:9">
      <c r="A482" s="291"/>
      <c r="B482" s="291"/>
      <c r="C482" s="291"/>
      <c r="D482" s="1236"/>
      <c r="E482" s="1236"/>
      <c r="F482" s="1236"/>
      <c r="I482" s="1133"/>
    </row>
    <row r="483" spans="1:9">
      <c r="A483" s="291"/>
      <c r="C483" s="291"/>
      <c r="D483" s="1236"/>
      <c r="E483" s="1236"/>
      <c r="F483" s="1236"/>
      <c r="I483" s="1133"/>
    </row>
    <row r="484" spans="1:9">
      <c r="A484" s="291"/>
      <c r="C484" s="291"/>
      <c r="D484" s="1236"/>
      <c r="E484" s="1236"/>
      <c r="F484" s="1236"/>
      <c r="I484" s="1133"/>
    </row>
    <row r="485" spans="1:9">
      <c r="A485" s="291"/>
      <c r="C485" s="291"/>
      <c r="D485" s="1236"/>
      <c r="E485" s="1236"/>
      <c r="F485" s="1236"/>
      <c r="I485" s="1133"/>
    </row>
    <row r="486" spans="1:9">
      <c r="A486" s="291"/>
      <c r="B486" s="358" t="s">
        <v>529</v>
      </c>
      <c r="C486" s="291"/>
      <c r="D486" s="1236"/>
      <c r="E486" s="1236"/>
      <c r="F486" s="1236"/>
      <c r="I486" s="1133"/>
    </row>
    <row r="487" spans="1:9">
      <c r="A487" s="291"/>
      <c r="C487" s="291"/>
      <c r="D487" s="1236"/>
      <c r="E487" s="1236"/>
      <c r="F487" s="1236"/>
      <c r="I487" s="1133"/>
    </row>
    <row r="488" spans="1:9">
      <c r="A488" s="291"/>
      <c r="B488" s="358" t="s">
        <v>529</v>
      </c>
      <c r="C488" s="291"/>
      <c r="D488" s="1236" t="s">
        <v>393</v>
      </c>
      <c r="E488" s="1236"/>
      <c r="F488" s="1236"/>
      <c r="I488" s="1133"/>
    </row>
    <row r="489" spans="1:9">
      <c r="A489" s="291"/>
      <c r="B489" s="291"/>
      <c r="C489" s="291"/>
      <c r="D489" s="1236"/>
      <c r="E489" s="1236"/>
      <c r="F489" s="1236"/>
      <c r="I489" s="1133"/>
    </row>
    <row r="490" spans="1:9">
      <c r="A490" s="291"/>
      <c r="B490" s="291"/>
      <c r="C490" s="291"/>
      <c r="D490" s="1236"/>
      <c r="E490" s="1236"/>
      <c r="F490" s="1236"/>
      <c r="I490" s="1133"/>
    </row>
    <row r="491" spans="1:9">
      <c r="A491" s="291"/>
      <c r="B491" s="291"/>
      <c r="C491" s="291"/>
      <c r="D491" s="1236"/>
      <c r="E491" s="1236"/>
      <c r="F491" s="1236"/>
      <c r="I491" s="1133"/>
    </row>
    <row r="492" spans="1:9">
      <c r="D492" s="1236"/>
      <c r="E492" s="1236"/>
      <c r="F492" s="1236"/>
      <c r="I492" s="1133"/>
    </row>
    <row r="493" spans="1:9">
      <c r="D493" s="1112"/>
      <c r="E493" s="1112"/>
      <c r="F493" s="1112"/>
      <c r="I493" s="1133"/>
    </row>
    <row r="494" spans="1:9">
      <c r="B494" s="358" t="s">
        <v>529</v>
      </c>
      <c r="D494" s="1263" t="s">
        <v>394</v>
      </c>
      <c r="E494" s="1263"/>
      <c r="F494" s="1263"/>
      <c r="I494" s="1133"/>
    </row>
    <row r="495" spans="1:9">
      <c r="A495" s="1112"/>
      <c r="B495" s="1112"/>
      <c r="I495" s="1133"/>
    </row>
    <row r="496" spans="1:9">
      <c r="A496" s="1242" t="s">
        <v>395</v>
      </c>
      <c r="B496" s="1242"/>
      <c r="C496" s="1242"/>
      <c r="D496" s="1242"/>
      <c r="E496" s="1242"/>
      <c r="F496" s="1242"/>
      <c r="G496" s="1242"/>
      <c r="H496" s="836"/>
      <c r="I496" s="1021"/>
    </row>
    <row r="497" spans="1:9">
      <c r="A497" s="1112"/>
      <c r="B497" s="1112"/>
      <c r="I497" s="1133"/>
    </row>
    <row r="498" spans="1:9">
      <c r="D498" s="1270" t="s">
        <v>396</v>
      </c>
      <c r="E498" s="1270"/>
      <c r="F498" s="1270"/>
      <c r="I498" s="1133"/>
    </row>
    <row r="499" spans="1:9">
      <c r="A499" s="357"/>
      <c r="B499" s="357"/>
      <c r="D499" s="1267" t="s">
        <v>397</v>
      </c>
      <c r="E499" s="1267"/>
      <c r="F499" s="1267"/>
      <c r="I499" s="1133"/>
    </row>
    <row r="500" spans="1:9">
      <c r="A500" s="357"/>
      <c r="B500" s="357"/>
      <c r="D500" s="1106"/>
      <c r="I500" s="1133"/>
    </row>
    <row r="501" spans="1:9">
      <c r="A501" s="357"/>
      <c r="B501" s="358" t="s">
        <v>529</v>
      </c>
      <c r="D501" s="1224" t="s">
        <v>398</v>
      </c>
      <c r="E501" s="1224"/>
      <c r="F501" s="1224"/>
      <c r="I501" s="1133" t="s">
        <v>627</v>
      </c>
    </row>
    <row r="502" spans="1:9">
      <c r="A502" s="357"/>
      <c r="B502" s="357"/>
      <c r="D502" s="1224"/>
      <c r="E502" s="1224"/>
      <c r="F502" s="1224"/>
      <c r="I502" s="1133"/>
    </row>
    <row r="503" spans="1:9">
      <c r="A503" s="357"/>
      <c r="B503" s="357"/>
      <c r="D503" s="1112"/>
      <c r="I503" s="1133"/>
    </row>
    <row r="504" spans="1:9" ht="12.75" customHeight="1">
      <c r="B504" s="358" t="s">
        <v>522</v>
      </c>
      <c r="D504" s="1256" t="s">
        <v>628</v>
      </c>
      <c r="E504" s="1256"/>
      <c r="F504" s="1256"/>
      <c r="I504" s="1133" t="s">
        <v>629</v>
      </c>
    </row>
    <row r="505" spans="1:9">
      <c r="A505" s="357"/>
      <c r="D505" s="1256"/>
      <c r="E505" s="1256"/>
      <c r="F505" s="1256"/>
      <c r="I505" s="1133"/>
    </row>
    <row r="506" spans="1:9">
      <c r="A506" s="357"/>
      <c r="B506" s="357"/>
      <c r="D506" s="1256"/>
      <c r="E506" s="1256"/>
      <c r="F506" s="1256"/>
      <c r="I506" s="1133"/>
    </row>
    <row r="507" spans="1:9">
      <c r="A507" s="357"/>
      <c r="B507" s="357"/>
      <c r="D507" s="1256"/>
      <c r="E507" s="1256"/>
      <c r="F507" s="1256"/>
      <c r="I507" s="1133"/>
    </row>
    <row r="508" spans="1:9">
      <c r="A508" s="357"/>
      <c r="D508" s="390"/>
      <c r="E508" s="390"/>
      <c r="F508" s="390"/>
      <c r="I508" s="1133"/>
    </row>
    <row r="509" spans="1:9">
      <c r="A509" s="357"/>
      <c r="B509" s="358" t="s">
        <v>522</v>
      </c>
      <c r="D509" s="1263" t="s">
        <v>401</v>
      </c>
      <c r="E509" s="1263"/>
      <c r="F509" s="1263"/>
      <c r="I509" s="1133" t="s">
        <v>630</v>
      </c>
    </row>
    <row r="510" spans="1:9">
      <c r="A510" s="357"/>
      <c r="B510" s="357"/>
      <c r="D510" s="1112"/>
      <c r="I510" s="1133"/>
    </row>
    <row r="511" spans="1:9">
      <c r="A511" s="357"/>
      <c r="B511" s="358" t="s">
        <v>522</v>
      </c>
      <c r="D511" s="1236" t="s">
        <v>402</v>
      </c>
      <c r="E511" s="1236"/>
      <c r="F511" s="1236"/>
      <c r="I511" s="1133" t="s">
        <v>630</v>
      </c>
    </row>
    <row r="512" spans="1:9">
      <c r="A512" s="357"/>
      <c r="D512" s="1236"/>
      <c r="E512" s="1236"/>
      <c r="F512" s="1236"/>
      <c r="I512" s="1133"/>
    </row>
    <row r="513" spans="1:9">
      <c r="A513" s="1133"/>
      <c r="B513" s="1133"/>
      <c r="D513" s="1106"/>
      <c r="I513" s="1133"/>
    </row>
    <row r="514" spans="1:9">
      <c r="A514" s="1133"/>
      <c r="B514" s="358" t="s">
        <v>529</v>
      </c>
      <c r="D514" s="1263" t="s">
        <v>403</v>
      </c>
      <c r="E514" s="1263"/>
      <c r="F514" s="1263"/>
      <c r="I514" s="1133" t="s">
        <v>631</v>
      </c>
    </row>
    <row r="515" spans="1:9">
      <c r="A515" s="357"/>
      <c r="B515" s="357"/>
      <c r="D515" s="1112"/>
      <c r="I515" s="1133"/>
    </row>
    <row r="516" spans="1:9">
      <c r="A516" s="1242" t="s">
        <v>404</v>
      </c>
      <c r="B516" s="1242"/>
      <c r="C516" s="1242"/>
      <c r="D516" s="1242"/>
      <c r="E516" s="1242"/>
      <c r="F516" s="1242"/>
      <c r="G516" s="1242"/>
      <c r="H516" s="836"/>
      <c r="I516" s="1021"/>
    </row>
    <row r="517" spans="1:9" ht="12" customHeight="1">
      <c r="A517" s="357"/>
      <c r="B517" s="357"/>
      <c r="D517" s="1112"/>
      <c r="I517" s="1133"/>
    </row>
    <row r="518" spans="1:9">
      <c r="C518" s="1136"/>
      <c r="D518" s="1234" t="s">
        <v>405</v>
      </c>
      <c r="E518" s="1234"/>
      <c r="F518" s="1234"/>
      <c r="I518" s="1133"/>
    </row>
    <row r="519" spans="1:9">
      <c r="C519" s="1136"/>
      <c r="D519" s="378" t="s">
        <v>632</v>
      </c>
      <c r="E519" s="378"/>
      <c r="F519" s="378"/>
      <c r="I519" s="1133"/>
    </row>
    <row r="520" spans="1:9">
      <c r="C520" s="1136"/>
      <c r="D520" s="378" t="s">
        <v>633</v>
      </c>
      <c r="E520" s="378"/>
      <c r="F520" s="378"/>
      <c r="I520" s="1133"/>
    </row>
    <row r="521" spans="1:9">
      <c r="C521" s="1136"/>
      <c r="D521" s="1110"/>
      <c r="E521" s="1110"/>
      <c r="F521" s="1110"/>
      <c r="I521" s="1133"/>
    </row>
    <row r="522" spans="1:9" ht="13.75" customHeight="1">
      <c r="A522" s="356"/>
      <c r="B522" s="358" t="s">
        <v>522</v>
      </c>
      <c r="C522" s="356"/>
      <c r="D522" s="1224" t="s">
        <v>634</v>
      </c>
      <c r="E522" s="1224"/>
      <c r="F522" s="1224"/>
      <c r="I522" s="1133" t="s">
        <v>635</v>
      </c>
    </row>
    <row r="523" spans="1:9">
      <c r="A523" s="356"/>
      <c r="B523" s="356"/>
      <c r="C523" s="356"/>
      <c r="D523" s="1224"/>
      <c r="E523" s="1224"/>
      <c r="F523" s="1224"/>
      <c r="I523" s="1133"/>
    </row>
    <row r="524" spans="1:9">
      <c r="A524" s="356"/>
      <c r="B524" s="356"/>
      <c r="C524" s="356"/>
      <c r="D524" s="1104"/>
      <c r="E524" s="1104"/>
      <c r="F524" s="1104"/>
      <c r="I524" s="355"/>
    </row>
    <row r="525" spans="1:9" ht="12.75" customHeight="1">
      <c r="A525" s="356"/>
      <c r="B525" s="358" t="s">
        <v>522</v>
      </c>
      <c r="D525" s="277" t="s">
        <v>636</v>
      </c>
      <c r="E525" s="1131"/>
      <c r="F525" s="1131"/>
      <c r="I525" s="1133" t="s">
        <v>637</v>
      </c>
    </row>
    <row r="526" spans="1:9">
      <c r="A526" s="356"/>
      <c r="B526" s="356"/>
      <c r="C526" s="356"/>
      <c r="D526" s="1131"/>
      <c r="E526" s="55" t="s">
        <v>638</v>
      </c>
      <c r="I526" s="1133"/>
    </row>
    <row r="527" spans="1:9">
      <c r="A527" s="356"/>
      <c r="B527" s="356"/>
      <c r="D527" s="1278" t="s">
        <v>639</v>
      </c>
      <c r="E527" s="1278"/>
      <c r="F527" s="1278"/>
      <c r="I527" s="1133"/>
    </row>
    <row r="528" spans="1:9">
      <c r="A528" s="356"/>
      <c r="B528" s="356"/>
      <c r="D528" s="1278"/>
      <c r="E528" s="1278"/>
      <c r="F528" s="1278"/>
      <c r="I528" s="1133"/>
    </row>
    <row r="529" spans="1:9">
      <c r="A529" s="356"/>
      <c r="B529" s="356"/>
      <c r="C529" s="356"/>
      <c r="D529" s="1278"/>
      <c r="E529" s="1278"/>
      <c r="F529" s="1278"/>
      <c r="I529" s="1133"/>
    </row>
    <row r="530" spans="1:9">
      <c r="A530" s="356"/>
      <c r="B530" s="356"/>
      <c r="C530" s="356"/>
      <c r="D530" s="370"/>
      <c r="F530" s="1112"/>
      <c r="I530" s="1133"/>
    </row>
    <row r="531" spans="1:9" ht="13.25" customHeight="1">
      <c r="A531" s="356"/>
      <c r="B531" s="358" t="s">
        <v>529</v>
      </c>
      <c r="C531" s="356"/>
      <c r="D531" s="1236" t="s">
        <v>640</v>
      </c>
      <c r="E531" s="1236"/>
      <c r="F531" s="1236"/>
      <c r="I531" s="1133" t="s">
        <v>637</v>
      </c>
    </row>
    <row r="532" spans="1:9">
      <c r="A532" s="356"/>
      <c r="B532" s="356"/>
      <c r="C532" s="356"/>
      <c r="D532" s="1236"/>
      <c r="E532" s="1236"/>
      <c r="F532" s="1236"/>
      <c r="I532" s="1133"/>
    </row>
    <row r="533" spans="1:9" ht="12" customHeight="1">
      <c r="A533" s="1112"/>
      <c r="B533" s="1112"/>
      <c r="C533" s="360"/>
      <c r="D533" s="1112"/>
      <c r="F533" s="1135"/>
      <c r="I533" s="1133"/>
    </row>
    <row r="534" spans="1:9">
      <c r="A534" s="1242" t="s">
        <v>413</v>
      </c>
      <c r="B534" s="1242"/>
      <c r="C534" s="1242"/>
      <c r="D534" s="1242"/>
      <c r="E534" s="1242"/>
      <c r="F534" s="1242"/>
      <c r="G534" s="1242"/>
      <c r="H534" s="836"/>
      <c r="I534" s="1021"/>
    </row>
    <row r="535" spans="1:9">
      <c r="A535" s="1112"/>
      <c r="B535" s="1112"/>
      <c r="C535" s="360"/>
      <c r="F535" s="1135"/>
      <c r="I535" s="1133"/>
    </row>
    <row r="536" spans="1:9">
      <c r="B536" s="1249" t="s">
        <v>334</v>
      </c>
      <c r="C536" s="1249"/>
      <c r="D536" s="1249"/>
      <c r="E536" s="1249"/>
      <c r="F536" s="1249"/>
      <c r="I536" s="1133"/>
    </row>
    <row r="537" spans="1:9">
      <c r="A537" s="1112"/>
      <c r="B537" s="1112"/>
      <c r="C537" s="360"/>
      <c r="D537" s="1112"/>
      <c r="F537" s="1112"/>
      <c r="I537" s="1133"/>
    </row>
    <row r="538" spans="1:9">
      <c r="A538" s="1243" t="s">
        <v>414</v>
      </c>
      <c r="B538" s="1243"/>
      <c r="C538" s="1243"/>
      <c r="D538" s="1243"/>
      <c r="E538" s="1243"/>
      <c r="F538" s="1243"/>
      <c r="G538" s="1243"/>
      <c r="H538" s="836"/>
      <c r="I538" s="1021"/>
    </row>
    <row r="539" spans="1:9">
      <c r="A539" s="1112"/>
      <c r="B539" s="1112"/>
      <c r="C539" s="360"/>
      <c r="D539" s="1112"/>
      <c r="F539" s="1112"/>
      <c r="I539" s="1133"/>
    </row>
    <row r="540" spans="1:9">
      <c r="C540" s="360"/>
      <c r="D540" s="1234" t="s">
        <v>415</v>
      </c>
      <c r="E540" s="1234"/>
      <c r="F540" s="1234"/>
      <c r="I540" s="1133"/>
    </row>
    <row r="541" spans="1:9">
      <c r="C541" s="360"/>
      <c r="D541" s="1263" t="s">
        <v>416</v>
      </c>
      <c r="E541" s="1263"/>
      <c r="F541" s="1263"/>
      <c r="I541" s="1133"/>
    </row>
    <row r="542" spans="1:9">
      <c r="C542" s="360"/>
      <c r="D542" s="1112"/>
      <c r="E542" s="1112"/>
      <c r="F542" s="1112"/>
      <c r="I542" s="1133"/>
    </row>
    <row r="543" spans="1:9" ht="13.75" customHeight="1">
      <c r="A543" s="357"/>
      <c r="B543" s="358" t="s">
        <v>522</v>
      </c>
      <c r="C543" s="360"/>
      <c r="D543" s="1263" t="s">
        <v>417</v>
      </c>
      <c r="E543" s="1263"/>
      <c r="F543" s="1263"/>
      <c r="I543" s="1133" t="s">
        <v>641</v>
      </c>
    </row>
    <row r="544" spans="1:9" ht="13.75" customHeight="1">
      <c r="A544" s="360"/>
      <c r="B544" s="360"/>
      <c r="C544" s="360"/>
      <c r="D544" s="1112"/>
      <c r="I544" s="1133"/>
    </row>
    <row r="545" spans="1:9">
      <c r="A545" s="357"/>
      <c r="B545" s="358" t="s">
        <v>522</v>
      </c>
      <c r="C545" s="360"/>
      <c r="D545" s="1236" t="s">
        <v>418</v>
      </c>
      <c r="E545" s="1236"/>
      <c r="F545" s="1236"/>
      <c r="I545" s="1133" t="s">
        <v>641</v>
      </c>
    </row>
    <row r="546" spans="1:9">
      <c r="A546" s="360"/>
      <c r="B546" s="360"/>
      <c r="C546" s="360"/>
      <c r="D546" s="1236"/>
      <c r="E546" s="1236"/>
      <c r="F546" s="1236"/>
      <c r="I546" s="1133"/>
    </row>
    <row r="547" spans="1:9">
      <c r="A547" s="360"/>
      <c r="B547" s="360"/>
      <c r="C547" s="360"/>
      <c r="D547" s="1112"/>
      <c r="E547" s="1112"/>
      <c r="F547" s="1112"/>
      <c r="I547" s="1133"/>
    </row>
    <row r="548" spans="1:9">
      <c r="A548" s="357"/>
      <c r="B548" s="358" t="s">
        <v>522</v>
      </c>
      <c r="C548" s="360"/>
      <c r="D548" s="1236" t="s">
        <v>419</v>
      </c>
      <c r="E548" s="1236"/>
      <c r="F548" s="1236"/>
      <c r="I548" s="1133" t="s">
        <v>642</v>
      </c>
    </row>
    <row r="549" spans="1:9">
      <c r="A549" s="360"/>
      <c r="B549" s="360"/>
      <c r="C549" s="360"/>
      <c r="D549" s="1236"/>
      <c r="E549" s="1236"/>
      <c r="F549" s="1236"/>
      <c r="I549" s="1133"/>
    </row>
    <row r="550" spans="1:9">
      <c r="A550" s="360"/>
      <c r="B550" s="360"/>
      <c r="C550" s="360"/>
      <c r="D550" s="1112"/>
      <c r="E550" s="1112"/>
      <c r="F550" s="1112"/>
      <c r="I550" s="1133"/>
    </row>
    <row r="551" spans="1:9">
      <c r="A551" s="357"/>
      <c r="B551" s="358" t="s">
        <v>522</v>
      </c>
      <c r="C551" s="360"/>
      <c r="D551" s="1236" t="s">
        <v>420</v>
      </c>
      <c r="E551" s="1236"/>
      <c r="F551" s="1236"/>
      <c r="I551" s="1133" t="s">
        <v>643</v>
      </c>
    </row>
    <row r="552" spans="1:9">
      <c r="A552" s="360"/>
      <c r="B552" s="360"/>
      <c r="C552" s="360"/>
      <c r="D552" s="1236"/>
      <c r="E552" s="1236"/>
      <c r="F552" s="1236"/>
      <c r="I552" s="1133"/>
    </row>
    <row r="553" spans="1:9">
      <c r="A553" s="360"/>
      <c r="B553" s="360"/>
      <c r="C553" s="360"/>
      <c r="D553" s="1112"/>
      <c r="E553" s="1112"/>
      <c r="F553" s="1112"/>
      <c r="I553" s="1133"/>
    </row>
    <row r="554" spans="1:9">
      <c r="A554" s="357"/>
      <c r="B554" s="358" t="s">
        <v>522</v>
      </c>
      <c r="C554" s="360"/>
      <c r="D554" s="1236" t="s">
        <v>421</v>
      </c>
      <c r="E554" s="1236"/>
      <c r="F554" s="1236"/>
      <c r="I554" s="1133" t="s">
        <v>644</v>
      </c>
    </row>
    <row r="555" spans="1:9">
      <c r="A555" s="360"/>
      <c r="B555" s="360"/>
      <c r="C555" s="360"/>
      <c r="D555" s="1236"/>
      <c r="E555" s="1236"/>
      <c r="F555" s="1236"/>
      <c r="I555" s="1133"/>
    </row>
    <row r="556" spans="1:9">
      <c r="A556" s="360"/>
      <c r="B556" s="360"/>
      <c r="C556" s="360"/>
      <c r="D556" s="1236"/>
      <c r="E556" s="1236"/>
      <c r="F556" s="1236"/>
      <c r="I556" s="1133"/>
    </row>
    <row r="557" spans="1:9">
      <c r="A557" s="360"/>
      <c r="B557" s="360"/>
      <c r="C557" s="360"/>
      <c r="D557" s="1112"/>
      <c r="E557" s="1112"/>
      <c r="F557" s="1112"/>
      <c r="I557" s="1133"/>
    </row>
    <row r="558" spans="1:9">
      <c r="A558" s="357"/>
      <c r="B558" s="358" t="s">
        <v>529</v>
      </c>
      <c r="C558" s="360"/>
      <c r="D558" s="1236" t="s">
        <v>422</v>
      </c>
      <c r="E558" s="1236"/>
      <c r="F558" s="1236"/>
      <c r="I558" s="1133" t="s">
        <v>641</v>
      </c>
    </row>
    <row r="559" spans="1:9">
      <c r="A559" s="360"/>
      <c r="B559" s="360"/>
      <c r="C559" s="360"/>
      <c r="D559" s="1236"/>
      <c r="E559" s="1236"/>
      <c r="F559" s="1236"/>
      <c r="I559" s="1133"/>
    </row>
    <row r="560" spans="1:9">
      <c r="A560" s="360"/>
      <c r="B560" s="360"/>
      <c r="C560" s="360"/>
      <c r="D560" s="1112"/>
      <c r="E560" s="1112"/>
      <c r="F560" s="1112"/>
      <c r="I560" s="1133"/>
    </row>
    <row r="561" spans="1:9">
      <c r="A561" s="357"/>
      <c r="B561" s="358" t="s">
        <v>529</v>
      </c>
      <c r="C561" s="360"/>
      <c r="D561" s="1236" t="s">
        <v>424</v>
      </c>
      <c r="E561" s="1236"/>
      <c r="F561" s="1236"/>
      <c r="I561" s="1133" t="s">
        <v>641</v>
      </c>
    </row>
    <row r="562" spans="1:9">
      <c r="A562" s="360"/>
      <c r="B562" s="360"/>
      <c r="C562" s="360"/>
      <c r="D562" s="1236"/>
      <c r="E562" s="1236"/>
      <c r="F562" s="1236"/>
      <c r="I562" s="1133"/>
    </row>
    <row r="563" spans="1:9">
      <c r="A563" s="360"/>
      <c r="B563" s="360"/>
      <c r="C563" s="360"/>
      <c r="D563" s="1112"/>
      <c r="E563" s="1112"/>
      <c r="F563" s="1112"/>
      <c r="I563" s="1133"/>
    </row>
    <row r="564" spans="1:9">
      <c r="A564" s="357"/>
      <c r="B564" s="358" t="s">
        <v>522</v>
      </c>
      <c r="C564" s="360"/>
      <c r="D564" s="1263" t="s">
        <v>425</v>
      </c>
      <c r="E564" s="1263"/>
      <c r="F564" s="1263"/>
      <c r="I564" s="1133" t="s">
        <v>645</v>
      </c>
    </row>
    <row r="565" spans="1:9">
      <c r="A565" s="1133"/>
      <c r="B565" s="1133"/>
      <c r="C565" s="360"/>
      <c r="D565" s="1263" t="s">
        <v>646</v>
      </c>
      <c r="E565" s="1263"/>
      <c r="F565" s="1263"/>
      <c r="I565" s="1133"/>
    </row>
    <row r="566" spans="1:9">
      <c r="A566" s="1133"/>
      <c r="B566" s="1133"/>
      <c r="C566" s="360"/>
      <c r="E566" s="55" t="s">
        <v>647</v>
      </c>
      <c r="F566" s="293"/>
      <c r="I566" s="1133"/>
    </row>
    <row r="567" spans="1:9">
      <c r="A567" s="357"/>
      <c r="B567" s="357"/>
      <c r="C567" s="360"/>
      <c r="E567" s="1112"/>
      <c r="F567" s="1112"/>
      <c r="I567" s="1133"/>
    </row>
    <row r="568" spans="1:9">
      <c r="A568" s="357"/>
      <c r="B568" s="358" t="s">
        <v>522</v>
      </c>
      <c r="C568" s="360"/>
      <c r="D568" s="1263" t="s">
        <v>428</v>
      </c>
      <c r="E568" s="1263"/>
      <c r="F568" s="1263"/>
      <c r="I568" s="1133" t="s">
        <v>648</v>
      </c>
    </row>
    <row r="569" spans="1:9">
      <c r="C569" s="360"/>
      <c r="D569" s="1236" t="s">
        <v>429</v>
      </c>
      <c r="E569" s="1236"/>
      <c r="F569" s="1236"/>
      <c r="I569" s="1133"/>
    </row>
    <row r="570" spans="1:9">
      <c r="A570" s="360"/>
      <c r="B570" s="360"/>
      <c r="C570" s="360"/>
      <c r="D570" s="1236"/>
      <c r="E570" s="1236"/>
      <c r="F570" s="1236"/>
      <c r="I570" s="1133"/>
    </row>
    <row r="571" spans="1:9">
      <c r="A571" s="360"/>
      <c r="B571" s="360"/>
      <c r="C571" s="360"/>
      <c r="D571" s="1236"/>
      <c r="E571" s="1236"/>
      <c r="F571" s="1236"/>
      <c r="I571" s="1133"/>
    </row>
    <row r="572" spans="1:9">
      <c r="A572" s="360"/>
      <c r="B572" s="360"/>
      <c r="C572" s="360"/>
      <c r="D572" s="1112"/>
      <c r="E572" s="1112"/>
      <c r="F572" s="1112"/>
      <c r="I572" s="1133"/>
    </row>
    <row r="573" spans="1:9">
      <c r="A573" s="357"/>
      <c r="B573" s="358" t="s">
        <v>522</v>
      </c>
      <c r="C573" s="360"/>
      <c r="D573" s="1236" t="s">
        <v>649</v>
      </c>
      <c r="E573" s="1236"/>
      <c r="F573" s="1236"/>
      <c r="I573" s="1133" t="s">
        <v>650</v>
      </c>
    </row>
    <row r="574" spans="1:9">
      <c r="A574" s="357"/>
      <c r="B574" s="357"/>
      <c r="C574" s="360"/>
      <c r="D574" s="1236"/>
      <c r="E574" s="1236"/>
      <c r="F574" s="1236"/>
      <c r="I574" s="1133"/>
    </row>
    <row r="575" spans="1:9">
      <c r="A575" s="357"/>
      <c r="B575" s="357"/>
      <c r="C575" s="360"/>
      <c r="D575" s="1236"/>
      <c r="E575" s="1236"/>
      <c r="F575" s="1236"/>
      <c r="I575" s="1133"/>
    </row>
    <row r="576" spans="1:9">
      <c r="A576" s="357"/>
      <c r="B576" s="357"/>
      <c r="C576" s="360"/>
      <c r="D576" s="1236"/>
      <c r="E576" s="1236"/>
      <c r="F576" s="1236"/>
      <c r="I576" s="1133"/>
    </row>
    <row r="577" spans="1:9">
      <c r="A577" s="357"/>
      <c r="B577" s="357"/>
      <c r="C577" s="360"/>
      <c r="D577" s="1112"/>
      <c r="E577" s="1112"/>
      <c r="F577" s="1112"/>
      <c r="I577" s="1133"/>
    </row>
    <row r="578" spans="1:9">
      <c r="A578" s="1242" t="s">
        <v>431</v>
      </c>
      <c r="B578" s="1242"/>
      <c r="C578" s="1242"/>
      <c r="D578" s="1242"/>
      <c r="E578" s="1242"/>
      <c r="F578" s="1242"/>
      <c r="G578" s="1242"/>
      <c r="H578" s="836"/>
      <c r="I578" s="1021"/>
    </row>
    <row r="579" spans="1:9">
      <c r="A579" s="360"/>
      <c r="B579" s="360"/>
      <c r="C579" s="360"/>
      <c r="E579" s="1112"/>
      <c r="F579" s="1112"/>
      <c r="I579" s="1133"/>
    </row>
    <row r="580" spans="1:9" ht="12.75" customHeight="1">
      <c r="C580" s="1136"/>
      <c r="D580" s="1262" t="s">
        <v>432</v>
      </c>
      <c r="E580" s="1262"/>
      <c r="F580" s="1262"/>
      <c r="I580" s="1133"/>
    </row>
    <row r="581" spans="1:9">
      <c r="A581" s="356"/>
      <c r="B581" s="356"/>
      <c r="C581" s="356"/>
      <c r="D581" s="1256" t="s">
        <v>433</v>
      </c>
      <c r="E581" s="1256"/>
      <c r="F581" s="1256"/>
      <c r="I581" s="1133"/>
    </row>
    <row r="582" spans="1:9">
      <c r="A582" s="291"/>
      <c r="B582" s="291"/>
      <c r="C582" s="356"/>
      <c r="D582" s="371"/>
      <c r="I582" s="1133" t="s">
        <v>651</v>
      </c>
    </row>
    <row r="583" spans="1:9">
      <c r="A583" s="356"/>
      <c r="B583" s="358" t="s">
        <v>522</v>
      </c>
      <c r="D583" s="1256" t="s">
        <v>434</v>
      </c>
      <c r="E583" s="1256"/>
      <c r="F583" s="1256"/>
      <c r="I583" s="1133"/>
    </row>
    <row r="584" spans="1:9">
      <c r="A584" s="1133"/>
      <c r="B584" s="1133"/>
      <c r="D584" s="352"/>
      <c r="I584" s="1133"/>
    </row>
    <row r="585" spans="1:9">
      <c r="A585" s="1133"/>
      <c r="B585" s="358" t="s">
        <v>522</v>
      </c>
      <c r="D585" s="1256" t="s">
        <v>652</v>
      </c>
      <c r="E585" s="1256"/>
      <c r="F585" s="1256"/>
      <c r="I585" s="1133" t="s">
        <v>653</v>
      </c>
    </row>
    <row r="586" spans="1:9">
      <c r="A586" s="1133"/>
      <c r="B586" s="1133"/>
      <c r="D586" s="1256"/>
      <c r="E586" s="1256"/>
      <c r="F586" s="1256"/>
      <c r="I586" s="1133" t="s">
        <v>654</v>
      </c>
    </row>
    <row r="587" spans="1:9">
      <c r="A587" s="1133"/>
      <c r="B587" s="1133"/>
      <c r="D587" s="1256"/>
      <c r="E587" s="1256"/>
      <c r="F587" s="1256"/>
      <c r="I587" s="1133"/>
    </row>
    <row r="588" spans="1:9">
      <c r="A588" s="1133"/>
      <c r="B588" s="1133"/>
      <c r="D588" s="1256"/>
      <c r="E588" s="1256"/>
      <c r="F588" s="1256"/>
      <c r="I588" s="1133"/>
    </row>
    <row r="589" spans="1:9">
      <c r="A589" s="1133"/>
      <c r="B589" s="358" t="s">
        <v>529</v>
      </c>
      <c r="D589" s="1256" t="s">
        <v>436</v>
      </c>
      <c r="E589" s="1256"/>
      <c r="F589" s="1256"/>
      <c r="I589" s="1133"/>
    </row>
    <row r="590" spans="1:9">
      <c r="A590" s="1133"/>
      <c r="B590" s="1133"/>
      <c r="D590" s="1256"/>
      <c r="E590" s="1256"/>
      <c r="F590" s="1256"/>
      <c r="I590" s="1133"/>
    </row>
    <row r="591" spans="1:9">
      <c r="A591" s="1133"/>
      <c r="B591" s="1133"/>
      <c r="D591" s="1256"/>
      <c r="E591" s="1256"/>
      <c r="F591" s="1256"/>
      <c r="I591" s="1133"/>
    </row>
    <row r="592" spans="1:9">
      <c r="A592" s="1133"/>
      <c r="B592" s="1133"/>
      <c r="D592" s="1256"/>
      <c r="E592" s="1256"/>
      <c r="F592" s="1256"/>
      <c r="I592" s="1133"/>
    </row>
    <row r="593" spans="1:9">
      <c r="A593" s="1133"/>
      <c r="B593" s="1133"/>
      <c r="D593" s="1107"/>
      <c r="E593" s="1107"/>
      <c r="F593" s="1107"/>
      <c r="I593" s="1133"/>
    </row>
    <row r="594" spans="1:9">
      <c r="A594" s="1133"/>
      <c r="B594" s="358" t="s">
        <v>522</v>
      </c>
      <c r="D594" s="1256" t="s">
        <v>655</v>
      </c>
      <c r="E594" s="1256"/>
      <c r="F594" s="1256"/>
      <c r="I594" s="1133"/>
    </row>
    <row r="595" spans="1:9">
      <c r="A595" s="1133"/>
      <c r="B595" s="1133"/>
      <c r="D595" s="1256"/>
      <c r="E595" s="1256"/>
      <c r="F595" s="1256"/>
      <c r="I595" s="1133"/>
    </row>
    <row r="596" spans="1:9">
      <c r="A596" s="1133"/>
      <c r="B596" s="1133"/>
      <c r="D596" s="371"/>
      <c r="I596" s="1133"/>
    </row>
    <row r="597" spans="1:9">
      <c r="A597" s="1133"/>
      <c r="B597" s="358" t="s">
        <v>529</v>
      </c>
      <c r="D597" s="1256" t="s">
        <v>438</v>
      </c>
      <c r="E597" s="1256"/>
      <c r="F597" s="1256"/>
      <c r="I597" s="1133" t="s">
        <v>656</v>
      </c>
    </row>
    <row r="598" spans="1:9">
      <c r="A598" s="1133"/>
      <c r="B598" s="1133"/>
      <c r="D598" s="1256"/>
      <c r="E598" s="1256"/>
      <c r="F598" s="1256"/>
      <c r="I598" s="1133"/>
    </row>
    <row r="599" spans="1:9">
      <c r="A599" s="357"/>
      <c r="B599" s="357"/>
      <c r="D599" s="371"/>
      <c r="I599" s="1133"/>
    </row>
    <row r="600" spans="1:9">
      <c r="A600" s="1242" t="s">
        <v>441</v>
      </c>
      <c r="B600" s="1242"/>
      <c r="C600" s="1242"/>
      <c r="D600" s="1242"/>
      <c r="E600" s="1242"/>
      <c r="F600" s="1242"/>
      <c r="G600" s="1242"/>
      <c r="H600" s="836"/>
      <c r="I600" s="1021"/>
    </row>
    <row r="601" spans="1:9">
      <c r="I601" s="1133"/>
    </row>
    <row r="602" spans="1:9">
      <c r="D602" s="1234" t="s">
        <v>442</v>
      </c>
      <c r="E602" s="1234"/>
      <c r="F602" s="1234"/>
      <c r="I602" s="1133"/>
    </row>
    <row r="603" spans="1:9">
      <c r="D603" s="1235" t="s">
        <v>443</v>
      </c>
      <c r="E603" s="1235"/>
      <c r="F603" s="1235"/>
      <c r="I603" s="1133"/>
    </row>
    <row r="604" spans="1:9">
      <c r="D604" s="1124"/>
      <c r="I604" s="1133"/>
    </row>
    <row r="605" spans="1:9" ht="14.25" customHeight="1">
      <c r="A605" s="357"/>
      <c r="B605" s="358" t="s">
        <v>522</v>
      </c>
      <c r="D605" s="1297" t="s">
        <v>657</v>
      </c>
      <c r="E605" s="1297"/>
      <c r="F605" s="1297"/>
      <c r="I605" s="1133" t="s">
        <v>658</v>
      </c>
    </row>
    <row r="606" spans="1:9">
      <c r="D606" s="1297"/>
      <c r="E606" s="1297"/>
      <c r="F606" s="1297"/>
      <c r="I606" s="1133"/>
    </row>
    <row r="607" spans="1:9">
      <c r="D607" s="1131"/>
      <c r="E607" s="844" t="s">
        <v>659</v>
      </c>
      <c r="F607" s="1131"/>
      <c r="I607" s="1133"/>
    </row>
    <row r="608" spans="1:9">
      <c r="I608" s="1133"/>
    </row>
    <row r="609" spans="1:9">
      <c r="A609" s="1242" t="s">
        <v>445</v>
      </c>
      <c r="B609" s="1242"/>
      <c r="C609" s="1242"/>
      <c r="D609" s="1242"/>
      <c r="E609" s="1242"/>
      <c r="F609" s="1242"/>
      <c r="G609" s="1242"/>
      <c r="H609" s="836"/>
      <c r="I609" s="1021"/>
    </row>
    <row r="610" spans="1:9">
      <c r="A610" s="1112"/>
      <c r="B610" s="1112"/>
      <c r="I610" s="1133"/>
    </row>
    <row r="611" spans="1:9">
      <c r="A611" s="1136"/>
      <c r="B611" s="1136"/>
      <c r="C611" s="1136"/>
      <c r="D611" s="1237" t="s">
        <v>446</v>
      </c>
      <c r="E611" s="1237"/>
      <c r="F611" s="1237"/>
      <c r="I611" s="1133"/>
    </row>
    <row r="612" spans="1:9">
      <c r="A612" s="1136"/>
      <c r="B612" s="1136"/>
      <c r="C612" s="1136"/>
      <c r="D612" s="1237"/>
      <c r="E612" s="1237"/>
      <c r="F612" s="1237"/>
      <c r="I612" s="1133"/>
    </row>
    <row r="613" spans="1:9">
      <c r="C613" s="356"/>
      <c r="D613" s="1235" t="s">
        <v>447</v>
      </c>
      <c r="E613" s="1235"/>
      <c r="F613" s="1235"/>
      <c r="I613" s="1133"/>
    </row>
    <row r="614" spans="1:9">
      <c r="C614" s="356"/>
      <c r="D614" s="1124"/>
      <c r="E614" s="1124"/>
      <c r="F614" s="1124"/>
      <c r="I614" s="1133"/>
    </row>
    <row r="615" spans="1:9" ht="12.75" customHeight="1">
      <c r="A615" s="1133"/>
      <c r="B615" s="358" t="s">
        <v>522</v>
      </c>
      <c r="D615" s="1238" t="s">
        <v>449</v>
      </c>
      <c r="E615" s="1238"/>
      <c r="F615" s="1238"/>
      <c r="I615" s="1133" t="s">
        <v>660</v>
      </c>
    </row>
    <row r="616" spans="1:9">
      <c r="D616" s="1238"/>
      <c r="E616" s="1238"/>
      <c r="F616" s="1238"/>
      <c r="I616" s="1133"/>
    </row>
    <row r="617" spans="1:9">
      <c r="I617" s="1133"/>
    </row>
    <row r="618" spans="1:9">
      <c r="B618" s="358" t="s">
        <v>522</v>
      </c>
      <c r="D618" s="1238" t="s">
        <v>450</v>
      </c>
      <c r="E618" s="1238"/>
      <c r="F618" s="1238"/>
      <c r="I618" s="1133" t="s">
        <v>661</v>
      </c>
    </row>
    <row r="619" spans="1:9">
      <c r="C619" s="372"/>
      <c r="D619" s="1238"/>
      <c r="E619" s="1238"/>
      <c r="F619" s="1238"/>
      <c r="I619" s="1133"/>
    </row>
    <row r="620" spans="1:9">
      <c r="C620" s="372"/>
      <c r="I620" s="1133"/>
    </row>
    <row r="621" spans="1:9">
      <c r="B621" s="358" t="s">
        <v>529</v>
      </c>
      <c r="C621" s="372"/>
      <c r="D621" s="1238" t="s">
        <v>451</v>
      </c>
      <c r="E621" s="1238"/>
      <c r="F621" s="1238"/>
      <c r="I621" s="1133" t="s">
        <v>662</v>
      </c>
    </row>
    <row r="622" spans="1:9">
      <c r="C622" s="372"/>
      <c r="D622" s="1238"/>
      <c r="E622" s="1238"/>
      <c r="F622" s="1238"/>
      <c r="I622" s="372" t="s">
        <v>663</v>
      </c>
    </row>
    <row r="623" spans="1:9">
      <c r="C623" s="372"/>
      <c r="I623" s="1133"/>
    </row>
    <row r="624" spans="1:9">
      <c r="A624" s="1242" t="s">
        <v>452</v>
      </c>
      <c r="B624" s="1242"/>
      <c r="C624" s="1242"/>
      <c r="D624" s="1242"/>
      <c r="E624" s="1242"/>
      <c r="F624" s="1242"/>
      <c r="G624" s="1242"/>
      <c r="H624" s="836"/>
      <c r="I624" s="1021"/>
    </row>
    <row r="625" spans="1:9">
      <c r="A625" s="1136"/>
      <c r="B625" s="1136"/>
      <c r="C625" s="1136"/>
      <c r="I625" s="1133"/>
    </row>
    <row r="626" spans="1:9">
      <c r="C626" s="1133"/>
      <c r="D626" s="1234" t="s">
        <v>453</v>
      </c>
      <c r="E626" s="1234"/>
      <c r="F626" s="1234"/>
      <c r="I626" s="1133"/>
    </row>
    <row r="627" spans="1:9">
      <c r="A627" s="1133"/>
      <c r="B627" s="1133"/>
      <c r="D627" s="293"/>
      <c r="I627" s="1133"/>
    </row>
    <row r="628" spans="1:9" ht="14.25" customHeight="1">
      <c r="A628" s="357"/>
      <c r="B628" s="358" t="s">
        <v>522</v>
      </c>
      <c r="D628" s="1297" t="s">
        <v>664</v>
      </c>
      <c r="E628" s="1297"/>
      <c r="F628" s="1297"/>
      <c r="I628" s="1133" t="s">
        <v>665</v>
      </c>
    </row>
    <row r="629" spans="1:9">
      <c r="D629" s="1297"/>
      <c r="E629" s="1297"/>
      <c r="F629" s="1297"/>
      <c r="I629" s="1133"/>
    </row>
    <row r="630" spans="1:9">
      <c r="D630" s="1131"/>
      <c r="E630" s="844" t="s">
        <v>666</v>
      </c>
      <c r="F630" s="1131"/>
      <c r="I630" s="1133"/>
    </row>
    <row r="631" spans="1:9">
      <c r="D631" s="1236" t="s">
        <v>667</v>
      </c>
      <c r="E631" s="1236"/>
      <c r="F631" s="1236"/>
      <c r="I631" s="1133"/>
    </row>
    <row r="632" spans="1:9">
      <c r="D632" s="1236"/>
      <c r="E632" s="1236"/>
      <c r="F632" s="1236"/>
      <c r="I632" s="1133"/>
    </row>
    <row r="633" spans="1:9">
      <c r="D633" s="1236"/>
      <c r="E633" s="1236"/>
      <c r="F633" s="1236"/>
      <c r="I633" s="1133"/>
    </row>
    <row r="634" spans="1:9">
      <c r="D634" s="1111"/>
      <c r="E634" s="1111"/>
      <c r="F634" s="1111"/>
      <c r="I634" s="1133"/>
    </row>
    <row r="635" spans="1:9">
      <c r="A635" s="357"/>
      <c r="B635" s="358" t="s">
        <v>529</v>
      </c>
      <c r="D635" s="1236" t="s">
        <v>455</v>
      </c>
      <c r="E635" s="1236"/>
      <c r="F635" s="1236"/>
      <c r="I635" s="1133" t="s">
        <v>668</v>
      </c>
    </row>
    <row r="636" spans="1:9">
      <c r="A636" s="360"/>
      <c r="B636" s="360"/>
      <c r="C636" s="360"/>
      <c r="D636" s="1236"/>
      <c r="E636" s="1236"/>
      <c r="F636" s="1236"/>
      <c r="I636" s="1133"/>
    </row>
    <row r="637" spans="1:9">
      <c r="A637" s="360"/>
      <c r="B637" s="360"/>
      <c r="C637" s="360"/>
      <c r="D637" s="1112"/>
      <c r="E637" s="1112"/>
      <c r="F637" s="1112"/>
      <c r="I637" s="1133"/>
    </row>
    <row r="638" spans="1:9">
      <c r="A638" s="357"/>
      <c r="B638" s="358" t="s">
        <v>529</v>
      </c>
      <c r="C638" s="360"/>
      <c r="D638" s="1236" t="s">
        <v>669</v>
      </c>
      <c r="E638" s="1236"/>
      <c r="F638" s="1236"/>
      <c r="I638" s="1133" t="s">
        <v>670</v>
      </c>
    </row>
    <row r="639" spans="1:9">
      <c r="A639" s="357"/>
      <c r="B639" s="357"/>
      <c r="C639" s="360"/>
      <c r="D639" s="1236"/>
      <c r="E639" s="1236"/>
      <c r="F639" s="1236"/>
      <c r="I639" s="1133"/>
    </row>
    <row r="640" spans="1:9">
      <c r="A640" s="357"/>
      <c r="B640" s="357"/>
      <c r="C640" s="360"/>
      <c r="D640" s="1236"/>
      <c r="E640" s="1236"/>
      <c r="F640" s="1236"/>
      <c r="I640" s="1133"/>
    </row>
    <row r="641" spans="1:9">
      <c r="A641" s="360"/>
      <c r="B641" s="358" t="s">
        <v>529</v>
      </c>
      <c r="C641" s="360"/>
      <c r="D641" s="1263" t="s">
        <v>457</v>
      </c>
      <c r="E641" s="1263"/>
      <c r="F641" s="1263"/>
      <c r="I641" s="1133" t="s">
        <v>670</v>
      </c>
    </row>
    <row r="642" spans="1:9">
      <c r="A642" s="360"/>
      <c r="B642" s="360"/>
      <c r="C642" s="360"/>
      <c r="D642" s="1112"/>
      <c r="E642" s="1112"/>
      <c r="F642" s="1112"/>
      <c r="I642" s="1133"/>
    </row>
    <row r="643" spans="1:9">
      <c r="A643" s="1242" t="s">
        <v>458</v>
      </c>
      <c r="B643" s="1242"/>
      <c r="C643" s="1242"/>
      <c r="D643" s="1242"/>
      <c r="E643" s="1242"/>
      <c r="F643" s="1242"/>
      <c r="G643" s="1242"/>
      <c r="H643" s="836"/>
      <c r="I643" s="1021"/>
    </row>
    <row r="644" spans="1:9">
      <c r="A644" s="1112"/>
      <c r="B644" s="1112"/>
      <c r="C644" s="360"/>
      <c r="D644" s="1112"/>
      <c r="E644" s="1112"/>
      <c r="F644" s="1112"/>
      <c r="I644" s="1133"/>
    </row>
    <row r="645" spans="1:9">
      <c r="C645" s="1136"/>
      <c r="D645" s="1234" t="s">
        <v>459</v>
      </c>
      <c r="E645" s="1234"/>
      <c r="F645" s="1234"/>
      <c r="I645" s="1133"/>
    </row>
    <row r="646" spans="1:9">
      <c r="A646" s="356"/>
      <c r="B646" s="356"/>
      <c r="C646" s="356"/>
      <c r="D646" s="1263" t="s">
        <v>460</v>
      </c>
      <c r="E646" s="1263"/>
      <c r="F646" s="1263"/>
      <c r="I646" s="1133"/>
    </row>
    <row r="647" spans="1:9">
      <c r="A647" s="356"/>
      <c r="B647" s="356"/>
      <c r="C647" s="356"/>
      <c r="D647" s="1112"/>
      <c r="E647" s="1112"/>
      <c r="F647" s="1112"/>
      <c r="I647" s="1133"/>
    </row>
    <row r="648" spans="1:9" ht="12.75" customHeight="1">
      <c r="B648" s="358" t="s">
        <v>529</v>
      </c>
      <c r="C648" s="360"/>
      <c r="D648" s="1236" t="s">
        <v>671</v>
      </c>
      <c r="E648" s="1236"/>
      <c r="F648" s="1236"/>
      <c r="I648" s="1133" t="s">
        <v>672</v>
      </c>
    </row>
    <row r="649" spans="1:9">
      <c r="D649" s="1236"/>
      <c r="E649" s="1236"/>
      <c r="F649" s="1236"/>
      <c r="I649" s="1133"/>
    </row>
    <row r="650" spans="1:9">
      <c r="D650" s="1236"/>
      <c r="E650" s="1236"/>
      <c r="F650" s="1236"/>
      <c r="I650" s="1133"/>
    </row>
    <row r="651" spans="1:9">
      <c r="D651" s="1236"/>
      <c r="E651" s="1236"/>
      <c r="F651" s="1236"/>
      <c r="I651" s="1133"/>
    </row>
    <row r="652" spans="1:9" ht="14.5" customHeight="1">
      <c r="A652" s="357"/>
      <c r="B652" s="357"/>
      <c r="C652" s="360"/>
      <c r="D652" s="1131"/>
      <c r="E652" s="1131"/>
      <c r="F652" s="1131"/>
      <c r="I652" s="1133"/>
    </row>
    <row r="653" spans="1:9" ht="12.75" customHeight="1">
      <c r="A653" s="356"/>
      <c r="B653" s="358" t="s">
        <v>529</v>
      </c>
      <c r="C653" s="360"/>
      <c r="D653" s="1236" t="s">
        <v>673</v>
      </c>
      <c r="E653" s="1236"/>
      <c r="F653" s="1236"/>
      <c r="I653" s="1133" t="s">
        <v>672</v>
      </c>
    </row>
    <row r="654" spans="1:9">
      <c r="A654" s="356"/>
      <c r="B654" s="357"/>
      <c r="C654" s="360"/>
      <c r="D654" s="1236"/>
      <c r="E654" s="1236"/>
      <c r="F654" s="1236"/>
      <c r="I654" s="1133"/>
    </row>
    <row r="655" spans="1:9">
      <c r="A655" s="356"/>
      <c r="B655" s="357"/>
      <c r="C655" s="360"/>
      <c r="D655" s="1236"/>
      <c r="E655" s="1236"/>
      <c r="F655" s="1236"/>
      <c r="I655" s="1133"/>
    </row>
    <row r="656" spans="1:9">
      <c r="A656" s="356"/>
      <c r="B656" s="357"/>
      <c r="C656" s="360"/>
      <c r="D656" s="1236"/>
      <c r="E656" s="1236"/>
      <c r="F656" s="1236"/>
      <c r="I656" s="1133"/>
    </row>
    <row r="657" spans="1:9">
      <c r="A657" s="356"/>
      <c r="B657" s="357"/>
      <c r="C657" s="360"/>
      <c r="D657" s="1236"/>
      <c r="E657" s="1236"/>
      <c r="F657" s="1236"/>
      <c r="I657" s="1133"/>
    </row>
    <row r="658" spans="1:9" ht="14.25" customHeight="1">
      <c r="A658" s="356"/>
      <c r="B658" s="357"/>
      <c r="C658" s="360"/>
      <c r="F658" s="277"/>
      <c r="I658" s="1133"/>
    </row>
    <row r="659" spans="1:9" ht="12.75" customHeight="1">
      <c r="A659" s="356"/>
      <c r="B659" s="358" t="s">
        <v>529</v>
      </c>
      <c r="C659" s="360"/>
      <c r="D659" s="1236" t="s">
        <v>674</v>
      </c>
      <c r="E659" s="1236"/>
      <c r="F659" s="1236"/>
      <c r="I659" s="1133" t="s">
        <v>672</v>
      </c>
    </row>
    <row r="660" spans="1:9">
      <c r="A660" s="356"/>
      <c r="B660" s="357"/>
      <c r="C660" s="360"/>
      <c r="D660" s="1236"/>
      <c r="E660" s="1236"/>
      <c r="F660" s="1236"/>
      <c r="I660" s="1133"/>
    </row>
    <row r="661" spans="1:9">
      <c r="A661" s="357"/>
      <c r="B661" s="357"/>
      <c r="C661" s="360"/>
      <c r="D661" s="1236"/>
      <c r="E661" s="1236"/>
      <c r="F661" s="1236"/>
      <c r="I661" s="1133"/>
    </row>
    <row r="662" spans="1:9">
      <c r="A662" s="357"/>
      <c r="B662" s="357"/>
      <c r="C662" s="360"/>
      <c r="D662" s="1236"/>
      <c r="E662" s="1236"/>
      <c r="F662" s="1236"/>
      <c r="I662" s="1133"/>
    </row>
    <row r="663" spans="1:9">
      <c r="A663" s="357"/>
      <c r="B663" s="357"/>
      <c r="C663" s="360"/>
      <c r="D663" s="1111"/>
      <c r="E663" s="1111"/>
      <c r="F663" s="1111"/>
      <c r="I663" s="1133"/>
    </row>
    <row r="664" spans="1:9" ht="12.75" customHeight="1">
      <c r="A664" s="356"/>
      <c r="B664" s="358" t="s">
        <v>529</v>
      </c>
      <c r="C664" s="360"/>
      <c r="D664" s="1236" t="s">
        <v>675</v>
      </c>
      <c r="E664" s="1236"/>
      <c r="F664" s="1236"/>
      <c r="I664" s="1133" t="s">
        <v>672</v>
      </c>
    </row>
    <row r="665" spans="1:9" ht="12.75" customHeight="1">
      <c r="A665" s="356"/>
      <c r="B665" s="357"/>
      <c r="C665" s="360"/>
      <c r="D665" s="1236"/>
      <c r="E665" s="1236"/>
      <c r="F665" s="1236"/>
      <c r="I665" s="1133"/>
    </row>
    <row r="666" spans="1:9" ht="12.75" customHeight="1">
      <c r="A666" s="356"/>
      <c r="B666" s="357"/>
      <c r="C666" s="360"/>
      <c r="D666" s="1236"/>
      <c r="E666" s="1236"/>
      <c r="F666" s="1236"/>
      <c r="I666" s="1133"/>
    </row>
    <row r="667" spans="1:9" ht="12.75" customHeight="1">
      <c r="A667" s="356"/>
      <c r="B667" s="357"/>
      <c r="C667" s="360"/>
      <c r="D667" s="1236"/>
      <c r="E667" s="1236"/>
      <c r="F667" s="1236"/>
      <c r="I667" s="1133"/>
    </row>
    <row r="668" spans="1:9" ht="12.75" customHeight="1">
      <c r="A668" s="356"/>
      <c r="B668" s="357"/>
      <c r="C668" s="360"/>
      <c r="D668" s="1236"/>
      <c r="E668" s="1236"/>
      <c r="F668" s="1236"/>
      <c r="I668" s="1133"/>
    </row>
    <row r="669" spans="1:9" ht="12.75" customHeight="1">
      <c r="A669" s="356"/>
      <c r="B669" s="357"/>
      <c r="C669" s="360"/>
      <c r="D669" s="1236"/>
      <c r="E669" s="1236"/>
      <c r="F669" s="1236"/>
      <c r="I669" s="1133"/>
    </row>
    <row r="670" spans="1:9" ht="12.75" customHeight="1">
      <c r="A670" s="356"/>
      <c r="B670" s="357"/>
      <c r="C670" s="360"/>
      <c r="D670" s="1236"/>
      <c r="E670" s="1236"/>
      <c r="F670" s="1236"/>
      <c r="I670" s="1133"/>
    </row>
    <row r="671" spans="1:9" ht="12.75" customHeight="1">
      <c r="A671" s="356"/>
      <c r="B671" s="357"/>
      <c r="C671" s="360"/>
      <c r="D671" s="1236"/>
      <c r="E671" s="1236"/>
      <c r="F671" s="1236"/>
      <c r="I671" s="1133"/>
    </row>
    <row r="672" spans="1:9" ht="12.75" customHeight="1">
      <c r="A672" s="356"/>
      <c r="B672" s="357"/>
      <c r="C672" s="360"/>
      <c r="D672" s="1236"/>
      <c r="E672" s="1236"/>
      <c r="F672" s="1236"/>
      <c r="I672" s="1133"/>
    </row>
    <row r="673" spans="1:11">
      <c r="A673" s="360"/>
      <c r="B673" s="360"/>
      <c r="C673" s="360"/>
      <c r="D673" s="1112"/>
      <c r="E673" s="1112"/>
      <c r="F673" s="1112"/>
      <c r="I673" s="1133"/>
    </row>
    <row r="674" spans="1:11">
      <c r="A674" s="1242" t="s">
        <v>465</v>
      </c>
      <c r="B674" s="1242"/>
      <c r="C674" s="1242"/>
      <c r="D674" s="1242"/>
      <c r="E674" s="1242"/>
      <c r="F674" s="1242"/>
      <c r="G674" s="1242"/>
      <c r="H674" s="838"/>
      <c r="I674" s="1025"/>
      <c r="J674" s="373"/>
      <c r="K674" s="373"/>
    </row>
    <row r="675" spans="1:11">
      <c r="A675" s="1135"/>
      <c r="B675" s="1135"/>
      <c r="C675" s="1135"/>
      <c r="D675" s="1135"/>
      <c r="E675" s="1135"/>
      <c r="F675" s="1135"/>
      <c r="G675" s="1135"/>
      <c r="H675" s="373"/>
      <c r="I675" s="356"/>
      <c r="J675" s="373"/>
      <c r="K675" s="373"/>
    </row>
    <row r="676" spans="1:11">
      <c r="C676" s="1136"/>
      <c r="D676" s="1234" t="s">
        <v>466</v>
      </c>
      <c r="E676" s="1234"/>
      <c r="F676" s="1234"/>
      <c r="H676" s="373"/>
      <c r="I676" s="356"/>
      <c r="J676" s="373"/>
      <c r="K676" s="373"/>
    </row>
    <row r="677" spans="1:11">
      <c r="A677" s="1136"/>
      <c r="B677" s="1136"/>
      <c r="C677" s="1136"/>
      <c r="D677" s="1234" t="s">
        <v>467</v>
      </c>
      <c r="E677" s="1234"/>
      <c r="F677" s="1234"/>
      <c r="H677" s="373"/>
      <c r="I677" s="356"/>
      <c r="J677" s="373"/>
      <c r="K677" s="373"/>
    </row>
    <row r="678" spans="1:11">
      <c r="A678" s="356"/>
      <c r="B678" s="356"/>
      <c r="C678" s="356"/>
      <c r="D678" s="1263" t="s">
        <v>468</v>
      </c>
      <c r="E678" s="1263"/>
      <c r="F678" s="1263"/>
      <c r="H678" s="373"/>
      <c r="I678" s="356"/>
      <c r="J678" s="373"/>
      <c r="K678" s="373"/>
    </row>
    <row r="679" spans="1:11">
      <c r="A679" s="356"/>
      <c r="B679" s="356"/>
      <c r="C679" s="356"/>
      <c r="H679" s="373"/>
      <c r="I679" s="356"/>
      <c r="J679" s="373"/>
      <c r="K679" s="373"/>
    </row>
    <row r="680" spans="1:11">
      <c r="A680" s="357"/>
      <c r="B680" s="358" t="s">
        <v>522</v>
      </c>
      <c r="C680" s="356"/>
      <c r="D680" s="1263" t="s">
        <v>469</v>
      </c>
      <c r="E680" s="1263"/>
      <c r="F680" s="1263"/>
      <c r="H680" s="373"/>
      <c r="I680" s="356" t="s">
        <v>676</v>
      </c>
      <c r="J680" s="373"/>
      <c r="K680" s="373"/>
    </row>
    <row r="681" spans="1:11">
      <c r="A681" s="356"/>
      <c r="B681" s="356"/>
      <c r="C681" s="356"/>
      <c r="D681" s="1263" t="s">
        <v>470</v>
      </c>
      <c r="E681" s="1263"/>
      <c r="F681" s="1263"/>
      <c r="H681" s="373"/>
      <c r="I681" s="356"/>
      <c r="J681" s="373"/>
      <c r="K681" s="373"/>
    </row>
    <row r="682" spans="1:11" ht="12.75" customHeight="1">
      <c r="A682" s="356"/>
      <c r="B682" s="356"/>
      <c r="C682" s="356"/>
      <c r="E682" s="844" t="s">
        <v>677</v>
      </c>
      <c r="F682" s="308"/>
      <c r="H682" s="373"/>
      <c r="I682" s="356"/>
      <c r="J682" s="373"/>
      <c r="K682" s="373"/>
    </row>
    <row r="683" spans="1:11">
      <c r="A683" s="356"/>
      <c r="B683" s="356"/>
      <c r="C683" s="356"/>
      <c r="E683" s="373" t="s">
        <v>678</v>
      </c>
      <c r="F683" s="308"/>
      <c r="I683" s="356"/>
      <c r="J683" s="373"/>
      <c r="K683" s="373"/>
    </row>
    <row r="684" spans="1:11">
      <c r="A684" s="356"/>
      <c r="B684" s="356"/>
      <c r="C684" s="356"/>
      <c r="D684" s="374"/>
      <c r="E684" s="1112"/>
      <c r="H684" s="373"/>
      <c r="I684" s="356"/>
      <c r="J684" s="373"/>
      <c r="K684" s="373"/>
    </row>
    <row r="685" spans="1:11">
      <c r="A685" s="357"/>
      <c r="B685" s="358" t="s">
        <v>529</v>
      </c>
      <c r="C685" s="356"/>
      <c r="D685" s="1236" t="s">
        <v>679</v>
      </c>
      <c r="E685" s="1236"/>
      <c r="F685" s="1236"/>
      <c r="H685" s="373"/>
      <c r="I685" s="356" t="s">
        <v>680</v>
      </c>
      <c r="J685" s="373"/>
      <c r="K685" s="373"/>
    </row>
    <row r="686" spans="1:11">
      <c r="A686" s="1133"/>
      <c r="B686" s="1133"/>
      <c r="C686" s="356"/>
      <c r="D686" s="1236"/>
      <c r="E686" s="1236"/>
      <c r="F686" s="1236"/>
      <c r="H686" s="373"/>
      <c r="I686" s="356"/>
      <c r="J686" s="373"/>
      <c r="K686" s="373"/>
    </row>
    <row r="687" spans="1:11">
      <c r="A687" s="356"/>
      <c r="B687" s="356"/>
      <c r="C687" s="356"/>
      <c r="D687" s="1236"/>
      <c r="E687" s="1236"/>
      <c r="F687" s="1236"/>
      <c r="H687" s="373"/>
      <c r="I687" s="356"/>
      <c r="J687" s="373"/>
      <c r="K687" s="373"/>
    </row>
    <row r="688" spans="1:11">
      <c r="A688" s="356"/>
      <c r="B688" s="356"/>
      <c r="C688" s="356"/>
      <c r="H688" s="373"/>
      <c r="I688" s="356" t="s">
        <v>681</v>
      </c>
      <c r="J688" s="373"/>
      <c r="K688" s="373"/>
    </row>
    <row r="689" spans="1:11">
      <c r="A689" s="357"/>
      <c r="B689" s="358" t="s">
        <v>522</v>
      </c>
      <c r="C689" s="356"/>
      <c r="D689" s="1263" t="s">
        <v>473</v>
      </c>
      <c r="E689" s="1263"/>
      <c r="F689" s="1263"/>
      <c r="H689" s="373"/>
      <c r="I689" s="356"/>
      <c r="J689" s="373"/>
      <c r="K689" s="373"/>
    </row>
    <row r="690" spans="1:11">
      <c r="A690" s="357"/>
      <c r="B690" s="357"/>
      <c r="C690" s="356"/>
      <c r="D690" s="1263" t="s">
        <v>470</v>
      </c>
      <c r="E690" s="1263"/>
      <c r="F690" s="1263"/>
      <c r="H690" s="373"/>
      <c r="I690" s="356"/>
      <c r="J690" s="373"/>
      <c r="K690" s="373"/>
    </row>
    <row r="691" spans="1:11">
      <c r="A691" s="356"/>
      <c r="B691" s="356"/>
      <c r="C691" s="356"/>
      <c r="E691" s="844" t="s">
        <v>682</v>
      </c>
      <c r="F691" s="293"/>
      <c r="H691" s="373"/>
      <c r="I691" s="356"/>
      <c r="J691" s="373"/>
      <c r="K691" s="373"/>
    </row>
    <row r="692" spans="1:11">
      <c r="A692" s="356"/>
      <c r="B692" s="356"/>
      <c r="C692" s="356"/>
      <c r="D692" s="293"/>
      <c r="H692" s="373"/>
      <c r="I692" s="356"/>
      <c r="J692" s="373"/>
      <c r="K692" s="373"/>
    </row>
    <row r="693" spans="1:11">
      <c r="A693" s="357"/>
      <c r="B693" s="358" t="s">
        <v>522</v>
      </c>
      <c r="C693" s="356"/>
      <c r="D693" s="1236" t="s">
        <v>475</v>
      </c>
      <c r="E693" s="1236"/>
      <c r="F693" s="1236"/>
      <c r="H693" s="373"/>
      <c r="I693" s="356" t="s">
        <v>683</v>
      </c>
      <c r="J693" s="373"/>
      <c r="K693" s="373"/>
    </row>
    <row r="694" spans="1:11">
      <c r="A694" s="356"/>
      <c r="B694" s="356"/>
      <c r="C694" s="356"/>
      <c r="D694" s="1236"/>
      <c r="E694" s="1236"/>
      <c r="F694" s="1236"/>
      <c r="H694" s="373"/>
      <c r="I694" s="356"/>
      <c r="J694" s="373"/>
      <c r="K694" s="373"/>
    </row>
    <row r="695" spans="1:11">
      <c r="A695" s="356"/>
      <c r="B695" s="356"/>
      <c r="C695" s="356"/>
      <c r="D695" s="1236"/>
      <c r="E695" s="1236"/>
      <c r="F695" s="1236"/>
      <c r="H695" s="373"/>
      <c r="I695" s="356"/>
      <c r="J695" s="373"/>
      <c r="K695" s="373"/>
    </row>
    <row r="696" spans="1:11">
      <c r="A696" s="356"/>
      <c r="B696" s="356"/>
      <c r="C696" s="356"/>
      <c r="D696" s="1236"/>
      <c r="E696" s="1236"/>
      <c r="F696" s="1236"/>
      <c r="H696" s="373"/>
      <c r="I696" s="356"/>
      <c r="J696" s="373"/>
      <c r="K696" s="373"/>
    </row>
    <row r="697" spans="1:11">
      <c r="A697" s="356"/>
      <c r="B697" s="356"/>
      <c r="C697" s="356"/>
      <c r="D697" s="1236"/>
      <c r="E697" s="1236"/>
      <c r="F697" s="1236"/>
      <c r="H697" s="373"/>
      <c r="I697" s="356"/>
      <c r="J697" s="373"/>
      <c r="K697" s="373"/>
    </row>
    <row r="698" spans="1:11">
      <c r="A698" s="356"/>
      <c r="B698" s="356"/>
      <c r="C698" s="356"/>
      <c r="D698" s="1236"/>
      <c r="E698" s="1236"/>
      <c r="F698" s="1236"/>
      <c r="H698" s="373"/>
      <c r="I698" s="356"/>
      <c r="J698" s="373"/>
      <c r="K698" s="373"/>
    </row>
    <row r="699" spans="1:11">
      <c r="A699" s="356"/>
      <c r="B699" s="356"/>
      <c r="C699" s="356"/>
      <c r="D699" s="1111"/>
      <c r="E699" s="1111"/>
      <c r="F699" s="1111"/>
      <c r="H699" s="373"/>
      <c r="I699" s="356"/>
      <c r="J699" s="373"/>
      <c r="K699" s="373"/>
    </row>
    <row r="700" spans="1:11">
      <c r="A700" s="356"/>
      <c r="B700" s="358" t="s">
        <v>529</v>
      </c>
      <c r="C700" s="356"/>
      <c r="D700" s="1236" t="s">
        <v>684</v>
      </c>
      <c r="E700" s="1236"/>
      <c r="F700" s="1236"/>
      <c r="H700" s="373"/>
      <c r="I700" s="356" t="s">
        <v>683</v>
      </c>
      <c r="J700" s="373"/>
      <c r="K700" s="373"/>
    </row>
    <row r="701" spans="1:11">
      <c r="A701" s="356"/>
      <c r="B701" s="356"/>
      <c r="C701" s="356"/>
      <c r="D701" s="1236"/>
      <c r="E701" s="1236"/>
      <c r="F701" s="1236"/>
      <c r="H701" s="373"/>
      <c r="I701" s="356"/>
      <c r="J701" s="373"/>
      <c r="K701" s="373"/>
    </row>
    <row r="702" spans="1:11">
      <c r="A702" s="356"/>
      <c r="B702" s="356"/>
      <c r="C702" s="356"/>
      <c r="D702" s="1111"/>
      <c r="E702" s="1111"/>
      <c r="F702" s="1111"/>
      <c r="H702" s="373"/>
      <c r="I702" s="356"/>
      <c r="J702" s="373"/>
      <c r="K702" s="373"/>
    </row>
    <row r="703" spans="1:11">
      <c r="A703" s="357"/>
      <c r="B703" s="358" t="s">
        <v>529</v>
      </c>
      <c r="C703" s="356"/>
      <c r="D703" s="1236" t="s">
        <v>476</v>
      </c>
      <c r="E703" s="1236"/>
      <c r="F703" s="1236"/>
      <c r="H703" s="373"/>
      <c r="I703" s="356" t="s">
        <v>683</v>
      </c>
      <c r="J703" s="373"/>
      <c r="K703" s="373"/>
    </row>
    <row r="704" spans="1:11">
      <c r="A704" s="356"/>
      <c r="B704" s="356"/>
      <c r="C704" s="356"/>
      <c r="D704" s="1236"/>
      <c r="E704" s="1236"/>
      <c r="F704" s="1236"/>
      <c r="H704" s="373"/>
      <c r="I704" s="356"/>
      <c r="J704" s="373"/>
      <c r="K704" s="373"/>
    </row>
    <row r="705" spans="1:11">
      <c r="A705" s="356"/>
      <c r="B705" s="356"/>
      <c r="C705" s="356"/>
      <c r="D705" s="1236"/>
      <c r="E705" s="1236"/>
      <c r="F705" s="1236"/>
      <c r="H705" s="373"/>
      <c r="I705" s="356"/>
      <c r="J705" s="373"/>
      <c r="K705" s="373"/>
    </row>
    <row r="706" spans="1:11" ht="15" customHeight="1">
      <c r="A706" s="356"/>
      <c r="B706" s="356"/>
      <c r="C706" s="356"/>
      <c r="D706" s="1236"/>
      <c r="E706" s="1236"/>
      <c r="F706" s="1236"/>
      <c r="H706" s="373"/>
      <c r="I706" s="356"/>
      <c r="J706" s="373"/>
      <c r="K706" s="373"/>
    </row>
    <row r="707" spans="1:11" ht="15" customHeight="1">
      <c r="A707" s="356"/>
      <c r="B707" s="356"/>
      <c r="C707" s="356"/>
      <c r="D707" s="1236"/>
      <c r="E707" s="1236"/>
      <c r="F707" s="1236"/>
      <c r="H707" s="373"/>
      <c r="I707" s="356"/>
      <c r="J707" s="373"/>
      <c r="K707" s="373"/>
    </row>
    <row r="708" spans="1:11">
      <c r="A708" s="356"/>
      <c r="B708" s="356"/>
      <c r="C708" s="356"/>
      <c r="D708" s="1236"/>
      <c r="E708" s="1236"/>
      <c r="F708" s="1236"/>
      <c r="H708" s="373"/>
      <c r="I708" s="356"/>
      <c r="J708" s="373"/>
      <c r="K708" s="373"/>
    </row>
    <row r="709" spans="1:11">
      <c r="A709" s="356"/>
      <c r="B709" s="356"/>
      <c r="C709" s="356"/>
      <c r="D709" s="1236"/>
      <c r="E709" s="1236"/>
      <c r="F709" s="1236"/>
      <c r="H709" s="373"/>
      <c r="I709" s="356"/>
      <c r="J709" s="373"/>
      <c r="K709" s="373"/>
    </row>
    <row r="710" spans="1:11">
      <c r="A710" s="356"/>
      <c r="B710" s="356"/>
      <c r="C710" s="356"/>
      <c r="D710" s="1236"/>
      <c r="E710" s="1236"/>
      <c r="F710" s="1236"/>
      <c r="H710" s="373"/>
      <c r="I710" s="356"/>
      <c r="J710" s="373"/>
      <c r="K710" s="373"/>
    </row>
    <row r="711" spans="1:11" ht="15" customHeight="1">
      <c r="A711" s="356"/>
      <c r="B711" s="356"/>
      <c r="C711" s="356"/>
      <c r="D711" s="1236"/>
      <c r="E711" s="1236"/>
      <c r="F711" s="1236"/>
      <c r="H711" s="373"/>
      <c r="I711" s="356"/>
      <c r="J711" s="373"/>
      <c r="K711" s="373"/>
    </row>
    <row r="712" spans="1:11">
      <c r="A712" s="356"/>
      <c r="B712" s="356"/>
      <c r="C712" s="356"/>
      <c r="D712" s="1236"/>
      <c r="E712" s="1236"/>
      <c r="F712" s="1236"/>
      <c r="H712" s="373"/>
      <c r="I712" s="356"/>
      <c r="J712" s="373"/>
      <c r="K712" s="373"/>
    </row>
    <row r="713" spans="1:11">
      <c r="A713" s="356"/>
      <c r="B713" s="356"/>
      <c r="C713" s="356"/>
      <c r="D713" s="1236"/>
      <c r="E713" s="1236"/>
      <c r="F713" s="1236"/>
      <c r="H713" s="373"/>
      <c r="I713" s="356"/>
      <c r="J713" s="373"/>
      <c r="K713" s="373"/>
    </row>
    <row r="714" spans="1:11">
      <c r="A714" s="356"/>
      <c r="B714" s="356"/>
      <c r="C714" s="356"/>
      <c r="D714" s="1236"/>
      <c r="E714" s="1236"/>
      <c r="F714" s="1236"/>
      <c r="H714" s="373"/>
      <c r="I714" s="356"/>
      <c r="J714" s="373"/>
      <c r="K714" s="373"/>
    </row>
    <row r="715" spans="1:11">
      <c r="A715" s="356"/>
      <c r="B715" s="356"/>
      <c r="C715" s="356"/>
      <c r="D715" s="1236"/>
      <c r="E715" s="1236"/>
      <c r="F715" s="1236"/>
      <c r="H715" s="373"/>
      <c r="I715" s="356"/>
      <c r="J715" s="373"/>
      <c r="K715" s="373"/>
    </row>
    <row r="716" spans="1:11">
      <c r="A716" s="356"/>
      <c r="B716" s="358" t="s">
        <v>529</v>
      </c>
      <c r="C716" s="356"/>
      <c r="D716" s="1236" t="s">
        <v>478</v>
      </c>
      <c r="E716" s="1236"/>
      <c r="F716" s="1236"/>
      <c r="H716" s="373"/>
      <c r="I716" s="356" t="s">
        <v>685</v>
      </c>
      <c r="J716" s="373"/>
      <c r="K716" s="373"/>
    </row>
    <row r="717" spans="1:11">
      <c r="A717" s="356"/>
      <c r="B717" s="356"/>
      <c r="C717" s="356"/>
      <c r="D717" s="1236"/>
      <c r="E717" s="1236"/>
      <c r="F717" s="1236"/>
      <c r="H717" s="373"/>
      <c r="I717" s="356"/>
      <c r="J717" s="373"/>
      <c r="K717" s="373"/>
    </row>
    <row r="718" spans="1:11">
      <c r="A718" s="356"/>
      <c r="B718" s="356"/>
      <c r="C718" s="356"/>
      <c r="D718" s="1111"/>
      <c r="E718" s="1111"/>
      <c r="F718" s="1111"/>
      <c r="H718" s="373"/>
      <c r="I718" s="356"/>
      <c r="J718" s="373"/>
      <c r="K718" s="373"/>
    </row>
    <row r="719" spans="1:11">
      <c r="A719" s="356"/>
      <c r="B719" s="358" t="s">
        <v>529</v>
      </c>
      <c r="C719" s="356"/>
      <c r="D719" s="1236" t="s">
        <v>480</v>
      </c>
      <c r="E719" s="1236"/>
      <c r="F719" s="1236"/>
      <c r="H719" s="373"/>
      <c r="I719" s="356" t="s">
        <v>685</v>
      </c>
      <c r="J719" s="373"/>
      <c r="K719" s="373"/>
    </row>
    <row r="720" spans="1:11">
      <c r="A720" s="356"/>
      <c r="B720" s="356"/>
      <c r="C720" s="356"/>
      <c r="D720" s="1236"/>
      <c r="E720" s="1236"/>
      <c r="F720" s="1236"/>
      <c r="H720" s="373"/>
      <c r="I720" s="356"/>
      <c r="J720" s="373"/>
      <c r="K720" s="373"/>
    </row>
    <row r="721" spans="1:11">
      <c r="A721" s="356"/>
      <c r="B721" s="356"/>
      <c r="C721" s="356"/>
      <c r="D721" s="1236"/>
      <c r="E721" s="1236"/>
      <c r="F721" s="1236"/>
      <c r="H721" s="373"/>
      <c r="I721" s="356"/>
      <c r="J721" s="373"/>
      <c r="K721" s="373"/>
    </row>
    <row r="722" spans="1:11">
      <c r="A722" s="356"/>
      <c r="B722" s="356"/>
      <c r="C722" s="356"/>
      <c r="H722" s="373"/>
      <c r="I722" s="356"/>
      <c r="J722" s="373"/>
      <c r="K722" s="373"/>
    </row>
    <row r="723" spans="1:11">
      <c r="A723" s="356"/>
      <c r="B723" s="358" t="s">
        <v>529</v>
      </c>
      <c r="C723" s="356"/>
      <c r="D723" s="1236" t="s">
        <v>481</v>
      </c>
      <c r="E723" s="1236"/>
      <c r="F723" s="1236"/>
      <c r="H723" s="373"/>
      <c r="I723" s="356" t="s">
        <v>685</v>
      </c>
      <c r="J723" s="373"/>
      <c r="K723" s="373"/>
    </row>
    <row r="724" spans="1:11">
      <c r="A724" s="356"/>
      <c r="B724" s="356"/>
      <c r="C724" s="356"/>
      <c r="D724" s="1236"/>
      <c r="E724" s="1236"/>
      <c r="F724" s="1236"/>
      <c r="H724" s="373"/>
      <c r="I724" s="356"/>
      <c r="J724" s="373"/>
      <c r="K724" s="373"/>
    </row>
    <row r="725" spans="1:11">
      <c r="A725" s="356"/>
      <c r="B725" s="356"/>
      <c r="C725" s="356"/>
      <c r="D725" s="1236"/>
      <c r="E725" s="1236"/>
      <c r="F725" s="1236"/>
      <c r="H725" s="373"/>
      <c r="I725" s="356"/>
      <c r="J725" s="373"/>
      <c r="K725" s="373"/>
    </row>
    <row r="726" spans="1:11">
      <c r="A726" s="356"/>
      <c r="B726" s="356"/>
      <c r="C726" s="356"/>
      <c r="H726" s="373"/>
      <c r="I726" s="356"/>
      <c r="J726" s="373"/>
      <c r="K726" s="373"/>
    </row>
    <row r="727" spans="1:11">
      <c r="A727" s="357"/>
      <c r="B727" s="358" t="s">
        <v>529</v>
      </c>
      <c r="C727" s="356"/>
      <c r="D727" s="1236" t="s">
        <v>482</v>
      </c>
      <c r="E727" s="1236"/>
      <c r="F727" s="1236"/>
      <c r="H727" s="373"/>
      <c r="I727" s="356" t="s">
        <v>686</v>
      </c>
      <c r="J727" s="373"/>
      <c r="K727" s="373"/>
    </row>
    <row r="728" spans="1:11">
      <c r="A728" s="356"/>
      <c r="B728" s="356"/>
      <c r="C728" s="356"/>
      <c r="D728" s="1236"/>
      <c r="E728" s="1236"/>
      <c r="F728" s="1236"/>
      <c r="H728" s="373"/>
      <c r="I728" s="356"/>
      <c r="J728" s="373"/>
      <c r="K728" s="373"/>
    </row>
    <row r="729" spans="1:11">
      <c r="A729" s="356"/>
      <c r="B729" s="356"/>
      <c r="C729" s="356"/>
      <c r="D729" s="1236"/>
      <c r="E729" s="1236"/>
      <c r="F729" s="1236"/>
      <c r="H729" s="373"/>
      <c r="I729" s="356"/>
      <c r="J729" s="373"/>
      <c r="K729" s="373"/>
    </row>
    <row r="730" spans="1:11">
      <c r="A730" s="356"/>
      <c r="B730" s="356"/>
      <c r="C730" s="356"/>
      <c r="D730" s="1236"/>
      <c r="E730" s="1236"/>
      <c r="F730" s="1236"/>
      <c r="H730" s="373"/>
      <c r="I730" s="356"/>
      <c r="J730" s="373"/>
      <c r="K730" s="373"/>
    </row>
    <row r="731" spans="1:11">
      <c r="A731" s="356"/>
      <c r="B731" s="356"/>
      <c r="C731" s="356"/>
      <c r="D731" s="364"/>
      <c r="H731" s="373"/>
      <c r="I731" s="356"/>
      <c r="J731" s="373"/>
      <c r="K731" s="373"/>
    </row>
    <row r="732" spans="1:11">
      <c r="A732" s="357"/>
      <c r="B732" s="358" t="s">
        <v>529</v>
      </c>
      <c r="C732" s="356"/>
      <c r="D732" s="1236" t="s">
        <v>687</v>
      </c>
      <c r="E732" s="1236"/>
      <c r="F732" s="1236"/>
      <c r="H732" s="373"/>
      <c r="I732" s="356" t="s">
        <v>688</v>
      </c>
      <c r="J732" s="373"/>
      <c r="K732" s="373"/>
    </row>
    <row r="733" spans="1:11">
      <c r="A733" s="356"/>
      <c r="B733" s="356"/>
      <c r="C733" s="356"/>
      <c r="D733" s="1236"/>
      <c r="E733" s="1236"/>
      <c r="F733" s="1236"/>
      <c r="H733" s="373"/>
      <c r="I733" s="356"/>
      <c r="J733" s="373"/>
      <c r="K733" s="373"/>
    </row>
    <row r="734" spans="1:11">
      <c r="A734" s="356"/>
      <c r="B734" s="356"/>
      <c r="C734" s="356"/>
      <c r="D734" s="1236"/>
      <c r="E734" s="1236"/>
      <c r="F734" s="1236"/>
      <c r="H734" s="373"/>
      <c r="I734" s="356"/>
      <c r="J734" s="373"/>
      <c r="K734" s="373"/>
    </row>
    <row r="735" spans="1:11">
      <c r="A735" s="356"/>
      <c r="B735" s="356"/>
      <c r="C735" s="356"/>
      <c r="D735" s="1236"/>
      <c r="E735" s="1236"/>
      <c r="F735" s="1236"/>
      <c r="H735" s="373"/>
      <c r="I735" s="356"/>
      <c r="J735" s="373"/>
      <c r="K735" s="373"/>
    </row>
    <row r="736" spans="1:11">
      <c r="A736" s="356"/>
      <c r="B736" s="356"/>
      <c r="C736" s="356"/>
      <c r="D736" s="1236"/>
      <c r="E736" s="1236"/>
      <c r="F736" s="1236"/>
      <c r="H736" s="373"/>
      <c r="I736" s="356"/>
      <c r="J736" s="373"/>
      <c r="K736" s="373"/>
    </row>
    <row r="737" spans="1:11">
      <c r="A737" s="356"/>
      <c r="B737" s="356"/>
      <c r="C737" s="356"/>
      <c r="D737" s="1236"/>
      <c r="E737" s="1236"/>
      <c r="F737" s="1236"/>
      <c r="H737" s="373"/>
      <c r="I737" s="356"/>
      <c r="J737" s="373"/>
      <c r="K737" s="373"/>
    </row>
    <row r="738" spans="1:11">
      <c r="A738" s="356"/>
      <c r="B738" s="356"/>
      <c r="C738" s="356"/>
      <c r="D738" s="1236"/>
      <c r="E738" s="1236"/>
      <c r="F738" s="1236"/>
      <c r="H738" s="373"/>
      <c r="I738" s="356"/>
      <c r="J738" s="373"/>
      <c r="K738" s="373"/>
    </row>
    <row r="739" spans="1:11">
      <c r="A739" s="356"/>
      <c r="B739" s="356"/>
      <c r="C739" s="356"/>
      <c r="D739" s="1246" t="s">
        <v>689</v>
      </c>
      <c r="E739" s="1246"/>
      <c r="F739" s="1246"/>
      <c r="H739" s="373"/>
      <c r="I739" s="356"/>
      <c r="J739" s="373"/>
      <c r="K739" s="373"/>
    </row>
    <row r="740" spans="1:11">
      <c r="A740" s="356"/>
      <c r="B740" s="356"/>
      <c r="C740" s="356"/>
      <c r="D740" s="1122"/>
      <c r="H740" s="373"/>
      <c r="I740" s="356"/>
      <c r="J740" s="373"/>
      <c r="K740" s="373"/>
    </row>
    <row r="741" spans="1:11">
      <c r="A741" s="1243" t="s">
        <v>485</v>
      </c>
      <c r="B741" s="1243"/>
      <c r="C741" s="1243"/>
      <c r="D741" s="1243"/>
      <c r="E741" s="1243"/>
      <c r="F741" s="1243"/>
      <c r="G741" s="1243"/>
      <c r="H741" s="838"/>
      <c r="I741" s="1025"/>
      <c r="J741" s="373"/>
      <c r="K741" s="373"/>
    </row>
    <row r="742" spans="1:11">
      <c r="A742" s="356"/>
      <c r="B742" s="356"/>
      <c r="C742" s="356"/>
      <c r="D742" s="364"/>
      <c r="G742" s="373"/>
      <c r="H742" s="373"/>
      <c r="I742" s="356"/>
      <c r="J742" s="373"/>
      <c r="K742" s="373"/>
    </row>
    <row r="743" spans="1:11" ht="13.75" customHeight="1">
      <c r="C743" s="356"/>
      <c r="D743" s="1262" t="s">
        <v>486</v>
      </c>
      <c r="E743" s="1262"/>
      <c r="F743" s="1262"/>
      <c r="G743" s="373"/>
      <c r="H743" s="373"/>
      <c r="I743" s="356"/>
      <c r="J743" s="373"/>
      <c r="K743" s="373"/>
    </row>
    <row r="744" spans="1:11">
      <c r="A744" s="356"/>
      <c r="B744" s="356"/>
      <c r="C744" s="356"/>
      <c r="D744" s="1249" t="s">
        <v>487</v>
      </c>
      <c r="E744" s="1249"/>
      <c r="F744" s="1249"/>
      <c r="G744" s="373"/>
      <c r="H744" s="373"/>
      <c r="I744" s="356"/>
      <c r="J744" s="373"/>
      <c r="K744" s="373"/>
    </row>
    <row r="745" spans="1:11">
      <c r="A745" s="356"/>
      <c r="B745" s="356"/>
      <c r="C745" s="356"/>
      <c r="G745" s="373"/>
      <c r="H745" s="373"/>
      <c r="I745" s="356"/>
      <c r="J745" s="373"/>
      <c r="K745" s="373"/>
    </row>
    <row r="746" spans="1:11">
      <c r="A746" s="357"/>
      <c r="B746" s="358" t="s">
        <v>522</v>
      </c>
      <c r="D746" s="1236" t="s">
        <v>488</v>
      </c>
      <c r="E746" s="1236"/>
      <c r="F746" s="1236"/>
      <c r="G746" s="373"/>
      <c r="H746" s="373"/>
      <c r="I746" s="356" t="s">
        <v>690</v>
      </c>
      <c r="J746" s="373"/>
      <c r="K746" s="373"/>
    </row>
    <row r="747" spans="1:11" ht="10.5" customHeight="1">
      <c r="D747" s="1236"/>
      <c r="E747" s="1236"/>
      <c r="F747" s="1236"/>
      <c r="G747" s="373"/>
      <c r="H747" s="373"/>
      <c r="I747" s="356"/>
      <c r="J747" s="373"/>
      <c r="K747" s="373"/>
    </row>
    <row r="748" spans="1:11">
      <c r="D748" s="1236"/>
      <c r="E748" s="1236"/>
      <c r="F748" s="1236"/>
      <c r="G748" s="373"/>
      <c r="H748" s="373"/>
      <c r="I748" s="356"/>
      <c r="J748" s="373"/>
      <c r="K748" s="373"/>
    </row>
    <row r="749" spans="1:11">
      <c r="D749" s="1236"/>
      <c r="E749" s="1236"/>
      <c r="F749" s="1236"/>
      <c r="G749" s="373"/>
      <c r="H749" s="373"/>
      <c r="I749" s="356"/>
      <c r="J749" s="373"/>
      <c r="K749" s="373"/>
    </row>
    <row r="750" spans="1:11">
      <c r="D750" s="1236"/>
      <c r="E750" s="1236"/>
      <c r="F750" s="1236"/>
      <c r="G750" s="373"/>
      <c r="H750" s="373"/>
      <c r="I750" s="356"/>
      <c r="J750" s="373"/>
      <c r="K750" s="373"/>
    </row>
    <row r="751" spans="1:11" ht="15.5" customHeight="1">
      <c r="D751" s="1236"/>
      <c r="E751" s="1236"/>
      <c r="F751" s="1236"/>
      <c r="G751" s="373"/>
      <c r="H751" s="373"/>
      <c r="I751" s="356"/>
      <c r="J751" s="373"/>
      <c r="K751" s="373"/>
    </row>
    <row r="752" spans="1:11">
      <c r="D752" s="371"/>
      <c r="E752" s="1112"/>
      <c r="F752" s="1112"/>
      <c r="G752" s="373"/>
      <c r="H752" s="373"/>
      <c r="I752" s="356"/>
      <c r="J752" s="373"/>
      <c r="K752" s="373"/>
    </row>
    <row r="753" spans="1:11" s="377" customFormat="1">
      <c r="A753" s="375"/>
      <c r="B753" s="358" t="s">
        <v>529</v>
      </c>
      <c r="C753" s="376"/>
      <c r="D753" s="1236" t="s">
        <v>691</v>
      </c>
      <c r="E753" s="1236"/>
      <c r="F753" s="1236"/>
      <c r="I753" s="1026" t="s">
        <v>690</v>
      </c>
    </row>
    <row r="754" spans="1:11" s="377" customFormat="1">
      <c r="A754" s="376"/>
      <c r="B754" s="376"/>
      <c r="C754" s="376"/>
      <c r="D754" s="1236"/>
      <c r="E754" s="1236"/>
      <c r="F754" s="1236"/>
      <c r="I754" s="1026"/>
    </row>
    <row r="755" spans="1:11" s="377" customFormat="1">
      <c r="A755" s="376"/>
      <c r="B755" s="376"/>
      <c r="C755" s="376"/>
      <c r="D755" s="1236"/>
      <c r="E755" s="1236"/>
      <c r="F755" s="1236"/>
      <c r="I755" s="1026"/>
    </row>
    <row r="756" spans="1:11" s="377" customFormat="1">
      <c r="A756" s="376"/>
      <c r="B756" s="376"/>
      <c r="C756" s="376"/>
      <c r="D756" s="1236"/>
      <c r="E756" s="1236"/>
      <c r="F756" s="1236"/>
      <c r="I756" s="1026"/>
    </row>
    <row r="757" spans="1:11" s="377" customFormat="1">
      <c r="A757" s="376"/>
      <c r="B757" s="376"/>
      <c r="C757" s="376"/>
      <c r="D757" s="371"/>
      <c r="I757" s="1026"/>
    </row>
    <row r="758" spans="1:11" s="377" customFormat="1">
      <c r="A758" s="357"/>
      <c r="B758" s="358" t="s">
        <v>522</v>
      </c>
      <c r="C758" s="376"/>
      <c r="D758" s="1238" t="s">
        <v>692</v>
      </c>
      <c r="E758" s="1238"/>
      <c r="F758" s="1238"/>
      <c r="I758" s="1026" t="s">
        <v>693</v>
      </c>
    </row>
    <row r="759" spans="1:11" s="377" customFormat="1">
      <c r="A759" s="376"/>
      <c r="B759" s="376"/>
      <c r="C759" s="376"/>
      <c r="D759" s="1238"/>
      <c r="E759" s="1238"/>
      <c r="F759" s="1238"/>
      <c r="I759" s="1026"/>
    </row>
    <row r="760" spans="1:11" s="377" customFormat="1">
      <c r="A760" s="376"/>
      <c r="B760" s="376"/>
      <c r="C760" s="376"/>
      <c r="D760" s="1238"/>
      <c r="E760" s="1238"/>
      <c r="F760" s="1238"/>
      <c r="I760" s="1026"/>
    </row>
    <row r="761" spans="1:11">
      <c r="D761" s="371"/>
      <c r="E761" s="1112"/>
      <c r="F761" s="1112"/>
      <c r="G761" s="373"/>
      <c r="H761" s="373"/>
      <c r="I761" s="356"/>
      <c r="J761" s="373"/>
      <c r="K761" s="373"/>
    </row>
    <row r="762" spans="1:11">
      <c r="A762" s="357"/>
      <c r="B762" s="358" t="s">
        <v>529</v>
      </c>
      <c r="D762" s="1236" t="s">
        <v>694</v>
      </c>
      <c r="E762" s="1236"/>
      <c r="F762" s="1236"/>
      <c r="G762" s="373"/>
      <c r="H762" s="373"/>
      <c r="I762" s="356" t="s">
        <v>690</v>
      </c>
      <c r="J762" s="373"/>
      <c r="K762" s="373"/>
    </row>
    <row r="763" spans="1:11">
      <c r="D763" s="1236"/>
      <c r="E763" s="1236"/>
      <c r="F763" s="1236"/>
      <c r="G763" s="373"/>
      <c r="H763" s="373"/>
      <c r="I763" s="356"/>
      <c r="J763" s="373"/>
      <c r="K763" s="373"/>
    </row>
    <row r="764" spans="1:11">
      <c r="D764" s="1111"/>
      <c r="E764" s="1111"/>
      <c r="F764" s="1111"/>
      <c r="G764" s="373"/>
      <c r="H764" s="373"/>
      <c r="I764" s="356"/>
      <c r="J764" s="373"/>
      <c r="K764" s="373"/>
    </row>
    <row r="765" spans="1:11">
      <c r="B765" s="358" t="s">
        <v>529</v>
      </c>
      <c r="D765" s="1236" t="s">
        <v>695</v>
      </c>
      <c r="E765" s="1236"/>
      <c r="F765" s="1236"/>
      <c r="G765" s="373"/>
      <c r="H765" s="373"/>
      <c r="I765" s="356" t="s">
        <v>690</v>
      </c>
      <c r="J765" s="373"/>
      <c r="K765" s="373"/>
    </row>
    <row r="766" spans="1:11">
      <c r="D766" s="1236"/>
      <c r="E766" s="1236"/>
      <c r="F766" s="1236"/>
      <c r="G766" s="373"/>
      <c r="H766" s="373"/>
      <c r="I766" s="356"/>
      <c r="J766" s="373"/>
      <c r="K766" s="373"/>
    </row>
    <row r="767" spans="1:11">
      <c r="D767" s="1236"/>
      <c r="E767" s="1236"/>
      <c r="F767" s="1236"/>
      <c r="G767" s="373"/>
      <c r="H767" s="373"/>
      <c r="I767" s="356"/>
      <c r="J767" s="373"/>
      <c r="K767" s="373"/>
    </row>
    <row r="768" spans="1:11">
      <c r="D768" s="1111"/>
      <c r="E768" s="1111"/>
      <c r="F768" s="1111"/>
      <c r="G768" s="373"/>
      <c r="H768" s="373"/>
      <c r="I768" s="356"/>
      <c r="J768" s="373"/>
      <c r="K768" s="373"/>
    </row>
    <row r="769" spans="1:9">
      <c r="A769" s="1288" t="s">
        <v>696</v>
      </c>
      <c r="B769" s="1288"/>
      <c r="C769" s="1288"/>
      <c r="D769" s="1288"/>
      <c r="E769" s="1288"/>
      <c r="F769" s="1288"/>
      <c r="G769" s="1288"/>
      <c r="H769" s="836"/>
      <c r="I769" s="1021"/>
    </row>
    <row r="770" spans="1:9">
      <c r="A770" s="1109"/>
      <c r="B770" s="1109"/>
      <c r="C770" s="1141"/>
      <c r="D770" s="2"/>
      <c r="E770" s="2"/>
      <c r="F770" s="2"/>
      <c r="G770" s="2"/>
      <c r="I770" s="1133"/>
    </row>
    <row r="771" spans="1:9">
      <c r="A771" s="1109"/>
      <c r="B771" s="1109"/>
      <c r="C771" s="1141"/>
      <c r="D771" s="1298" t="s">
        <v>697</v>
      </c>
      <c r="E771" s="1298"/>
      <c r="F771" s="1298"/>
      <c r="G771" s="2"/>
      <c r="I771" s="1133"/>
    </row>
    <row r="772" spans="1:9">
      <c r="A772" s="1109"/>
      <c r="B772" s="1109"/>
      <c r="C772" s="1141"/>
      <c r="D772" s="1267" t="s">
        <v>698</v>
      </c>
      <c r="E772" s="1267"/>
      <c r="F772" s="1267"/>
      <c r="G772" s="2"/>
      <c r="I772" s="1133"/>
    </row>
    <row r="773" spans="1:9">
      <c r="A773" s="1109"/>
      <c r="B773" s="1109"/>
      <c r="C773" s="1141"/>
      <c r="D773" s="1106"/>
      <c r="E773" s="1106"/>
      <c r="F773" s="1106"/>
      <c r="G773" s="2"/>
      <c r="I773" s="1133"/>
    </row>
    <row r="774" spans="1:9">
      <c r="A774" s="1109"/>
      <c r="B774" s="358" t="s">
        <v>522</v>
      </c>
      <c r="C774" s="1141"/>
      <c r="D774" s="1252" t="s">
        <v>699</v>
      </c>
      <c r="E774" s="1252"/>
      <c r="F774" s="1252"/>
      <c r="G774" s="2"/>
      <c r="I774" s="356" t="s">
        <v>700</v>
      </c>
    </row>
    <row r="775" spans="1:9">
      <c r="A775" s="1109"/>
      <c r="B775" s="1109"/>
      <c r="C775" s="1141"/>
      <c r="D775" s="1252"/>
      <c r="E775" s="1252"/>
      <c r="F775" s="1252"/>
      <c r="G775" s="2"/>
      <c r="I775" s="1133"/>
    </row>
    <row r="776" spans="1:9">
      <c r="A776" s="98"/>
      <c r="B776" s="98"/>
      <c r="C776" s="98"/>
      <c r="D776" s="1252"/>
      <c r="E776" s="1252"/>
      <c r="F776" s="1252"/>
      <c r="G776" s="68"/>
      <c r="I776" s="1133"/>
    </row>
    <row r="777" spans="1:9">
      <c r="A777" s="1141"/>
      <c r="B777" s="1141"/>
      <c r="C777" s="1141"/>
      <c r="D777" s="1108"/>
      <c r="E777" s="2"/>
      <c r="F777" s="2"/>
      <c r="G777" s="2"/>
      <c r="I777" s="1133"/>
    </row>
    <row r="778" spans="1:9">
      <c r="A778" s="1116"/>
      <c r="B778" s="358" t="s">
        <v>529</v>
      </c>
      <c r="C778" s="1116"/>
      <c r="D778" s="1252" t="s">
        <v>701</v>
      </c>
      <c r="E778" s="1252"/>
      <c r="F778" s="1252"/>
      <c r="G778" s="2"/>
      <c r="I778" s="356" t="s">
        <v>700</v>
      </c>
    </row>
    <row r="779" spans="1:9">
      <c r="A779" s="1116"/>
      <c r="B779" s="1116"/>
      <c r="C779" s="1116"/>
      <c r="D779" s="1252"/>
      <c r="E779" s="1252"/>
      <c r="F779" s="1252"/>
      <c r="G779" s="2"/>
      <c r="I779" s="1133"/>
    </row>
    <row r="780" spans="1:9">
      <c r="A780" s="1116"/>
      <c r="B780" s="1116"/>
      <c r="C780" s="1116"/>
      <c r="D780" s="1252"/>
      <c r="E780" s="1252"/>
      <c r="F780" s="1252"/>
      <c r="G780" s="2"/>
      <c r="I780" s="1133"/>
    </row>
    <row r="781" spans="1:9">
      <c r="A781" s="98"/>
      <c r="B781" s="98"/>
      <c r="C781" s="98"/>
      <c r="D781" s="2"/>
      <c r="E781" s="805"/>
      <c r="F781" s="805"/>
      <c r="G781" s="805"/>
      <c r="I781" s="1133"/>
    </row>
    <row r="782" spans="1:9">
      <c r="A782" s="99"/>
      <c r="B782" s="358" t="s">
        <v>529</v>
      </c>
      <c r="C782" s="806"/>
      <c r="D782" s="1252" t="s">
        <v>702</v>
      </c>
      <c r="E782" s="1252"/>
      <c r="F782" s="1252"/>
      <c r="G782" s="805"/>
      <c r="I782" s="356" t="s">
        <v>700</v>
      </c>
    </row>
    <row r="783" spans="1:9">
      <c r="A783" s="99"/>
      <c r="B783" s="99"/>
      <c r="C783" s="806"/>
      <c r="D783" s="1252"/>
      <c r="E783" s="1252"/>
      <c r="F783" s="1252"/>
      <c r="G783" s="805"/>
      <c r="I783" s="1133"/>
    </row>
    <row r="784" spans="1:9">
      <c r="A784" s="99"/>
      <c r="B784" s="99"/>
      <c r="C784" s="806"/>
      <c r="D784" s="1252"/>
      <c r="E784" s="1252"/>
      <c r="F784" s="1252"/>
      <c r="G784" s="805"/>
      <c r="I784" s="1133"/>
    </row>
    <row r="785" spans="1:9">
      <c r="A785" s="99"/>
      <c r="B785" s="99"/>
      <c r="C785" s="806"/>
      <c r="D785" s="68"/>
      <c r="E785" s="2"/>
      <c r="F785" s="2"/>
      <c r="G785" s="805"/>
      <c r="I785" s="1133"/>
    </row>
    <row r="786" spans="1:9">
      <c r="A786" s="99"/>
      <c r="B786" s="358" t="s">
        <v>529</v>
      </c>
      <c r="C786" s="806"/>
      <c r="D786" s="1252" t="s">
        <v>703</v>
      </c>
      <c r="E786" s="1252"/>
      <c r="F786" s="1252"/>
      <c r="G786" s="805"/>
      <c r="I786" s="356" t="s">
        <v>700</v>
      </c>
    </row>
    <row r="787" spans="1:9">
      <c r="A787" s="99"/>
      <c r="B787" s="99"/>
      <c r="C787" s="806"/>
      <c r="D787" s="1252"/>
      <c r="E787" s="1252"/>
      <c r="F787" s="1252"/>
      <c r="G787" s="805"/>
      <c r="I787" s="1133"/>
    </row>
    <row r="788" spans="1:9">
      <c r="A788" s="99"/>
      <c r="B788" s="99"/>
      <c r="C788" s="806"/>
      <c r="D788" s="1252"/>
      <c r="E788" s="1252"/>
      <c r="F788" s="1252"/>
      <c r="G788" s="805"/>
      <c r="I788" s="1133"/>
    </row>
    <row r="789" spans="1:9">
      <c r="A789" s="99"/>
      <c r="B789" s="99"/>
      <c r="C789" s="806"/>
      <c r="D789" s="1252"/>
      <c r="E789" s="1252"/>
      <c r="F789" s="1252"/>
      <c r="G789" s="805"/>
      <c r="I789" s="1133"/>
    </row>
    <row r="790" spans="1:9">
      <c r="A790" s="99"/>
      <c r="B790" s="99"/>
      <c r="C790" s="806"/>
      <c r="D790" s="1252"/>
      <c r="E790" s="1252"/>
      <c r="F790" s="1252"/>
      <c r="G790" s="805"/>
      <c r="I790" s="1133"/>
    </row>
    <row r="791" spans="1:9">
      <c r="A791" s="99"/>
      <c r="B791" s="99"/>
      <c r="C791" s="806"/>
      <c r="D791" s="1252"/>
      <c r="E791" s="1252"/>
      <c r="F791" s="1252"/>
      <c r="G791" s="805"/>
      <c r="I791" s="1133"/>
    </row>
    <row r="792" spans="1:9">
      <c r="A792" s="99"/>
      <c r="B792" s="99"/>
      <c r="C792" s="806"/>
      <c r="D792" s="1252" t="s">
        <v>704</v>
      </c>
      <c r="E792" s="1252"/>
      <c r="F792" s="1252"/>
      <c r="G792" s="805"/>
      <c r="I792" s="1133"/>
    </row>
    <row r="793" spans="1:9">
      <c r="A793" s="99"/>
      <c r="B793" s="99"/>
      <c r="C793" s="806"/>
      <c r="D793" s="1252"/>
      <c r="E793" s="1252"/>
      <c r="F793" s="1252"/>
      <c r="G793" s="805"/>
      <c r="I793" s="1133"/>
    </row>
    <row r="794" spans="1:9">
      <c r="A794" s="99"/>
      <c r="B794" s="99"/>
      <c r="C794" s="806"/>
      <c r="D794" s="1252"/>
      <c r="E794" s="1252"/>
      <c r="F794" s="1252"/>
      <c r="G794" s="805"/>
      <c r="I794" s="1133"/>
    </row>
    <row r="795" spans="1:9">
      <c r="A795" s="99"/>
      <c r="B795" s="1141"/>
      <c r="C795" s="806"/>
      <c r="D795" s="807"/>
      <c r="E795" s="807"/>
      <c r="F795" s="807"/>
      <c r="G795" s="805"/>
      <c r="I795" s="1133"/>
    </row>
    <row r="796" spans="1:9">
      <c r="A796" s="99"/>
      <c r="B796" s="358" t="s">
        <v>529</v>
      </c>
      <c r="C796" s="806"/>
      <c r="D796" s="1252" t="s">
        <v>705</v>
      </c>
      <c r="E796" s="1252"/>
      <c r="F796" s="1252"/>
      <c r="G796" s="805"/>
      <c r="I796" s="356" t="s">
        <v>700</v>
      </c>
    </row>
    <row r="797" spans="1:9">
      <c r="A797" s="99"/>
      <c r="B797" s="99"/>
      <c r="C797" s="806"/>
      <c r="D797" s="1252"/>
      <c r="E797" s="1252"/>
      <c r="F797" s="1252"/>
      <c r="G797" s="805"/>
      <c r="I797" s="1133"/>
    </row>
    <row r="798" spans="1:9">
      <c r="A798" s="99"/>
      <c r="B798" s="99"/>
      <c r="C798" s="806"/>
      <c r="D798" s="1252"/>
      <c r="E798" s="1252"/>
      <c r="F798" s="1252"/>
      <c r="G798" s="805"/>
      <c r="I798" s="1133"/>
    </row>
    <row r="799" spans="1:9">
      <c r="A799" s="99"/>
      <c r="B799" s="99"/>
      <c r="C799" s="806"/>
      <c r="D799" s="1252"/>
      <c r="E799" s="1252"/>
      <c r="F799" s="1252"/>
      <c r="G799" s="805"/>
      <c r="I799" s="1133"/>
    </row>
    <row r="800" spans="1:9">
      <c r="A800" s="99"/>
      <c r="B800" s="99"/>
      <c r="C800" s="806"/>
      <c r="D800" s="1252"/>
      <c r="E800" s="1252"/>
      <c r="F800" s="1252"/>
      <c r="G800" s="805"/>
      <c r="I800" s="1133"/>
    </row>
    <row r="801" spans="1:9">
      <c r="A801" s="99"/>
      <c r="B801" s="99"/>
      <c r="C801" s="806"/>
      <c r="D801" s="1252"/>
      <c r="E801" s="1252"/>
      <c r="F801" s="1252"/>
      <c r="G801" s="805"/>
      <c r="I801" s="1133"/>
    </row>
    <row r="802" spans="1:9">
      <c r="A802" s="99"/>
      <c r="B802" s="99"/>
      <c r="C802" s="806"/>
      <c r="D802" s="1120"/>
      <c r="E802" s="1120"/>
      <c r="F802" s="1120"/>
      <c r="G802" s="805"/>
      <c r="I802" s="1133"/>
    </row>
    <row r="803" spans="1:9">
      <c r="A803" s="99"/>
      <c r="B803" s="358" t="s">
        <v>529</v>
      </c>
      <c r="C803" s="806"/>
      <c r="D803" s="1252" t="s">
        <v>706</v>
      </c>
      <c r="E803" s="1252"/>
      <c r="F803" s="1252"/>
      <c r="G803" s="805"/>
      <c r="I803" s="356" t="s">
        <v>700</v>
      </c>
    </row>
    <row r="804" spans="1:9">
      <c r="A804" s="99"/>
      <c r="B804" s="99"/>
      <c r="C804" s="806"/>
      <c r="D804" s="1252"/>
      <c r="E804" s="1252"/>
      <c r="F804" s="1252"/>
      <c r="G804" s="805"/>
      <c r="I804" s="1133"/>
    </row>
    <row r="805" spans="1:9">
      <c r="A805" s="99"/>
      <c r="B805" s="99"/>
      <c r="C805" s="806"/>
      <c r="D805" s="1252"/>
      <c r="E805" s="1252"/>
      <c r="F805" s="1252"/>
      <c r="G805" s="805"/>
      <c r="I805" s="1133"/>
    </row>
    <row r="806" spans="1:9">
      <c r="A806" s="99"/>
      <c r="B806" s="99"/>
      <c r="C806" s="806"/>
      <c r="D806" s="1252"/>
      <c r="E806" s="1252"/>
      <c r="F806" s="1252"/>
      <c r="G806" s="805"/>
      <c r="I806" s="1133"/>
    </row>
    <row r="807" spans="1:9">
      <c r="A807" s="99"/>
      <c r="B807" s="99"/>
      <c r="C807" s="806"/>
      <c r="D807" s="1252"/>
      <c r="E807" s="1252"/>
      <c r="F807" s="1252"/>
      <c r="G807" s="805"/>
      <c r="I807" s="1133"/>
    </row>
    <row r="808" spans="1:9">
      <c r="A808" s="99"/>
      <c r="B808" s="99"/>
      <c r="C808" s="806"/>
      <c r="D808" s="1252"/>
      <c r="E808" s="1252"/>
      <c r="F808" s="1252"/>
      <c r="G808" s="805"/>
      <c r="I808" s="1133"/>
    </row>
    <row r="809" spans="1:9">
      <c r="A809" s="99"/>
      <c r="B809" s="99"/>
      <c r="C809" s="806"/>
      <c r="D809" s="1120"/>
      <c r="E809" s="1120"/>
      <c r="F809" s="1120"/>
      <c r="G809" s="805"/>
      <c r="I809" s="1133"/>
    </row>
    <row r="810" spans="1:9">
      <c r="A810" s="99"/>
      <c r="B810" s="358" t="s">
        <v>529</v>
      </c>
      <c r="C810" s="806"/>
      <c r="D810" s="1260" t="s">
        <v>707</v>
      </c>
      <c r="E810" s="1260"/>
      <c r="F810" s="1260"/>
      <c r="G810" s="805"/>
      <c r="I810" s="356" t="s">
        <v>700</v>
      </c>
    </row>
    <row r="811" spans="1:9">
      <c r="A811" s="99"/>
      <c r="B811" s="99"/>
      <c r="C811" s="806"/>
      <c r="D811" s="1260"/>
      <c r="E811" s="1260"/>
      <c r="F811" s="1260"/>
      <c r="G811" s="805"/>
      <c r="I811" s="1133"/>
    </row>
    <row r="812" spans="1:9">
      <c r="A812" s="1118"/>
      <c r="B812" s="1118"/>
      <c r="C812" s="806"/>
      <c r="D812" s="1260"/>
      <c r="E812" s="1260"/>
      <c r="F812" s="1260"/>
      <c r="G812" s="805"/>
      <c r="I812" s="1133"/>
    </row>
    <row r="813" spans="1:9">
      <c r="A813" s="99"/>
      <c r="B813" s="1118"/>
      <c r="C813" s="806"/>
      <c r="D813" s="1260"/>
      <c r="E813" s="1260"/>
      <c r="F813" s="1260"/>
      <c r="G813" s="805"/>
      <c r="I813" s="1133"/>
    </row>
    <row r="814" spans="1:9" ht="12.75" customHeight="1">
      <c r="A814" s="99"/>
      <c r="B814" s="1118"/>
      <c r="C814" s="806"/>
      <c r="D814" s="1260"/>
      <c r="E814" s="1260"/>
      <c r="F814" s="1260"/>
      <c r="G814" s="805"/>
      <c r="I814" s="1133"/>
    </row>
    <row r="815" spans="1:9" ht="12.75" customHeight="1">
      <c r="A815" s="99"/>
      <c r="B815" s="1118"/>
      <c r="C815" s="806"/>
      <c r="D815" s="1260"/>
      <c r="E815" s="1260"/>
      <c r="F815" s="1260"/>
      <c r="G815" s="805"/>
      <c r="I815" s="1133"/>
    </row>
    <row r="816" spans="1:9" ht="12.75" customHeight="1">
      <c r="A816" s="1118"/>
      <c r="B816" s="1118"/>
      <c r="C816" s="806"/>
      <c r="D816" s="805"/>
      <c r="E816" s="2"/>
      <c r="F816" s="2"/>
      <c r="G816" s="805"/>
      <c r="I816" s="1133"/>
    </row>
    <row r="817" spans="1:9" ht="12.75" customHeight="1">
      <c r="A817" s="1247" t="s">
        <v>708</v>
      </c>
      <c r="B817" s="1247"/>
      <c r="C817" s="1247"/>
      <c r="D817" s="1247"/>
      <c r="E817" s="1247"/>
      <c r="F817" s="1247"/>
      <c r="G817" s="1247"/>
      <c r="H817" s="836"/>
      <c r="I817" s="1021"/>
    </row>
    <row r="818" spans="1:9" ht="12.75" customHeight="1">
      <c r="A818" s="1116"/>
      <c r="B818" s="1116"/>
      <c r="C818" s="806"/>
      <c r="D818" s="805"/>
      <c r="E818" s="805"/>
      <c r="F818" s="805"/>
      <c r="G818" s="805"/>
      <c r="I818" s="1133"/>
    </row>
    <row r="819" spans="1:9" ht="12.75" customHeight="1">
      <c r="A819" s="99"/>
      <c r="B819" s="99"/>
      <c r="C819" s="1141"/>
      <c r="D819" s="1251" t="s">
        <v>709</v>
      </c>
      <c r="E819" s="1251"/>
      <c r="F819" s="1251"/>
      <c r="G819" s="2"/>
      <c r="I819" s="1133"/>
    </row>
    <row r="820" spans="1:9" ht="14.25" customHeight="1">
      <c r="A820" s="99"/>
      <c r="B820" s="99"/>
      <c r="C820" s="1141"/>
      <c r="D820" s="1221" t="s">
        <v>710</v>
      </c>
      <c r="E820" s="1221"/>
      <c r="F820" s="1221"/>
      <c r="G820" s="2"/>
      <c r="I820" s="1133"/>
    </row>
    <row r="821" spans="1:9" ht="12.75" customHeight="1">
      <c r="A821" s="99"/>
      <c r="B821" s="99"/>
      <c r="C821" s="1141"/>
      <c r="D821" s="1100"/>
      <c r="E821" s="1100"/>
      <c r="F821" s="1100"/>
      <c r="G821" s="2"/>
      <c r="I821" s="1133"/>
    </row>
    <row r="822" spans="1:9" ht="12.75" customHeight="1">
      <c r="A822" s="1141"/>
      <c r="B822" s="358" t="s">
        <v>522</v>
      </c>
      <c r="C822" s="806"/>
      <c r="D822" s="1221" t="s">
        <v>711</v>
      </c>
      <c r="E822" s="1221"/>
      <c r="F822" s="1221"/>
      <c r="G822" s="2"/>
      <c r="I822" s="1133" t="s">
        <v>588</v>
      </c>
    </row>
    <row r="823" spans="1:9" ht="14.25" customHeight="1">
      <c r="A823" s="1118"/>
      <c r="B823" s="1118"/>
      <c r="C823" s="806"/>
      <c r="E823" s="844" t="s">
        <v>589</v>
      </c>
      <c r="F823" s="1129"/>
      <c r="G823" s="2"/>
      <c r="I823" s="1133"/>
    </row>
    <row r="824" spans="1:9" ht="12.75" customHeight="1">
      <c r="A824" s="1118"/>
      <c r="B824" s="1118"/>
      <c r="C824" s="806"/>
      <c r="D824" s="808"/>
      <c r="E824" s="2"/>
      <c r="F824" s="2"/>
      <c r="G824" s="2"/>
      <c r="I824" s="1133"/>
    </row>
    <row r="825" spans="1:9" ht="14.25" hidden="1" customHeight="1">
      <c r="A825" s="1118"/>
      <c r="B825" s="358" t="s">
        <v>294</v>
      </c>
      <c r="C825" s="806"/>
      <c r="D825" s="1296" t="s">
        <v>712</v>
      </c>
      <c r="E825" s="1296"/>
      <c r="F825" s="1296"/>
      <c r="G825" s="2"/>
      <c r="I825" s="1133"/>
    </row>
    <row r="826" spans="1:9" ht="12.75" hidden="1" customHeight="1">
      <c r="A826" s="1118"/>
      <c r="B826" s="1118"/>
      <c r="C826" s="806"/>
      <c r="D826" s="1296"/>
      <c r="E826" s="1296"/>
      <c r="F826" s="1296"/>
      <c r="G826" s="2"/>
      <c r="I826" s="1133"/>
    </row>
    <row r="827" spans="1:9" ht="12.75" hidden="1" customHeight="1">
      <c r="A827" s="1118"/>
      <c r="B827" s="1118"/>
      <c r="C827" s="806"/>
      <c r="D827" s="1296"/>
      <c r="E827" s="1296"/>
      <c r="F827" s="1296"/>
      <c r="G827" s="2"/>
      <c r="I827" s="1133"/>
    </row>
    <row r="828" spans="1:9" ht="12.75" hidden="1" customHeight="1">
      <c r="A828" s="1118"/>
      <c r="B828" s="1118"/>
      <c r="C828" s="806"/>
      <c r="D828" s="1296"/>
      <c r="E828" s="1296"/>
      <c r="F828" s="1296"/>
      <c r="G828" s="2"/>
      <c r="I828" s="1133"/>
    </row>
    <row r="829" spans="1:9" ht="12.75" hidden="1" customHeight="1">
      <c r="A829" s="1118"/>
      <c r="B829" s="1118"/>
      <c r="C829" s="806"/>
      <c r="D829" s="1296"/>
      <c r="E829" s="1296"/>
      <c r="F829" s="1296"/>
      <c r="G829" s="2"/>
      <c r="I829" s="1133"/>
    </row>
    <row r="830" spans="1:9" ht="12.75" hidden="1" customHeight="1">
      <c r="A830" s="1118"/>
      <c r="B830" s="1118"/>
      <c r="C830" s="806"/>
      <c r="D830" s="1296"/>
      <c r="E830" s="1296"/>
      <c r="F830" s="1296"/>
      <c r="G830" s="2"/>
      <c r="I830" s="1133"/>
    </row>
    <row r="831" spans="1:9" ht="12.75" hidden="1" customHeight="1">
      <c r="A831" s="1118"/>
      <c r="B831" s="1118"/>
      <c r="C831" s="806"/>
      <c r="D831" s="1296"/>
      <c r="E831" s="1296"/>
      <c r="F831" s="1296"/>
      <c r="G831" s="2"/>
      <c r="I831" s="1133"/>
    </row>
    <row r="832" spans="1:9" ht="12.75" hidden="1" customHeight="1">
      <c r="A832" s="1118"/>
      <c r="B832" s="1118"/>
      <c r="C832" s="806"/>
      <c r="D832" s="1296"/>
      <c r="E832" s="1296"/>
      <c r="F832" s="1296"/>
      <c r="G832" s="2"/>
      <c r="I832" s="1133"/>
    </row>
    <row r="833" spans="1:9" ht="12.75" hidden="1" customHeight="1">
      <c r="A833" s="1118"/>
      <c r="B833" s="1118"/>
      <c r="C833" s="806"/>
      <c r="D833" s="1296"/>
      <c r="E833" s="1296"/>
      <c r="F833" s="1296"/>
      <c r="G833" s="2"/>
      <c r="I833" s="1133"/>
    </row>
    <row r="834" spans="1:9" ht="12.75" hidden="1" customHeight="1">
      <c r="A834" s="1118"/>
      <c r="B834" s="1118"/>
      <c r="C834" s="806"/>
      <c r="D834" s="1296"/>
      <c r="E834" s="1296"/>
      <c r="F834" s="1296"/>
      <c r="G834" s="2"/>
      <c r="I834" s="1133"/>
    </row>
    <row r="835" spans="1:9" ht="12.75" hidden="1" customHeight="1">
      <c r="A835" s="1118"/>
      <c r="B835" s="1118"/>
      <c r="C835" s="806"/>
      <c r="D835" s="808"/>
      <c r="E835" s="2"/>
      <c r="F835" s="2"/>
      <c r="G835" s="2"/>
      <c r="I835" s="1133"/>
    </row>
    <row r="836" spans="1:9" ht="12.75" customHeight="1">
      <c r="A836" s="99"/>
      <c r="B836" s="358" t="s">
        <v>522</v>
      </c>
      <c r="C836" s="806"/>
      <c r="D836" s="1221" t="s">
        <v>713</v>
      </c>
      <c r="E836" s="1221"/>
      <c r="F836" s="1221"/>
      <c r="G836" s="2"/>
      <c r="I836" s="1133" t="s">
        <v>591</v>
      </c>
    </row>
    <row r="837" spans="1:9" ht="12.75" customHeight="1">
      <c r="A837" s="99"/>
      <c r="B837" s="99"/>
      <c r="C837" s="806"/>
      <c r="D837" s="1221"/>
      <c r="E837" s="1221"/>
      <c r="F837" s="1221"/>
      <c r="G837" s="2"/>
      <c r="I837" s="1133"/>
    </row>
    <row r="838" spans="1:9" ht="12.75" customHeight="1">
      <c r="A838" s="99"/>
      <c r="B838" s="99"/>
      <c r="C838" s="806"/>
      <c r="D838" s="1221"/>
      <c r="E838" s="1221"/>
      <c r="F838" s="1221"/>
      <c r="G838" s="2"/>
      <c r="I838" s="1133"/>
    </row>
    <row r="839" spans="1:9" ht="12.75" customHeight="1">
      <c r="A839" s="99"/>
      <c r="B839" s="99"/>
      <c r="C839" s="806"/>
      <c r="D839" s="68"/>
      <c r="E839" s="2"/>
      <c r="F839" s="2"/>
      <c r="G839" s="2"/>
      <c r="I839" s="1133"/>
    </row>
    <row r="840" spans="1:9" ht="12.75" customHeight="1">
      <c r="A840" s="809"/>
      <c r="B840" s="358" t="s">
        <v>529</v>
      </c>
      <c r="C840" s="806"/>
      <c r="D840" s="1251" t="s">
        <v>714</v>
      </c>
      <c r="E840" s="1251"/>
      <c r="F840" s="1251"/>
      <c r="G840" s="2"/>
      <c r="I840" s="1133"/>
    </row>
    <row r="841" spans="1:9" ht="12.75" customHeight="1">
      <c r="A841" s="1141"/>
      <c r="B841" s="809"/>
      <c r="C841" s="806"/>
      <c r="D841" s="1251"/>
      <c r="E841" s="1251"/>
      <c r="F841" s="1251"/>
      <c r="G841" s="2"/>
      <c r="I841" s="1133"/>
    </row>
    <row r="842" spans="1:9" ht="12.75" customHeight="1">
      <c r="A842" s="99"/>
      <c r="B842" s="1141"/>
      <c r="C842" s="806"/>
      <c r="D842" s="1221" t="s">
        <v>715</v>
      </c>
      <c r="E842" s="1221"/>
      <c r="F842" s="1221"/>
      <c r="G842" s="2"/>
      <c r="I842" s="1133"/>
    </row>
    <row r="843" spans="1:9" ht="12.75" customHeight="1">
      <c r="A843" s="99"/>
      <c r="B843" s="99"/>
      <c r="C843" s="806"/>
      <c r="D843" s="1221"/>
      <c r="E843" s="1221"/>
      <c r="F843" s="1221"/>
      <c r="G843" s="2"/>
      <c r="I843" s="1133"/>
    </row>
    <row r="844" spans="1:9" ht="12.75" customHeight="1">
      <c r="A844" s="99"/>
      <c r="B844" s="99"/>
      <c r="C844" s="806"/>
      <c r="D844" s="1221"/>
      <c r="E844" s="1221"/>
      <c r="F844" s="1221"/>
      <c r="G844" s="2"/>
      <c r="I844" s="1133"/>
    </row>
    <row r="845" spans="1:9" ht="12.75" customHeight="1">
      <c r="A845" s="99"/>
      <c r="B845" s="99"/>
      <c r="C845" s="806"/>
      <c r="D845" s="1221"/>
      <c r="E845" s="1221"/>
      <c r="F845" s="1221"/>
      <c r="G845" s="2"/>
      <c r="I845" s="1133"/>
    </row>
    <row r="846" spans="1:9" ht="12.75" customHeight="1">
      <c r="A846" s="99"/>
      <c r="B846" s="99"/>
      <c r="C846" s="806"/>
      <c r="D846" s="1221"/>
      <c r="E846" s="1221"/>
      <c r="F846" s="1221"/>
      <c r="G846" s="2"/>
      <c r="I846" s="1133"/>
    </row>
    <row r="847" spans="1:9" ht="12.75" customHeight="1">
      <c r="A847" s="99"/>
      <c r="B847" s="99"/>
      <c r="C847" s="806"/>
      <c r="D847" s="1221"/>
      <c r="E847" s="1221"/>
      <c r="F847" s="1221"/>
      <c r="G847" s="2"/>
      <c r="I847" s="1133"/>
    </row>
    <row r="848" spans="1:9" ht="12.75" customHeight="1">
      <c r="A848" s="99"/>
      <c r="B848" s="99"/>
      <c r="C848" s="806"/>
      <c r="D848" s="68"/>
      <c r="E848" s="2"/>
      <c r="F848" s="2"/>
      <c r="G848" s="2"/>
      <c r="I848" s="1133"/>
    </row>
    <row r="849" spans="1:9" ht="12.75" customHeight="1">
      <c r="A849" s="99"/>
      <c r="B849" s="358" t="s">
        <v>529</v>
      </c>
      <c r="C849" s="806"/>
      <c r="D849" s="1221" t="s">
        <v>716</v>
      </c>
      <c r="E849" s="1221"/>
      <c r="F849" s="1221"/>
      <c r="G849" s="2"/>
      <c r="I849" s="1133" t="s">
        <v>595</v>
      </c>
    </row>
    <row r="850" spans="1:9" ht="12.75" customHeight="1">
      <c r="A850" s="99"/>
      <c r="B850" s="99"/>
      <c r="C850" s="806"/>
      <c r="D850" s="1221" t="s">
        <v>717</v>
      </c>
      <c r="E850" s="1221"/>
      <c r="F850" s="1221"/>
      <c r="G850" s="2"/>
      <c r="I850" s="1133"/>
    </row>
    <row r="851" spans="1:9" ht="12.75" customHeight="1">
      <c r="A851" s="99"/>
      <c r="B851" s="99"/>
      <c r="C851" s="806"/>
      <c r="E851" s="844" t="s">
        <v>597</v>
      </c>
      <c r="F851" s="1129"/>
      <c r="G851" s="2"/>
      <c r="I851" s="1133"/>
    </row>
    <row r="852" spans="1:9" ht="12.75" customHeight="1">
      <c r="A852" s="99"/>
      <c r="B852" s="99"/>
      <c r="C852" s="806"/>
      <c r="D852" s="68"/>
      <c r="E852" s="2"/>
      <c r="F852" s="2"/>
      <c r="G852" s="2"/>
      <c r="I852" s="1133"/>
    </row>
    <row r="853" spans="1:9" ht="12.75" customHeight="1">
      <c r="A853" s="99"/>
      <c r="B853" s="358" t="s">
        <v>529</v>
      </c>
      <c r="C853" s="806"/>
      <c r="D853" s="1221" t="s">
        <v>718</v>
      </c>
      <c r="E853" s="1221"/>
      <c r="F853" s="1221"/>
      <c r="G853" s="2"/>
      <c r="I853" s="1133" t="s">
        <v>599</v>
      </c>
    </row>
    <row r="854" spans="1:9" ht="12.75" customHeight="1">
      <c r="A854" s="99"/>
      <c r="B854" s="99"/>
      <c r="C854" s="806"/>
      <c r="D854" s="1221"/>
      <c r="E854" s="1221"/>
      <c r="F854" s="1221"/>
      <c r="G854" s="2"/>
      <c r="I854" s="1133"/>
    </row>
    <row r="855" spans="1:9" ht="12.75" customHeight="1">
      <c r="A855" s="99"/>
      <c r="B855" s="99"/>
      <c r="C855" s="806"/>
      <c r="D855" s="1221"/>
      <c r="E855" s="1221"/>
      <c r="F855" s="1221"/>
      <c r="G855" s="2"/>
      <c r="I855" s="1133"/>
    </row>
    <row r="856" spans="1:9" ht="12.75" customHeight="1">
      <c r="A856" s="99"/>
      <c r="B856" s="99"/>
      <c r="C856" s="806"/>
      <c r="D856" s="1221"/>
      <c r="E856" s="1221"/>
      <c r="F856" s="1221"/>
      <c r="G856" s="2"/>
      <c r="I856" s="1133"/>
    </row>
    <row r="857" spans="1:9" ht="12.75" customHeight="1">
      <c r="A857" s="1116"/>
      <c r="B857" s="1116"/>
      <c r="C857" s="1116"/>
      <c r="D857" s="68"/>
      <c r="E857" s="2"/>
      <c r="F857" s="2"/>
      <c r="G857" s="2"/>
      <c r="I857" s="1133"/>
    </row>
    <row r="858" spans="1:9" ht="12.75" customHeight="1">
      <c r="A858" s="1123" t="s">
        <v>719</v>
      </c>
      <c r="B858" s="1123"/>
      <c r="C858" s="1162"/>
      <c r="D858" s="1162"/>
      <c r="E858" s="1162"/>
      <c r="F858" s="1162"/>
      <c r="G858" s="1162"/>
      <c r="H858" s="836"/>
      <c r="I858" s="1021"/>
    </row>
    <row r="859" spans="1:9" ht="12.75" customHeight="1">
      <c r="A859" s="1116"/>
      <c r="B859" s="1116"/>
      <c r="C859" s="1116"/>
      <c r="D859" s="810"/>
      <c r="E859" s="2"/>
      <c r="F859" s="2"/>
      <c r="G859" s="2"/>
      <c r="I859" s="1133"/>
    </row>
    <row r="860" spans="1:9" ht="12.75" customHeight="1">
      <c r="A860" s="1141"/>
      <c r="B860" s="1141"/>
      <c r="C860" s="98"/>
      <c r="D860" s="1240" t="s">
        <v>720</v>
      </c>
      <c r="E860" s="1240"/>
      <c r="F860" s="1240"/>
      <c r="G860" s="805"/>
      <c r="I860" s="1133"/>
    </row>
    <row r="861" spans="1:9" ht="12.75" customHeight="1">
      <c r="A861" s="1141"/>
      <c r="B861" s="1141"/>
      <c r="C861" s="98"/>
      <c r="D861" s="1295" t="s">
        <v>721</v>
      </c>
      <c r="E861" s="1295"/>
      <c r="F861" s="1295"/>
      <c r="G861" s="805"/>
      <c r="I861" s="1133"/>
    </row>
    <row r="862" spans="1:9" ht="12.75" customHeight="1">
      <c r="A862" s="1141"/>
      <c r="B862" s="1141"/>
      <c r="C862" s="98"/>
      <c r="D862" s="1132"/>
      <c r="E862" s="1132"/>
      <c r="F862" s="1132"/>
      <c r="G862" s="805"/>
      <c r="I862" s="1133"/>
    </row>
    <row r="863" spans="1:9" ht="12.75" customHeight="1">
      <c r="A863" s="99"/>
      <c r="B863" s="358" t="s">
        <v>522</v>
      </c>
      <c r="C863" s="1141"/>
      <c r="D863" s="1241" t="s">
        <v>722</v>
      </c>
      <c r="E863" s="1241"/>
      <c r="F863" s="1241"/>
      <c r="G863" s="805"/>
      <c r="I863" s="1133" t="s">
        <v>595</v>
      </c>
    </row>
    <row r="864" spans="1:9" ht="12.75" customHeight="1">
      <c r="A864" s="1141"/>
      <c r="B864" s="1141"/>
      <c r="C864" s="1141"/>
      <c r="D864" s="1" t="s">
        <v>567</v>
      </c>
      <c r="E864" s="844" t="s">
        <v>597</v>
      </c>
      <c r="F864" s="845"/>
      <c r="G864" s="805"/>
      <c r="I864" s="1133"/>
    </row>
    <row r="865" spans="1:9" ht="12.75" customHeight="1">
      <c r="A865" s="1141"/>
      <c r="B865" s="1141"/>
      <c r="C865" s="1141"/>
      <c r="D865" s="68"/>
      <c r="E865" s="805"/>
      <c r="F865" s="805"/>
      <c r="G865" s="805"/>
      <c r="I865" s="1133"/>
    </row>
    <row r="866" spans="1:9" ht="12.75" customHeight="1">
      <c r="A866" s="99"/>
      <c r="B866" s="358" t="s">
        <v>522</v>
      </c>
      <c r="C866" s="1141"/>
      <c r="D866" s="1221" t="s">
        <v>723</v>
      </c>
      <c r="E866" s="1268"/>
      <c r="F866" s="1268"/>
      <c r="G866" s="2"/>
      <c r="I866" s="1133" t="s">
        <v>599</v>
      </c>
    </row>
    <row r="867" spans="1:9" ht="12.75" customHeight="1">
      <c r="A867" s="1141"/>
      <c r="B867" s="1141"/>
      <c r="C867" s="1141"/>
      <c r="D867" s="1268"/>
      <c r="E867" s="1268"/>
      <c r="F867" s="1268"/>
      <c r="G867" s="2"/>
      <c r="I867" s="1133"/>
    </row>
    <row r="868" spans="1:9" ht="12.75" customHeight="1">
      <c r="A868" s="1141"/>
      <c r="B868" s="1141"/>
      <c r="C868" s="1141"/>
      <c r="D868" s="68"/>
      <c r="E868" s="2"/>
      <c r="F868" s="2"/>
      <c r="G868" s="2"/>
      <c r="I868" s="1133"/>
    </row>
    <row r="869" spans="1:9" ht="12.75" customHeight="1">
      <c r="A869" s="1141"/>
      <c r="B869" s="358" t="s">
        <v>529</v>
      </c>
      <c r="C869" s="1141"/>
      <c r="D869" s="1299" t="s">
        <v>724</v>
      </c>
      <c r="E869" s="1299"/>
      <c r="F869" s="1299"/>
      <c r="G869" s="805"/>
      <c r="I869" s="1133"/>
    </row>
    <row r="870" spans="1:9" ht="12.75" customHeight="1">
      <c r="A870" s="1141"/>
      <c r="B870" s="811"/>
      <c r="C870" s="1141"/>
      <c r="D870" s="1299"/>
      <c r="E870" s="1299"/>
      <c r="F870" s="1299"/>
      <c r="G870" s="805"/>
      <c r="I870" s="1133"/>
    </row>
    <row r="871" spans="1:9" ht="12.75" customHeight="1">
      <c r="A871" s="99"/>
      <c r="B871"/>
      <c r="C871" s="1141"/>
      <c r="D871" s="1221" t="s">
        <v>715</v>
      </c>
      <c r="E871" s="1221"/>
      <c r="F871" s="1221"/>
      <c r="G871" s="805"/>
      <c r="I871" s="1133"/>
    </row>
    <row r="872" spans="1:9" ht="12.75" customHeight="1">
      <c r="A872" s="99"/>
      <c r="B872" s="99"/>
      <c r="C872" s="1141"/>
      <c r="D872" s="1221"/>
      <c r="E872" s="1221"/>
      <c r="F872" s="1221"/>
      <c r="G872" s="805"/>
      <c r="I872" s="1133"/>
    </row>
    <row r="873" spans="1:9" ht="12.75" customHeight="1">
      <c r="A873" s="99"/>
      <c r="B873" s="99"/>
      <c r="C873" s="1141"/>
      <c r="D873" s="1221"/>
      <c r="E873" s="1221"/>
      <c r="F873" s="1221"/>
      <c r="G873" s="805"/>
      <c r="I873" s="1133"/>
    </row>
    <row r="874" spans="1:9" ht="12.75" customHeight="1">
      <c r="A874" s="99"/>
      <c r="B874" s="99"/>
      <c r="C874" s="1141"/>
      <c r="D874" s="1221"/>
      <c r="E874" s="1221"/>
      <c r="F874" s="1221"/>
      <c r="G874" s="805"/>
      <c r="I874" s="1133"/>
    </row>
    <row r="875" spans="1:9" ht="12.75" customHeight="1">
      <c r="A875" s="99"/>
      <c r="B875" s="99"/>
      <c r="C875" s="1141"/>
      <c r="D875" s="1221"/>
      <c r="E875" s="1221"/>
      <c r="F875" s="1221"/>
      <c r="G875" s="805"/>
      <c r="I875" s="1133"/>
    </row>
    <row r="876" spans="1:9" ht="12.75" customHeight="1">
      <c r="A876" s="99"/>
      <c r="B876" s="99"/>
      <c r="C876" s="1141"/>
      <c r="D876" s="1221"/>
      <c r="E876" s="1221"/>
      <c r="F876" s="1221"/>
      <c r="G876" s="805"/>
      <c r="I876" s="1133"/>
    </row>
    <row r="877" spans="1:9" ht="12.75" customHeight="1">
      <c r="A877" s="99"/>
      <c r="B877" s="99"/>
      <c r="C877" s="1141"/>
      <c r="D877" s="68"/>
      <c r="E877" s="805"/>
      <c r="F877" s="805"/>
      <c r="G877" s="805"/>
      <c r="I877" s="1133"/>
    </row>
    <row r="878" spans="1:9" ht="12.75" customHeight="1">
      <c r="A878" s="99"/>
      <c r="B878" s="358" t="s">
        <v>529</v>
      </c>
      <c r="C878" s="1141"/>
      <c r="D878" s="1239" t="s">
        <v>716</v>
      </c>
      <c r="E878" s="1239"/>
      <c r="F878" s="1239"/>
      <c r="G878" s="805"/>
      <c r="I878" s="1133" t="s">
        <v>595</v>
      </c>
    </row>
    <row r="879" spans="1:9" ht="12.75" customHeight="1">
      <c r="A879" s="99"/>
      <c r="B879" s="99"/>
      <c r="C879" s="1141"/>
      <c r="D879" s="1239" t="s">
        <v>717</v>
      </c>
      <c r="E879" s="1239"/>
      <c r="F879" s="1239"/>
      <c r="G879" s="805"/>
      <c r="I879" s="1133"/>
    </row>
    <row r="880" spans="1:9" ht="12.75" customHeight="1">
      <c r="A880" s="99"/>
      <c r="B880" s="99"/>
      <c r="C880" s="1141"/>
      <c r="D880" s="1" t="s">
        <v>725</v>
      </c>
      <c r="E880" s="844" t="s">
        <v>597</v>
      </c>
      <c r="F880" s="846"/>
      <c r="G880" s="805"/>
      <c r="I880" s="1133"/>
    </row>
    <row r="881" spans="1:9" ht="12.75" customHeight="1">
      <c r="A881" s="99"/>
      <c r="B881" s="99"/>
      <c r="C881" s="1141"/>
      <c r="D881" s="68"/>
      <c r="E881" s="805"/>
      <c r="F881" s="805"/>
      <c r="G881" s="805"/>
      <c r="I881" s="1133"/>
    </row>
    <row r="882" spans="1:9" ht="12.75" customHeight="1">
      <c r="A882" s="99"/>
      <c r="B882" s="358" t="s">
        <v>529</v>
      </c>
      <c r="C882" s="1141"/>
      <c r="D882" s="1221" t="s">
        <v>718</v>
      </c>
      <c r="E882" s="1221"/>
      <c r="F882" s="1221"/>
      <c r="G882" s="805"/>
      <c r="I882" s="1133" t="s">
        <v>599</v>
      </c>
    </row>
    <row r="883" spans="1:9" ht="12.75" customHeight="1">
      <c r="A883" s="99"/>
      <c r="B883" s="99"/>
      <c r="C883" s="1141"/>
      <c r="D883" s="1221"/>
      <c r="E883" s="1221"/>
      <c r="F883" s="1221"/>
      <c r="G883" s="805"/>
      <c r="I883" s="1133"/>
    </row>
    <row r="884" spans="1:9" ht="12.75" customHeight="1">
      <c r="A884" s="99"/>
      <c r="B884" s="99"/>
      <c r="C884" s="1141"/>
      <c r="D884" s="1221"/>
      <c r="E884" s="1221"/>
      <c r="F884" s="1221"/>
      <c r="G884" s="805"/>
      <c r="I884" s="1133"/>
    </row>
    <row r="885" spans="1:9" ht="12.75" customHeight="1">
      <c r="A885" s="99"/>
      <c r="B885" s="99"/>
      <c r="C885" s="1141"/>
      <c r="D885" s="1221"/>
      <c r="E885" s="1221"/>
      <c r="F885" s="1221"/>
      <c r="G885" s="805"/>
      <c r="I885" s="1133"/>
    </row>
    <row r="886" spans="1:9" ht="12.75" customHeight="1">
      <c r="A886" s="68"/>
      <c r="B886" s="68"/>
      <c r="C886" s="806"/>
      <c r="D886" s="805"/>
      <c r="E886" s="805"/>
      <c r="F886" s="805"/>
      <c r="G886" s="805"/>
      <c r="I886" s="1133"/>
    </row>
    <row r="887" spans="1:9" ht="12.75" customHeight="1">
      <c r="A887" s="1247" t="s">
        <v>726</v>
      </c>
      <c r="B887" s="1247"/>
      <c r="C887" s="1247"/>
      <c r="D887" s="1247"/>
      <c r="E887" s="1247"/>
      <c r="F887" s="1247"/>
      <c r="G887" s="1247"/>
      <c r="H887" s="836"/>
      <c r="I887" s="1021"/>
    </row>
    <row r="888" spans="1:9" ht="12.75" customHeight="1">
      <c r="A888" s="1109"/>
      <c r="B888" s="1109"/>
      <c r="C888" s="1109"/>
      <c r="D888" s="1109"/>
      <c r="E888" s="1109"/>
      <c r="F888" s="1109"/>
      <c r="G888" s="1109"/>
      <c r="I888" s="1133"/>
    </row>
    <row r="889" spans="1:9" ht="12.75" customHeight="1">
      <c r="A889" s="1109"/>
      <c r="B889" s="1109"/>
      <c r="C889" s="1109"/>
      <c r="D889" s="1253" t="s">
        <v>727</v>
      </c>
      <c r="E889" s="1253"/>
      <c r="F889" s="1253"/>
      <c r="G889" s="1109"/>
      <c r="I889" s="1133"/>
    </row>
    <row r="890" spans="1:9" ht="12.75" customHeight="1">
      <c r="A890" s="1109"/>
      <c r="B890" s="1109"/>
      <c r="C890" s="1109"/>
      <c r="D890" s="1119"/>
      <c r="E890" s="1119"/>
      <c r="F890" s="1119"/>
      <c r="G890" s="1109"/>
      <c r="I890" s="1133"/>
    </row>
    <row r="891" spans="1:9" ht="12.75" customHeight="1">
      <c r="A891" s="1109"/>
      <c r="B891" s="358" t="s">
        <v>522</v>
      </c>
      <c r="C891" s="1109"/>
      <c r="D891" s="1127" t="s">
        <v>728</v>
      </c>
      <c r="E891" s="1119"/>
      <c r="F891" s="1119"/>
      <c r="G891" s="1109"/>
      <c r="I891" s="1133" t="s">
        <v>729</v>
      </c>
    </row>
    <row r="892" spans="1:9" ht="12.75" customHeight="1">
      <c r="A892" s="1109"/>
      <c r="B892" s="1109"/>
      <c r="C892" s="1109"/>
      <c r="D892" s="1119"/>
      <c r="E892" s="1119"/>
      <c r="F892" s="1119"/>
      <c r="G892" s="1109"/>
      <c r="I892" s="1133"/>
    </row>
    <row r="893" spans="1:9" ht="12.75" customHeight="1">
      <c r="A893" s="1141"/>
      <c r="B893" s="1141"/>
      <c r="C893" s="806"/>
      <c r="D893" s="1253" t="s">
        <v>730</v>
      </c>
      <c r="E893" s="1253"/>
      <c r="F893" s="1253"/>
      <c r="G893" s="805"/>
      <c r="I893" s="1133"/>
    </row>
    <row r="894" spans="1:9" ht="12.75" customHeight="1">
      <c r="A894" s="1116"/>
      <c r="B894" s="1116"/>
      <c r="C894" s="1116"/>
      <c r="D894" s="1241" t="s">
        <v>731</v>
      </c>
      <c r="E894" s="1241"/>
      <c r="F894" s="1241"/>
      <c r="G894" s="805"/>
      <c r="I894" s="1133"/>
    </row>
    <row r="895" spans="1:9" ht="12.75" customHeight="1">
      <c r="A895" s="806"/>
      <c r="B895" s="806"/>
      <c r="C895" s="806"/>
      <c r="D895" s="1"/>
      <c r="E895" s="805"/>
      <c r="F895" s="805"/>
      <c r="G895" s="805"/>
      <c r="I895" s="1133"/>
    </row>
    <row r="896" spans="1:9" ht="12.75" customHeight="1">
      <c r="A896" s="99"/>
      <c r="B896" s="358" t="s">
        <v>522</v>
      </c>
      <c r="C896" s="1141"/>
      <c r="D896" s="1221" t="s">
        <v>732</v>
      </c>
      <c r="E896" s="1221"/>
      <c r="F896" s="1221"/>
      <c r="G896" s="2"/>
      <c r="I896" s="1133" t="s">
        <v>733</v>
      </c>
    </row>
    <row r="897" spans="1:9" ht="12.75" customHeight="1">
      <c r="A897" s="1141"/>
      <c r="B897" s="1141"/>
      <c r="C897" s="1141"/>
      <c r="D897" s="1221"/>
      <c r="E897" s="1221"/>
      <c r="F897" s="1221"/>
      <c r="G897" s="2"/>
      <c r="I897" s="1133"/>
    </row>
    <row r="898" spans="1:9" ht="12.75" customHeight="1">
      <c r="A898" s="1116"/>
      <c r="B898" s="1116"/>
      <c r="C898" s="1116"/>
      <c r="D898" s="1221" t="s">
        <v>734</v>
      </c>
      <c r="E898" s="1221"/>
      <c r="F898" s="1221"/>
      <c r="G898" s="805"/>
      <c r="I898" s="1133"/>
    </row>
    <row r="899" spans="1:9" ht="12.75" customHeight="1">
      <c r="A899" s="1116"/>
      <c r="B899" s="1116"/>
      <c r="C899" s="1116"/>
      <c r="D899" s="1221"/>
      <c r="E899" s="1221"/>
      <c r="F899" s="1221"/>
      <c r="G899" s="805"/>
      <c r="I899" s="1133"/>
    </row>
    <row r="900" spans="1:9" ht="12.75" customHeight="1">
      <c r="A900" s="1116"/>
      <c r="B900" s="1116"/>
      <c r="C900" s="1116"/>
      <c r="D900" s="2"/>
      <c r="E900" s="2"/>
      <c r="F900" s="805"/>
      <c r="G900" s="805"/>
      <c r="I900" s="1133"/>
    </row>
    <row r="901" spans="1:9" ht="12.75" customHeight="1">
      <c r="A901" s="99"/>
      <c r="B901" s="358" t="s">
        <v>522</v>
      </c>
      <c r="C901" s="98"/>
      <c r="D901" s="1225" t="s">
        <v>735</v>
      </c>
      <c r="E901" s="1225"/>
      <c r="F901" s="1225"/>
      <c r="G901" s="805"/>
      <c r="I901" s="1133" t="s">
        <v>736</v>
      </c>
    </row>
    <row r="902" spans="1:9" ht="12.75" customHeight="1">
      <c r="A902" s="99"/>
      <c r="B902" s="99"/>
      <c r="C902" s="98"/>
      <c r="D902" s="1225"/>
      <c r="E902" s="1225"/>
      <c r="F902" s="1225"/>
      <c r="G902" s="805"/>
      <c r="I902" s="1133"/>
    </row>
    <row r="903" spans="1:9" ht="12.75" customHeight="1">
      <c r="A903" s="99"/>
      <c r="B903" s="99"/>
      <c r="C903" s="98"/>
      <c r="D903" s="1225"/>
      <c r="E903" s="1225"/>
      <c r="F903" s="1225"/>
      <c r="G903" s="805"/>
      <c r="I903" s="1133"/>
    </row>
    <row r="904" spans="1:9" ht="12.75" customHeight="1">
      <c r="A904" s="99"/>
      <c r="B904" s="99"/>
      <c r="C904" s="98"/>
      <c r="D904" s="1225"/>
      <c r="E904" s="1225"/>
      <c r="F904" s="1225"/>
      <c r="G904" s="805"/>
      <c r="I904" s="1133"/>
    </row>
    <row r="905" spans="1:9" ht="12.75" customHeight="1">
      <c r="A905" s="99"/>
      <c r="B905" s="99"/>
      <c r="C905" s="98"/>
      <c r="D905" s="1225"/>
      <c r="E905" s="1225"/>
      <c r="F905" s="1225"/>
      <c r="G905" s="805"/>
      <c r="I905" s="1133"/>
    </row>
    <row r="906" spans="1:9" ht="12.75" customHeight="1">
      <c r="A906" s="98"/>
      <c r="B906" s="98"/>
      <c r="C906" s="98"/>
      <c r="D906" s="1225"/>
      <c r="E906" s="1225"/>
      <c r="F906" s="1225"/>
      <c r="G906" s="805"/>
      <c r="I906" s="1133"/>
    </row>
    <row r="907" spans="1:9" ht="12.75" customHeight="1">
      <c r="A907" s="98"/>
      <c r="B907" s="98"/>
      <c r="C907" s="98"/>
      <c r="D907" s="1225"/>
      <c r="E907" s="1225"/>
      <c r="F907" s="1225"/>
      <c r="G907" s="805"/>
      <c r="I907" s="1133"/>
    </row>
    <row r="908" spans="1:9" ht="12.75" customHeight="1">
      <c r="A908" s="98"/>
      <c r="B908" s="98"/>
      <c r="C908" s="98"/>
      <c r="D908" s="1225"/>
      <c r="E908" s="1225"/>
      <c r="F908" s="1225"/>
      <c r="G908" s="805"/>
      <c r="I908" s="1133"/>
    </row>
    <row r="909" spans="1:9" ht="12.75" customHeight="1">
      <c r="A909" s="98"/>
      <c r="B909" s="98"/>
      <c r="C909" s="98"/>
      <c r="D909" s="1105"/>
      <c r="E909" s="1105"/>
      <c r="F909" s="1105"/>
      <c r="G909" s="805"/>
      <c r="I909" s="1133"/>
    </row>
    <row r="910" spans="1:9" ht="12.75" customHeight="1">
      <c r="A910" s="806"/>
      <c r="B910" s="358" t="s">
        <v>529</v>
      </c>
      <c r="C910" s="806"/>
      <c r="D910" s="1221" t="s">
        <v>737</v>
      </c>
      <c r="E910" s="1221"/>
      <c r="F910" s="1221"/>
      <c r="G910" s="805"/>
      <c r="I910" s="1133"/>
    </row>
    <row r="911" spans="1:9" ht="12.75" customHeight="1">
      <c r="A911" s="806"/>
      <c r="B911" s="806"/>
      <c r="C911" s="806"/>
      <c r="D911" s="1221"/>
      <c r="E911" s="1221"/>
      <c r="F911" s="1221"/>
      <c r="G911" s="805"/>
      <c r="I911" s="1133"/>
    </row>
    <row r="912" spans="1:9" ht="12.75" customHeight="1">
      <c r="A912" s="806"/>
      <c r="B912" s="806"/>
      <c r="C912" s="806"/>
      <c r="D912" s="805"/>
      <c r="E912" s="805"/>
      <c r="F912" s="805"/>
      <c r="G912" s="805"/>
      <c r="I912" s="1133"/>
    </row>
    <row r="913" spans="1:9" ht="12.75" customHeight="1">
      <c r="A913" s="806"/>
      <c r="B913" s="358" t="s">
        <v>529</v>
      </c>
      <c r="C913" s="806"/>
      <c r="D913" s="1260" t="s">
        <v>738</v>
      </c>
      <c r="E913" s="1260"/>
      <c r="F913" s="1260"/>
      <c r="G913" s="805"/>
      <c r="I913" s="1133"/>
    </row>
    <row r="914" spans="1:9" ht="12.75" customHeight="1">
      <c r="A914" s="806"/>
      <c r="B914" s="806"/>
      <c r="C914" s="806"/>
      <c r="D914" s="1260"/>
      <c r="E914" s="1260"/>
      <c r="F914" s="1260"/>
      <c r="G914" s="805"/>
      <c r="I914" s="1133"/>
    </row>
    <row r="915" spans="1:9" ht="12.75" customHeight="1">
      <c r="A915" s="806"/>
      <c r="B915" s="806"/>
      <c r="C915" s="806"/>
      <c r="D915" s="1260"/>
      <c r="E915" s="1260"/>
      <c r="F915" s="1260"/>
      <c r="G915" s="805"/>
      <c r="I915" s="1133"/>
    </row>
    <row r="916" spans="1:9" ht="12.75" customHeight="1">
      <c r="A916" s="806"/>
      <c r="B916" s="806"/>
      <c r="C916" s="806"/>
      <c r="D916" s="1260"/>
      <c r="E916" s="1260"/>
      <c r="F916" s="1260"/>
      <c r="G916" s="805"/>
      <c r="I916" s="1133"/>
    </row>
    <row r="917" spans="1:9" ht="12.75" customHeight="1">
      <c r="A917" s="806"/>
      <c r="B917" s="806"/>
      <c r="C917" s="806"/>
      <c r="D917" s="68"/>
      <c r="E917" s="805"/>
      <c r="F917" s="805"/>
      <c r="G917" s="805"/>
      <c r="I917" s="1133"/>
    </row>
    <row r="918" spans="1:9" ht="12.75" customHeight="1">
      <c r="A918" s="806"/>
      <c r="B918" s="358" t="s">
        <v>529</v>
      </c>
      <c r="C918" s="806"/>
      <c r="D918" s="1241" t="s">
        <v>739</v>
      </c>
      <c r="E918" s="1241"/>
      <c r="F918" s="1241"/>
      <c r="G918" s="805"/>
      <c r="I918" s="1133"/>
    </row>
    <row r="919" spans="1:9" ht="12.75" customHeight="1">
      <c r="A919" s="806"/>
      <c r="B919" s="806"/>
      <c r="C919" s="806"/>
      <c r="D919" s="68"/>
      <c r="E919" s="805"/>
      <c r="F919" s="805"/>
      <c r="G919" s="805"/>
      <c r="I919" s="1133"/>
    </row>
    <row r="920" spans="1:9" ht="12.75" customHeight="1">
      <c r="A920" s="806"/>
      <c r="B920" s="358" t="s">
        <v>529</v>
      </c>
      <c r="C920" s="806"/>
      <c r="D920" s="1241" t="s">
        <v>740</v>
      </c>
      <c r="E920" s="1241"/>
      <c r="F920" s="1241"/>
      <c r="G920" s="805"/>
      <c r="I920" s="1133"/>
    </row>
    <row r="921" spans="1:9" ht="12.75" customHeight="1">
      <c r="A921" s="98"/>
      <c r="B921" s="98"/>
      <c r="C921" s="98"/>
      <c r="D921" s="1"/>
      <c r="E921" s="2"/>
      <c r="F921" s="805"/>
      <c r="G921" s="805"/>
      <c r="I921" s="1133"/>
    </row>
    <row r="922" spans="1:9" ht="12.75" customHeight="1">
      <c r="A922" s="812"/>
      <c r="B922" s="358" t="s">
        <v>522</v>
      </c>
      <c r="C922" s="813"/>
      <c r="D922" s="1225" t="s">
        <v>741</v>
      </c>
      <c r="E922" s="1225"/>
      <c r="F922" s="1225"/>
      <c r="G922" s="814"/>
      <c r="I922" s="1133" t="s">
        <v>742</v>
      </c>
    </row>
    <row r="923" spans="1:9" ht="12.75" customHeight="1">
      <c r="A923" s="812"/>
      <c r="B923" s="812"/>
      <c r="C923" s="813"/>
      <c r="D923" s="1225"/>
      <c r="E923" s="1225"/>
      <c r="F923" s="1225"/>
      <c r="G923" s="814"/>
      <c r="I923" s="1133"/>
    </row>
    <row r="924" spans="1:9" ht="12.75" customHeight="1">
      <c r="A924" s="812"/>
      <c r="B924" s="812"/>
      <c r="C924" s="813"/>
      <c r="D924" s="1225"/>
      <c r="E924" s="1225"/>
      <c r="F924" s="1225"/>
      <c r="G924" s="814"/>
      <c r="I924" s="1133"/>
    </row>
    <row r="925" spans="1:9" ht="12.75" customHeight="1">
      <c r="A925" s="812"/>
      <c r="B925" s="812"/>
      <c r="C925" s="813"/>
      <c r="D925" s="1225"/>
      <c r="E925" s="1225"/>
      <c r="F925" s="1225"/>
      <c r="G925" s="814"/>
      <c r="I925" s="1133"/>
    </row>
    <row r="926" spans="1:9" ht="12.75" customHeight="1">
      <c r="A926" s="812"/>
      <c r="B926" s="812"/>
      <c r="C926" s="813"/>
      <c r="D926" s="1225"/>
      <c r="E926" s="1225"/>
      <c r="F926" s="1225"/>
      <c r="G926" s="814"/>
      <c r="I926" s="1133"/>
    </row>
    <row r="927" spans="1:9" ht="12.75" customHeight="1">
      <c r="A927" s="812"/>
      <c r="B927" s="812"/>
      <c r="C927" s="813"/>
      <c r="D927" s="1225"/>
      <c r="E927" s="1225"/>
      <c r="F927" s="1225"/>
      <c r="G927" s="814"/>
      <c r="I927" s="1133"/>
    </row>
    <row r="928" spans="1:9" ht="12.75" customHeight="1">
      <c r="A928" s="812"/>
      <c r="B928" s="812"/>
      <c r="C928" s="813"/>
      <c r="D928" s="1225"/>
      <c r="E928" s="1225"/>
      <c r="F928" s="1225"/>
      <c r="G928" s="814"/>
      <c r="I928" s="1133"/>
    </row>
    <row r="929" spans="1:9" ht="12.75" customHeight="1">
      <c r="A929" s="812"/>
      <c r="B929" s="812"/>
      <c r="C929" s="813"/>
      <c r="D929" s="1225"/>
      <c r="E929" s="1225"/>
      <c r="F929" s="1225"/>
      <c r="G929" s="814"/>
      <c r="I929" s="1133"/>
    </row>
    <row r="930" spans="1:9" ht="12.75" customHeight="1">
      <c r="A930" s="812"/>
      <c r="B930" s="812"/>
      <c r="C930" s="813"/>
      <c r="D930" s="1225"/>
      <c r="E930" s="1225"/>
      <c r="F930" s="1225"/>
      <c r="G930" s="814"/>
      <c r="I930" s="1133"/>
    </row>
    <row r="931" spans="1:9" ht="12.75" customHeight="1">
      <c r="A931" s="98"/>
      <c r="B931" s="98"/>
      <c r="C931" s="98"/>
      <c r="D931" s="1"/>
      <c r="E931" s="2"/>
      <c r="F931" s="805"/>
      <c r="G931" s="805"/>
      <c r="I931" s="1133"/>
    </row>
    <row r="932" spans="1:9" ht="12.75" customHeight="1">
      <c r="A932" s="99"/>
      <c r="B932" s="358" t="s">
        <v>522</v>
      </c>
      <c r="C932" s="98"/>
      <c r="D932" s="1300" t="s">
        <v>743</v>
      </c>
      <c r="E932" s="1300"/>
      <c r="F932" s="1300"/>
      <c r="G932" s="805"/>
      <c r="I932" s="1133" t="s">
        <v>742</v>
      </c>
    </row>
    <row r="933" spans="1:9" ht="12.75" customHeight="1">
      <c r="A933" s="99"/>
      <c r="B933" s="99"/>
      <c r="C933" s="98"/>
      <c r="D933" s="1300"/>
      <c r="E933" s="1300"/>
      <c r="F933" s="1300"/>
      <c r="G933" s="805"/>
      <c r="I933" s="1133"/>
    </row>
    <row r="934" spans="1:9" ht="12.75" customHeight="1">
      <c r="A934" s="99"/>
      <c r="B934" s="99"/>
      <c r="C934" s="98"/>
      <c r="D934" s="1300"/>
      <c r="E934" s="1300"/>
      <c r="F934" s="1300"/>
      <c r="G934" s="805"/>
      <c r="I934" s="1133"/>
    </row>
    <row r="935" spans="1:9" ht="12.75" customHeight="1">
      <c r="A935" s="99"/>
      <c r="B935" s="99"/>
      <c r="C935" s="98"/>
      <c r="D935" s="1300"/>
      <c r="E935" s="1300"/>
      <c r="F935" s="1300"/>
      <c r="G935" s="805"/>
      <c r="I935" s="1133"/>
    </row>
    <row r="936" spans="1:9" ht="12.75" customHeight="1">
      <c r="A936" s="99"/>
      <c r="B936" s="99"/>
      <c r="C936" s="98"/>
      <c r="D936" s="1300"/>
      <c r="E936" s="1300"/>
      <c r="F936" s="1300"/>
      <c r="G936" s="805"/>
      <c r="I936" s="1133"/>
    </row>
    <row r="937" spans="1:9" ht="12.75" customHeight="1">
      <c r="A937" s="99"/>
      <c r="B937" s="99"/>
      <c r="C937" s="98"/>
      <c r="D937" s="1300"/>
      <c r="E937" s="1300"/>
      <c r="F937" s="1300"/>
      <c r="G937" s="805"/>
      <c r="I937" s="1133"/>
    </row>
    <row r="938" spans="1:9" ht="12.75" customHeight="1">
      <c r="A938" s="99"/>
      <c r="B938" s="99"/>
      <c r="C938" s="98"/>
      <c r="D938" s="1300"/>
      <c r="E938" s="1300"/>
      <c r="F938" s="1300"/>
      <c r="G938" s="805"/>
      <c r="I938" s="1133"/>
    </row>
    <row r="939" spans="1:9" ht="12.75" customHeight="1">
      <c r="A939" s="99"/>
      <c r="B939" s="99"/>
      <c r="C939" s="98"/>
      <c r="D939" s="1130"/>
      <c r="E939" s="1130"/>
      <c r="F939" s="1130"/>
      <c r="G939" s="805"/>
      <c r="I939" s="1133"/>
    </row>
    <row r="940" spans="1:9" ht="12.75" customHeight="1">
      <c r="A940" s="99"/>
      <c r="B940" s="358" t="s">
        <v>529</v>
      </c>
      <c r="C940" s="98"/>
      <c r="D940" s="1224" t="s">
        <v>744</v>
      </c>
      <c r="E940" s="1224"/>
      <c r="F940" s="1224"/>
      <c r="G940" s="805"/>
      <c r="I940" s="1133"/>
    </row>
    <row r="941" spans="1:9" ht="12.75" customHeight="1">
      <c r="A941" s="99"/>
      <c r="B941" s="99"/>
      <c r="C941" s="98"/>
      <c r="D941" s="1224"/>
      <c r="E941" s="1224"/>
      <c r="F941" s="1224"/>
      <c r="G941" s="805"/>
      <c r="I941" s="1133"/>
    </row>
    <row r="942" spans="1:9" ht="12.75" customHeight="1">
      <c r="A942" s="99"/>
      <c r="B942" s="99"/>
      <c r="C942" s="98"/>
      <c r="D942" s="1224"/>
      <c r="E942" s="1224"/>
      <c r="F942" s="1224"/>
      <c r="G942" s="805"/>
      <c r="I942" s="1133"/>
    </row>
    <row r="943" spans="1:9" ht="12.75" customHeight="1">
      <c r="A943" s="99"/>
      <c r="B943" s="99"/>
      <c r="C943" s="98"/>
      <c r="D943" s="1224"/>
      <c r="E943" s="1224"/>
      <c r="F943" s="1224"/>
      <c r="G943" s="805"/>
      <c r="I943" s="1133"/>
    </row>
    <row r="944" spans="1:9" ht="12.75" customHeight="1">
      <c r="A944" s="99"/>
      <c r="B944" s="99"/>
      <c r="C944" s="98"/>
      <c r="D944" s="1224"/>
      <c r="E944" s="1224"/>
      <c r="F944" s="1224"/>
      <c r="G944" s="805"/>
      <c r="I944" s="1133"/>
    </row>
    <row r="945" spans="1:9" ht="12.75" customHeight="1">
      <c r="A945" s="99"/>
      <c r="B945" s="99"/>
      <c r="C945" s="98"/>
      <c r="D945" s="1224"/>
      <c r="E945" s="1224"/>
      <c r="F945" s="1224"/>
      <c r="G945" s="805"/>
      <c r="I945" s="1133"/>
    </row>
    <row r="946" spans="1:9" ht="12.75" customHeight="1">
      <c r="A946" s="99"/>
      <c r="B946" s="99"/>
      <c r="C946" s="98"/>
      <c r="D946" s="1130"/>
      <c r="E946" s="1130"/>
      <c r="F946" s="1130"/>
      <c r="G946" s="805"/>
      <c r="I946" s="1133"/>
    </row>
    <row r="947" spans="1:9" ht="12.75" customHeight="1">
      <c r="A947" s="806"/>
      <c r="B947" s="358" t="s">
        <v>529</v>
      </c>
      <c r="C947" s="806"/>
      <c r="D947" s="1260" t="s">
        <v>745</v>
      </c>
      <c r="E947" s="1260"/>
      <c r="F947" s="1260"/>
      <c r="G947" s="805"/>
      <c r="I947" s="1133"/>
    </row>
    <row r="948" spans="1:9" ht="12.75" customHeight="1">
      <c r="A948" s="806"/>
      <c r="B948" s="806"/>
      <c r="C948" s="806"/>
      <c r="D948" s="1260"/>
      <c r="E948" s="1260"/>
      <c r="F948" s="1260"/>
      <c r="G948" s="805"/>
      <c r="I948" s="1133"/>
    </row>
    <row r="949" spans="1:9" ht="12.75" customHeight="1">
      <c r="A949" s="806"/>
      <c r="B949" s="806"/>
      <c r="C949" s="806"/>
      <c r="D949" s="1260"/>
      <c r="E949" s="1260"/>
      <c r="F949" s="1260"/>
      <c r="G949" s="805"/>
      <c r="I949" s="1133"/>
    </row>
    <row r="950" spans="1:9" ht="12.75" customHeight="1">
      <c r="A950" s="99"/>
      <c r="B950" s="99"/>
      <c r="C950" s="98"/>
      <c r="D950" s="1130"/>
      <c r="E950" s="1130"/>
      <c r="F950" s="1130"/>
      <c r="G950" s="805"/>
      <c r="I950" s="1133"/>
    </row>
    <row r="951" spans="1:9" ht="12.75" customHeight="1">
      <c r="A951" s="99"/>
      <c r="B951" s="99"/>
      <c r="C951" s="98"/>
      <c r="D951" s="688"/>
      <c r="E951" s="2"/>
      <c r="F951" s="805"/>
      <c r="G951" s="805"/>
      <c r="I951" s="1133"/>
    </row>
    <row r="952" spans="1:9" ht="12.75" customHeight="1">
      <c r="A952" s="99"/>
      <c r="B952" s="358" t="s">
        <v>529</v>
      </c>
      <c r="C952" s="98"/>
      <c r="D952" s="1225" t="s">
        <v>746</v>
      </c>
      <c r="E952" s="1225"/>
      <c r="F952" s="1225"/>
      <c r="G952" s="805"/>
      <c r="I952" s="1133" t="s">
        <v>742</v>
      </c>
    </row>
    <row r="953" spans="1:9" ht="12.75" customHeight="1">
      <c r="A953" s="99"/>
      <c r="B953" s="99"/>
      <c r="C953" s="98"/>
      <c r="D953" s="1225"/>
      <c r="E953" s="1225"/>
      <c r="F953" s="1225"/>
      <c r="G953" s="805"/>
      <c r="I953" s="1133"/>
    </row>
    <row r="954" spans="1:9" ht="12.75" customHeight="1">
      <c r="A954" s="99"/>
      <c r="B954" s="99"/>
      <c r="C954" s="98"/>
      <c r="D954" s="1225"/>
      <c r="E954" s="1225"/>
      <c r="F954" s="1225"/>
      <c r="G954" s="805"/>
      <c r="I954" s="1133"/>
    </row>
    <row r="955" spans="1:9" ht="12.75" customHeight="1">
      <c r="A955" s="99"/>
      <c r="B955" s="99"/>
      <c r="C955" s="98"/>
      <c r="D955" s="1225"/>
      <c r="E955" s="1225"/>
      <c r="F955" s="1225"/>
      <c r="G955" s="805"/>
      <c r="I955" s="1133"/>
    </row>
    <row r="956" spans="1:9" ht="12.75" customHeight="1">
      <c r="A956" s="806"/>
      <c r="B956" s="806"/>
      <c r="C956" s="806"/>
      <c r="D956" s="1102"/>
      <c r="E956" s="1102"/>
      <c r="F956" s="1102"/>
      <c r="G956" s="1102"/>
      <c r="I956" s="1133"/>
    </row>
    <row r="957" spans="1:9" ht="12.75" customHeight="1">
      <c r="A957" s="1141"/>
      <c r="B957" s="1141"/>
      <c r="C957" s="1141"/>
      <c r="D957" s="1240" t="s">
        <v>747</v>
      </c>
      <c r="E957" s="1240"/>
      <c r="F957" s="1240"/>
      <c r="G957" s="2"/>
      <c r="I957" s="1133"/>
    </row>
    <row r="958" spans="1:9" ht="12.75" customHeight="1">
      <c r="A958" s="99"/>
      <c r="B958" s="358" t="s">
        <v>529</v>
      </c>
      <c r="C958" s="1141"/>
      <c r="D958" s="1241" t="s">
        <v>748</v>
      </c>
      <c r="E958" s="1241"/>
      <c r="F958" s="1241"/>
      <c r="G958" s="2"/>
      <c r="I958" s="1133" t="s">
        <v>742</v>
      </c>
    </row>
    <row r="959" spans="1:9" ht="12.75" customHeight="1">
      <c r="A959" s="1141"/>
      <c r="B959" s="1141"/>
      <c r="C959" s="1141"/>
      <c r="D959" s="2"/>
      <c r="E959" s="2"/>
      <c r="F959" s="2"/>
      <c r="G959" s="2"/>
      <c r="I959" s="1133"/>
    </row>
    <row r="960" spans="1:9" ht="12.75" customHeight="1">
      <c r="A960" s="1141"/>
      <c r="B960" s="1141"/>
      <c r="C960" s="1141"/>
      <c r="D960" s="1240" t="s">
        <v>749</v>
      </c>
      <c r="E960" s="1240"/>
      <c r="F960" s="1240"/>
      <c r="G960"/>
      <c r="I960" s="1133"/>
    </row>
    <row r="961" spans="1:9" ht="12.75" customHeight="1">
      <c r="A961" s="99"/>
      <c r="B961" s="358" t="s">
        <v>522</v>
      </c>
      <c r="C961" s="1141"/>
      <c r="D961" s="1221" t="s">
        <v>750</v>
      </c>
      <c r="E961" s="1221"/>
      <c r="F961" s="1221"/>
      <c r="G961"/>
      <c r="I961" s="1133" t="s">
        <v>742</v>
      </c>
    </row>
    <row r="962" spans="1:9" ht="12.75" customHeight="1">
      <c r="A962" s="99"/>
      <c r="B962" s="99"/>
      <c r="C962" s="1141"/>
      <c r="D962" s="1221"/>
      <c r="E962" s="1221"/>
      <c r="F962" s="1221"/>
      <c r="G962"/>
      <c r="I962" s="1133"/>
    </row>
    <row r="963" spans="1:9" ht="12.75" customHeight="1">
      <c r="A963" s="99"/>
      <c r="B963" s="99"/>
      <c r="C963" s="1141"/>
      <c r="D963" s="1221"/>
      <c r="E963" s="1221"/>
      <c r="F963" s="1221"/>
      <c r="G963"/>
      <c r="I963" s="1133"/>
    </row>
    <row r="964" spans="1:9" ht="12.75" customHeight="1">
      <c r="A964" s="99"/>
      <c r="B964" s="99"/>
      <c r="C964" s="1141"/>
      <c r="D964" s="1221"/>
      <c r="E964" s="1221"/>
      <c r="F964" s="1221"/>
      <c r="G964"/>
      <c r="I964" s="1133"/>
    </row>
    <row r="965" spans="1:9" ht="12.75" customHeight="1">
      <c r="A965" s="99"/>
      <c r="B965" s="99"/>
      <c r="C965" s="1141"/>
      <c r="D965" s="1221"/>
      <c r="E965" s="1221"/>
      <c r="F965" s="1221"/>
      <c r="G965"/>
      <c r="I965" s="1133"/>
    </row>
    <row r="966" spans="1:9" ht="12.75" customHeight="1">
      <c r="A966" s="99"/>
      <c r="B966" s="99"/>
      <c r="C966" s="1141"/>
      <c r="D966" s="1221"/>
      <c r="E966" s="1221"/>
      <c r="F966" s="1221"/>
      <c r="G966"/>
      <c r="I966" s="1133"/>
    </row>
    <row r="967" spans="1:9" ht="12.75" customHeight="1">
      <c r="A967" s="99"/>
      <c r="B967" s="99"/>
      <c r="C967" s="1141"/>
      <c r="D967" s="1221"/>
      <c r="E967" s="1221"/>
      <c r="F967" s="1221"/>
      <c r="G967"/>
      <c r="I967" s="1133"/>
    </row>
    <row r="968" spans="1:9" ht="12.75" customHeight="1">
      <c r="A968" s="99"/>
      <c r="B968" s="99"/>
      <c r="C968" s="1141"/>
      <c r="D968" s="1221"/>
      <c r="E968" s="1221"/>
      <c r="F968" s="1221"/>
      <c r="G968"/>
      <c r="I968" s="1133"/>
    </row>
    <row r="969" spans="1:9" ht="12.75" customHeight="1">
      <c r="A969" s="99"/>
      <c r="B969" s="99"/>
      <c r="C969" s="1141"/>
      <c r="D969" s="1221"/>
      <c r="E969" s="1221"/>
      <c r="F969" s="1221"/>
      <c r="G969"/>
      <c r="I969" s="1133"/>
    </row>
    <row r="970" spans="1:9" ht="12.75" customHeight="1">
      <c r="A970" s="99"/>
      <c r="B970" s="99"/>
      <c r="C970" s="1141"/>
      <c r="D970" s="1221"/>
      <c r="E970" s="1221"/>
      <c r="F970" s="1221"/>
      <c r="G970"/>
      <c r="I970" s="1133"/>
    </row>
    <row r="971" spans="1:9" ht="12.75" customHeight="1">
      <c r="A971" s="99"/>
      <c r="B971" s="99"/>
      <c r="C971" s="1141"/>
      <c r="D971" s="1221"/>
      <c r="E971" s="1221"/>
      <c r="F971" s="1221"/>
      <c r="G971"/>
      <c r="I971" s="1133"/>
    </row>
    <row r="972" spans="1:9" ht="12.75" customHeight="1">
      <c r="A972" s="99"/>
      <c r="B972" s="99"/>
      <c r="C972" s="1141"/>
      <c r="D972" s="1221"/>
      <c r="E972" s="1221"/>
      <c r="F972" s="1221"/>
      <c r="G972"/>
      <c r="I972" s="1133"/>
    </row>
    <row r="973" spans="1:9" ht="12.75" customHeight="1">
      <c r="A973" s="99"/>
      <c r="B973" s="99"/>
      <c r="C973" s="1141"/>
      <c r="D973" s="1221"/>
      <c r="E973" s="1221"/>
      <c r="F973" s="1221"/>
      <c r="G973"/>
      <c r="I973" s="1133"/>
    </row>
    <row r="974" spans="1:9" ht="12.75" customHeight="1">
      <c r="A974" s="99"/>
      <c r="B974" s="99"/>
      <c r="C974" s="1141"/>
      <c r="D974" s="1221"/>
      <c r="E974" s="1221"/>
      <c r="F974" s="1221"/>
      <c r="G974"/>
      <c r="I974" s="1133"/>
    </row>
    <row r="975" spans="1:9" ht="12.75" customHeight="1">
      <c r="A975" s="99"/>
      <c r="B975" s="99"/>
      <c r="C975" s="1141"/>
      <c r="D975" s="1221"/>
      <c r="E975" s="1221"/>
      <c r="F975" s="1221"/>
      <c r="G975" s="2"/>
      <c r="I975" s="1133"/>
    </row>
    <row r="976" spans="1:9" ht="12.75" customHeight="1">
      <c r="A976" s="1141"/>
      <c r="B976" s="1141"/>
      <c r="C976" s="1141"/>
      <c r="D976" s="2"/>
      <c r="E976" s="2"/>
      <c r="F976" s="2"/>
      <c r="G976" s="2"/>
      <c r="I976" s="1133"/>
    </row>
    <row r="977" spans="1:9" ht="12.75" customHeight="1">
      <c r="A977" s="1247" t="s">
        <v>751</v>
      </c>
      <c r="B977" s="1247"/>
      <c r="C977" s="1247"/>
      <c r="D977" s="1247"/>
      <c r="E977" s="1247"/>
      <c r="F977" s="1247"/>
      <c r="G977" s="1247"/>
      <c r="H977" s="836"/>
      <c r="I977" s="1021"/>
    </row>
    <row r="978" spans="1:9" ht="12.75" customHeight="1">
      <c r="A978" s="68"/>
      <c r="B978" s="68"/>
      <c r="C978" s="1141"/>
      <c r="D978" s="2"/>
      <c r="E978" s="2"/>
      <c r="F978" s="2"/>
      <c r="G978" s="2"/>
      <c r="I978" s="1133"/>
    </row>
    <row r="979" spans="1:9" ht="12.75" customHeight="1">
      <c r="A979" s="1141"/>
      <c r="B979" s="1141"/>
      <c r="C979" s="806"/>
      <c r="D979" s="1240" t="s">
        <v>752</v>
      </c>
      <c r="E979" s="1240"/>
      <c r="F979" s="1240"/>
      <c r="G979" s="2"/>
      <c r="I979" s="1133"/>
    </row>
    <row r="980" spans="1:9" ht="12.75" customHeight="1">
      <c r="A980" s="1116"/>
      <c r="B980" s="1116"/>
      <c r="C980" s="1116"/>
      <c r="D980" s="1241" t="s">
        <v>753</v>
      </c>
      <c r="E980" s="1241"/>
      <c r="F980" s="1241"/>
      <c r="G980" s="2"/>
      <c r="I980" s="1133"/>
    </row>
    <row r="981" spans="1:9" ht="12.75" customHeight="1">
      <c r="A981" s="1116"/>
      <c r="B981" s="1116"/>
      <c r="C981" s="1116"/>
      <c r="D981" s="2"/>
      <c r="E981" s="2"/>
      <c r="F981" s="805"/>
      <c r="G981"/>
      <c r="I981" s="1133"/>
    </row>
    <row r="982" spans="1:9" ht="12.75" customHeight="1">
      <c r="A982" s="1141"/>
      <c r="B982" s="358" t="s">
        <v>522</v>
      </c>
      <c r="C982" s="1141"/>
      <c r="D982" s="1302" t="s">
        <v>754</v>
      </c>
      <c r="E982" s="1302"/>
      <c r="F982" s="1302"/>
      <c r="G982"/>
      <c r="I982" s="1133" t="s">
        <v>755</v>
      </c>
    </row>
    <row r="983" spans="1:9" ht="12.75" customHeight="1">
      <c r="A983" s="1141"/>
      <c r="B983" s="1141"/>
      <c r="C983" s="1141"/>
      <c r="D983" s="1302"/>
      <c r="E983" s="1302"/>
      <c r="F983" s="1302"/>
      <c r="G983"/>
      <c r="I983" s="1133"/>
    </row>
    <row r="984" spans="1:9" ht="12.75" customHeight="1">
      <c r="A984" s="1141"/>
      <c r="B984" s="1141"/>
      <c r="C984" s="1141"/>
      <c r="D984" s="1129"/>
      <c r="E984" s="844" t="s">
        <v>756</v>
      </c>
      <c r="F984" s="1129"/>
      <c r="G984"/>
      <c r="I984" s="1133"/>
    </row>
    <row r="985" spans="1:9" ht="12.75" customHeight="1">
      <c r="A985" s="1141"/>
      <c r="B985" s="1141"/>
      <c r="C985" s="1141"/>
      <c r="D985" s="1227" t="s">
        <v>757</v>
      </c>
      <c r="E985" s="1227"/>
      <c r="F985" s="1227"/>
      <c r="G985"/>
      <c r="I985" s="1133"/>
    </row>
    <row r="986" spans="1:9" ht="12.75" customHeight="1">
      <c r="A986" s="1141"/>
      <c r="B986" s="1141"/>
      <c r="C986" s="1141"/>
      <c r="D986" s="1227"/>
      <c r="E986" s="1227"/>
      <c r="F986" s="1227"/>
      <c r="G986"/>
      <c r="I986" s="1133"/>
    </row>
    <row r="987" spans="1:9" ht="12.75" customHeight="1">
      <c r="A987" s="98"/>
      <c r="B987" s="98"/>
      <c r="C987" s="98"/>
      <c r="D987" s="1227"/>
      <c r="E987" s="1227"/>
      <c r="F987" s="1227"/>
      <c r="G987"/>
      <c r="I987" s="1133"/>
    </row>
    <row r="988" spans="1:9" ht="12.75" customHeight="1">
      <c r="A988" s="98"/>
      <c r="B988" s="98"/>
      <c r="C988" s="98"/>
      <c r="D988" s="1227"/>
      <c r="E988" s="1227"/>
      <c r="F988" s="1227"/>
      <c r="G988"/>
      <c r="I988" s="1133"/>
    </row>
    <row r="989" spans="1:9" ht="12.75" customHeight="1">
      <c r="A989" s="98"/>
      <c r="B989" s="98"/>
      <c r="C989" s="98"/>
      <c r="D989" s="1105"/>
      <c r="E989" s="1105"/>
      <c r="F989" s="1105"/>
      <c r="G989"/>
      <c r="I989" s="1133"/>
    </row>
    <row r="990" spans="1:9" ht="12.75" customHeight="1">
      <c r="A990" s="98"/>
      <c r="B990" s="358" t="s">
        <v>529</v>
      </c>
      <c r="C990" s="98"/>
      <c r="D990" s="1221" t="s">
        <v>758</v>
      </c>
      <c r="E990" s="1221"/>
      <c r="F990" s="1221"/>
      <c r="G990"/>
      <c r="I990" s="1133"/>
    </row>
    <row r="991" spans="1:9" ht="12.75" customHeight="1">
      <c r="A991" s="98"/>
      <c r="B991" s="98"/>
      <c r="C991" s="98"/>
      <c r="D991" s="1221"/>
      <c r="E991" s="1221"/>
      <c r="F991" s="1221"/>
      <c r="G991"/>
      <c r="I991" s="1133"/>
    </row>
    <row r="992" spans="1:9" ht="12.75" customHeight="1">
      <c r="A992" s="98"/>
      <c r="B992" s="98"/>
      <c r="C992" s="98"/>
      <c r="D992" s="1221"/>
      <c r="E992" s="1221"/>
      <c r="F992" s="1221"/>
      <c r="G992"/>
      <c r="I992" s="1133"/>
    </row>
    <row r="993" spans="1:9" ht="12.75" customHeight="1">
      <c r="A993" s="98"/>
      <c r="B993" s="98"/>
      <c r="C993" s="98"/>
      <c r="D993" s="1221"/>
      <c r="E993" s="1221"/>
      <c r="F993" s="1221"/>
      <c r="G993"/>
      <c r="I993" s="1133"/>
    </row>
    <row r="994" spans="1:9" ht="12.75" customHeight="1">
      <c r="A994" s="98"/>
      <c r="B994" s="98"/>
      <c r="C994" s="98"/>
      <c r="D994" s="1100"/>
      <c r="E994" s="1100"/>
      <c r="F994" s="1100"/>
      <c r="G994"/>
      <c r="I994" s="1133"/>
    </row>
    <row r="995" spans="1:9" ht="12.75" customHeight="1">
      <c r="A995" s="98"/>
      <c r="B995" s="358" t="s">
        <v>529</v>
      </c>
      <c r="C995" s="98"/>
      <c r="D995" s="1221" t="s">
        <v>759</v>
      </c>
      <c r="E995" s="1221"/>
      <c r="F995" s="1221"/>
      <c r="G995"/>
      <c r="I995" s="1133"/>
    </row>
    <row r="996" spans="1:9" ht="12.75" customHeight="1">
      <c r="A996" s="98"/>
      <c r="B996" s="98"/>
      <c r="C996" s="98"/>
      <c r="D996" s="1221"/>
      <c r="E996" s="1221"/>
      <c r="F996" s="1221"/>
      <c r="G996"/>
      <c r="I996" s="1133"/>
    </row>
    <row r="997" spans="1:9" ht="12.75" customHeight="1">
      <c r="A997" s="98"/>
      <c r="B997" s="98"/>
      <c r="C997" s="98"/>
      <c r="D997" s="1100"/>
      <c r="E997" s="1100"/>
      <c r="F997" s="1100"/>
      <c r="G997"/>
      <c r="I997" s="1133"/>
    </row>
    <row r="998" spans="1:9" ht="12.75" customHeight="1">
      <c r="A998" s="99"/>
      <c r="B998" s="358" t="s">
        <v>522</v>
      </c>
      <c r="C998" s="1141"/>
      <c r="D998" s="1241" t="s">
        <v>760</v>
      </c>
      <c r="E998" s="1241"/>
      <c r="F998" s="1241"/>
      <c r="G998"/>
      <c r="I998" s="1133"/>
    </row>
    <row r="999" spans="1:9" ht="12.75" customHeight="1">
      <c r="A999" s="1141"/>
      <c r="B999" s="1141"/>
      <c r="C999" s="1141"/>
      <c r="D999" s="2"/>
      <c r="E999" s="2"/>
      <c r="F999" s="2"/>
      <c r="G999"/>
      <c r="I999" s="1133"/>
    </row>
    <row r="1000" spans="1:9" ht="12.75" customHeight="1">
      <c r="A1000" s="99"/>
      <c r="B1000" s="358" t="s">
        <v>529</v>
      </c>
      <c r="C1000" s="1141"/>
      <c r="D1000" s="1241" t="s">
        <v>761</v>
      </c>
      <c r="E1000" s="1241"/>
      <c r="F1000" s="1241"/>
      <c r="G1000"/>
      <c r="I1000" s="1133"/>
    </row>
    <row r="1001" spans="1:9" ht="12.75" customHeight="1">
      <c r="A1001" s="1141"/>
      <c r="B1001" s="1141"/>
      <c r="C1001" s="1141"/>
      <c r="D1001" s="68"/>
      <c r="E1001" s="2"/>
      <c r="F1001" s="2"/>
      <c r="G1001"/>
      <c r="I1001" s="1133"/>
    </row>
    <row r="1002" spans="1:9" ht="12.75" customHeight="1">
      <c r="A1002" s="99"/>
      <c r="B1002" s="358" t="s">
        <v>529</v>
      </c>
      <c r="C1002" s="1141"/>
      <c r="D1002" s="1241" t="s">
        <v>762</v>
      </c>
      <c r="E1002" s="1241"/>
      <c r="F1002" s="1241"/>
      <c r="G1002"/>
      <c r="I1002" s="1133"/>
    </row>
    <row r="1003" spans="1:9" ht="12.75" customHeight="1">
      <c r="A1003" s="1141"/>
      <c r="B1003" s="1141"/>
      <c r="C1003" s="1141"/>
      <c r="D1003" s="68"/>
      <c r="E1003" s="2"/>
      <c r="F1003" s="2"/>
      <c r="G1003"/>
      <c r="I1003" s="1133"/>
    </row>
    <row r="1004" spans="1:9" ht="12.75" customHeight="1">
      <c r="A1004" s="99"/>
      <c r="B1004" s="358" t="s">
        <v>522</v>
      </c>
      <c r="C1004" s="1141"/>
      <c r="D1004" s="1221" t="s">
        <v>763</v>
      </c>
      <c r="E1004" s="1221"/>
      <c r="F1004" s="1221"/>
      <c r="G1004"/>
      <c r="I1004" s="1133"/>
    </row>
    <row r="1005" spans="1:9" ht="12.75" customHeight="1">
      <c r="A1005" s="99"/>
      <c r="B1005" s="99"/>
      <c r="C1005" s="1141"/>
      <c r="D1005" s="1221"/>
      <c r="E1005" s="1221"/>
      <c r="F1005" s="1221"/>
      <c r="G1005"/>
      <c r="I1005" s="1133"/>
    </row>
    <row r="1006" spans="1:9" ht="12.75" customHeight="1">
      <c r="A1006" s="99"/>
      <c r="B1006" s="99"/>
      <c r="C1006" s="1141"/>
      <c r="D1006" s="68"/>
      <c r="E1006" s="2"/>
      <c r="F1006" s="2"/>
      <c r="G1006" s="2"/>
      <c r="I1006" s="1133"/>
    </row>
    <row r="1007" spans="1:9" ht="12.75" customHeight="1">
      <c r="A1007" s="153"/>
      <c r="B1007" s="358" t="s">
        <v>529</v>
      </c>
      <c r="C1007" s="815"/>
      <c r="D1007" s="1252" t="s">
        <v>764</v>
      </c>
      <c r="E1007" s="1252"/>
      <c r="F1007" s="1252"/>
      <c r="G1007" s="816"/>
      <c r="I1007" s="1133"/>
    </row>
    <row r="1008" spans="1:9" ht="12.75" customHeight="1">
      <c r="A1008" s="815"/>
      <c r="B1008" s="815"/>
      <c r="C1008" s="815"/>
      <c r="D1008" s="1252"/>
      <c r="E1008" s="1252"/>
      <c r="F1008" s="1252"/>
      <c r="G1008" s="816"/>
      <c r="I1008" s="1133"/>
    </row>
    <row r="1009" spans="1:9" ht="12.75" customHeight="1">
      <c r="A1009" s="815"/>
      <c r="B1009" s="815"/>
      <c r="C1009" s="815"/>
      <c r="D1009" s="1127"/>
      <c r="E1009" s="816"/>
      <c r="F1009" s="816"/>
      <c r="G1009" s="816"/>
      <c r="I1009" s="1133"/>
    </row>
    <row r="1010" spans="1:9" ht="12.75" customHeight="1">
      <c r="A1010" s="153"/>
      <c r="B1010" s="358" t="s">
        <v>529</v>
      </c>
      <c r="C1010" s="815"/>
      <c r="D1010" s="1301" t="s">
        <v>765</v>
      </c>
      <c r="E1010" s="1301"/>
      <c r="F1010" s="1301"/>
      <c r="G1010" s="816"/>
      <c r="I1010" s="1133"/>
    </row>
    <row r="1011" spans="1:9" ht="12.75" customHeight="1">
      <c r="A1011" s="815"/>
      <c r="B1011" s="815"/>
      <c r="C1011" s="815"/>
      <c r="D1011" s="1127"/>
      <c r="E1011" s="816"/>
      <c r="F1011" s="816"/>
      <c r="G1011" s="816"/>
      <c r="I1011" s="1133"/>
    </row>
    <row r="1012" spans="1:9" ht="12.75" customHeight="1">
      <c r="A1012" s="99"/>
      <c r="B1012" s="358" t="s">
        <v>529</v>
      </c>
      <c r="C1012" s="1141"/>
      <c r="D1012" s="1241" t="s">
        <v>766</v>
      </c>
      <c r="E1012" s="1241"/>
      <c r="F1012" s="1241"/>
      <c r="G1012" s="2"/>
      <c r="I1012" s="1133"/>
    </row>
    <row r="1013" spans="1:9" ht="12.75" customHeight="1">
      <c r="A1013" s="99"/>
      <c r="B1013" s="99"/>
      <c r="C1013" s="1141"/>
      <c r="D1013" s="68"/>
      <c r="E1013" s="2"/>
      <c r="F1013" s="2"/>
      <c r="G1013" s="2"/>
      <c r="I1013" s="1133"/>
    </row>
    <row r="1014" spans="1:9" ht="12.75" customHeight="1">
      <c r="A1014" s="99"/>
      <c r="B1014" s="358" t="s">
        <v>529</v>
      </c>
      <c r="C1014" s="1141"/>
      <c r="D1014" s="1221" t="s">
        <v>767</v>
      </c>
      <c r="E1014" s="1221"/>
      <c r="F1014" s="1221"/>
      <c r="G1014" s="2"/>
      <c r="I1014" s="1133"/>
    </row>
    <row r="1015" spans="1:9" ht="12.75" customHeight="1">
      <c r="A1015" s="99"/>
      <c r="B1015" s="99"/>
      <c r="C1015" s="1141"/>
      <c r="D1015" s="1221"/>
      <c r="E1015" s="1221"/>
      <c r="F1015" s="1221"/>
      <c r="G1015" s="2"/>
      <c r="I1015" s="1133"/>
    </row>
    <row r="1016" spans="1:9" ht="12.75" customHeight="1">
      <c r="A1016" s="1141"/>
      <c r="B1016" s="1141"/>
      <c r="C1016" s="1141"/>
      <c r="D1016" s="2"/>
      <c r="E1016" s="2"/>
      <c r="F1016" s="2"/>
      <c r="G1016" s="2"/>
      <c r="I1016" s="1133"/>
    </row>
    <row r="1017" spans="1:9" ht="12.75" customHeight="1">
      <c r="A1017" s="1247" t="s">
        <v>768</v>
      </c>
      <c r="B1017" s="1247"/>
      <c r="C1017" s="1247"/>
      <c r="D1017" s="1247"/>
      <c r="E1017" s="1247"/>
      <c r="F1017" s="1247"/>
      <c r="G1017" s="1247"/>
      <c r="H1017" s="836"/>
      <c r="I1017" s="1021"/>
    </row>
    <row r="1018" spans="1:9" ht="12.75" customHeight="1">
      <c r="A1018" s="1141"/>
      <c r="B1018" s="1141"/>
      <c r="C1018" s="1141"/>
      <c r="D1018" s="2"/>
      <c r="E1018" s="2"/>
      <c r="F1018" s="2"/>
      <c r="G1018" s="2"/>
      <c r="I1018" s="1133"/>
    </row>
    <row r="1019" spans="1:9" ht="12.75" customHeight="1">
      <c r="A1019" s="1141"/>
      <c r="B1019" s="1141"/>
      <c r="C1019" s="1141"/>
      <c r="D1019" s="1253" t="s">
        <v>769</v>
      </c>
      <c r="E1019" s="1253"/>
      <c r="F1019" s="1253"/>
      <c r="G1019" s="2"/>
      <c r="I1019" s="1133"/>
    </row>
    <row r="1020" spans="1:9" ht="12.75" customHeight="1">
      <c r="A1020" s="1141"/>
      <c r="B1020" s="1141"/>
      <c r="C1020" s="1141"/>
      <c r="D1020" s="1301" t="s">
        <v>770</v>
      </c>
      <c r="E1020" s="1301"/>
      <c r="F1020" s="1301"/>
      <c r="G1020" s="2"/>
      <c r="I1020" s="1133"/>
    </row>
    <row r="1021" spans="1:9" ht="12.75" customHeight="1">
      <c r="A1021" s="1116"/>
      <c r="B1021" s="1116"/>
      <c r="C1021" s="1116"/>
      <c r="D1021" s="2"/>
      <c r="E1021" s="2"/>
      <c r="F1021" s="2"/>
      <c r="G1021" s="2"/>
      <c r="I1021" s="1133"/>
    </row>
    <row r="1022" spans="1:9" ht="12.75" customHeight="1">
      <c r="A1022" s="99"/>
      <c r="B1022" s="99"/>
      <c r="C1022" s="98"/>
      <c r="D1022" s="1253" t="s">
        <v>771</v>
      </c>
      <c r="E1022" s="1253"/>
      <c r="F1022" s="1253"/>
      <c r="G1022" s="2"/>
      <c r="I1022" s="1133" t="s">
        <v>772</v>
      </c>
    </row>
    <row r="1023" spans="1:9" ht="12.75" customHeight="1">
      <c r="A1023" s="1141"/>
      <c r="B1023" s="358" t="s">
        <v>522</v>
      </c>
      <c r="C1023" s="1141"/>
      <c r="D1023" s="1301" t="s">
        <v>773</v>
      </c>
      <c r="E1023" s="1301"/>
      <c r="F1023" s="1301"/>
      <c r="G1023" s="2"/>
      <c r="I1023" s="1133"/>
    </row>
    <row r="1024" spans="1:9" ht="12.75" customHeight="1">
      <c r="A1024" s="1141"/>
      <c r="B1024" s="99"/>
      <c r="C1024" s="1141"/>
      <c r="D1024" s="1301" t="s">
        <v>774</v>
      </c>
      <c r="E1024" s="1301"/>
      <c r="F1024" s="1301"/>
      <c r="G1024" s="2"/>
      <c r="I1024" s="1133"/>
    </row>
    <row r="1025" spans="1:9" ht="12.75" customHeight="1">
      <c r="A1025" s="1141"/>
      <c r="B1025" s="1141"/>
      <c r="C1025" s="1141"/>
      <c r="D1025" s="1301"/>
      <c r="E1025" s="1301"/>
      <c r="F1025" s="1301"/>
      <c r="G1025" s="2"/>
      <c r="I1025" s="1133"/>
    </row>
    <row r="1026" spans="1:9" ht="12.75" customHeight="1">
      <c r="A1026" s="1247" t="s">
        <v>775</v>
      </c>
      <c r="B1026" s="1247"/>
      <c r="C1026" s="1247"/>
      <c r="D1026" s="1247"/>
      <c r="E1026" s="1247"/>
      <c r="F1026" s="1247"/>
      <c r="G1026" s="1247"/>
      <c r="H1026" s="836"/>
      <c r="I1026" s="1021"/>
    </row>
    <row r="1027" spans="1:9" ht="12.75" customHeight="1">
      <c r="A1027" s="68"/>
      <c r="B1027" s="68"/>
      <c r="C1027" s="1141"/>
      <c r="D1027" s="2"/>
      <c r="E1027" s="2"/>
      <c r="F1027" s="2"/>
      <c r="G1027" s="2"/>
      <c r="I1027" s="1133"/>
    </row>
    <row r="1028" spans="1:9" ht="12.75" hidden="1" customHeight="1">
      <c r="A1028" s="68"/>
      <c r="B1028" s="291"/>
      <c r="D1028" s="1248" t="s">
        <v>776</v>
      </c>
      <c r="E1028" s="1248"/>
      <c r="F1028" s="1248"/>
      <c r="G1028" s="2"/>
      <c r="I1028" s="1133"/>
    </row>
    <row r="1029" spans="1:9" ht="12.75" hidden="1" customHeight="1">
      <c r="A1029" s="68"/>
      <c r="B1029" s="358" t="s">
        <v>294</v>
      </c>
      <c r="D1029" s="1235" t="s">
        <v>773</v>
      </c>
      <c r="E1029" s="1235"/>
      <c r="F1029" s="1235"/>
      <c r="G1029" s="2"/>
      <c r="I1029" s="1133"/>
    </row>
    <row r="1030" spans="1:9" ht="12.75" hidden="1" customHeight="1">
      <c r="A1030" s="68"/>
      <c r="B1030" s="291"/>
      <c r="D1030" s="1235" t="s">
        <v>777</v>
      </c>
      <c r="E1030" s="1235"/>
      <c r="F1030" s="1235"/>
      <c r="G1030" s="2"/>
      <c r="I1030" s="1133"/>
    </row>
    <row r="1031" spans="1:9" ht="12.75" hidden="1" customHeight="1">
      <c r="A1031" s="68"/>
      <c r="B1031" s="291"/>
      <c r="D1031" s="1124"/>
      <c r="E1031" s="1124"/>
      <c r="F1031" s="1124"/>
      <c r="G1031" s="2"/>
      <c r="I1031" s="1133"/>
    </row>
    <row r="1032" spans="1:9" ht="12.75" customHeight="1">
      <c r="A1032" s="68"/>
      <c r="B1032" s="68"/>
      <c r="C1032" s="1141"/>
      <c r="D1032" s="1307" t="s">
        <v>494</v>
      </c>
      <c r="E1032" s="1307"/>
      <c r="F1032" s="1307"/>
      <c r="G1032" s="2"/>
      <c r="I1032" s="1133" t="s">
        <v>778</v>
      </c>
    </row>
    <row r="1033" spans="1:9" ht="12.75" customHeight="1">
      <c r="A1033" s="213"/>
      <c r="B1033" s="213"/>
      <c r="C1033" s="213"/>
      <c r="D1033" s="1239" t="s">
        <v>495</v>
      </c>
      <c r="E1033" s="1239"/>
      <c r="F1033" s="1239"/>
      <c r="G1033" s="57"/>
      <c r="I1033" s="1133"/>
    </row>
    <row r="1034" spans="1:9" ht="12.75" customHeight="1">
      <c r="A1034" s="99"/>
      <c r="B1034" s="358" t="s">
        <v>529</v>
      </c>
      <c r="C1034" s="1141"/>
      <c r="D1034" s="1239" t="s">
        <v>496</v>
      </c>
      <c r="E1034" s="1239"/>
      <c r="F1034" s="1239"/>
      <c r="G1034" s="2"/>
      <c r="I1034" s="1133"/>
    </row>
    <row r="1035" spans="1:9" ht="12.75" customHeight="1">
      <c r="A1035" s="1141"/>
      <c r="B1035" s="1141"/>
      <c r="C1035" s="1141"/>
      <c r="D1035" s="844" t="s">
        <v>779</v>
      </c>
      <c r="E1035" s="55"/>
      <c r="F1035" s="55"/>
      <c r="G1035" s="2"/>
      <c r="I1035" s="1133"/>
    </row>
    <row r="1036" spans="1:9">
      <c r="A1036" s="291"/>
      <c r="B1036" s="291"/>
      <c r="C1036" s="291"/>
      <c r="I1036" s="1133"/>
    </row>
    <row r="1037" spans="1:9">
      <c r="A1037" s="1247" t="s">
        <v>780</v>
      </c>
      <c r="B1037" s="1247"/>
      <c r="C1037" s="1247"/>
      <c r="D1037" s="1247"/>
      <c r="E1037" s="1247"/>
      <c r="F1037" s="1247"/>
      <c r="G1037" s="1247"/>
      <c r="H1037" s="836"/>
      <c r="I1037" s="1021"/>
    </row>
    <row r="1038" spans="1:9">
      <c r="A1038" s="291"/>
      <c r="B1038" s="291"/>
      <c r="C1038" s="291"/>
      <c r="I1038" s="1133"/>
    </row>
    <row r="1039" spans="1:9">
      <c r="A1039" s="291"/>
      <c r="B1039" s="291"/>
      <c r="C1039" s="291"/>
      <c r="D1039" s="293" t="s">
        <v>781</v>
      </c>
      <c r="I1039" s="1133"/>
    </row>
    <row r="1040" spans="1:9">
      <c r="A1040" s="291"/>
      <c r="B1040" s="291"/>
      <c r="C1040" s="291"/>
      <c r="D1040" s="291" t="s">
        <v>782</v>
      </c>
      <c r="I1040" s="1133"/>
    </row>
    <row r="1041" spans="1:9">
      <c r="A1041" s="291"/>
      <c r="B1041" s="291"/>
      <c r="C1041" s="291"/>
      <c r="D1041" s="293"/>
      <c r="I1041" s="1133"/>
    </row>
    <row r="1042" spans="1:9">
      <c r="A1042" s="291"/>
      <c r="B1042" s="358" t="s">
        <v>529</v>
      </c>
      <c r="C1042" s="291"/>
      <c r="D1042" s="1304" t="s">
        <v>783</v>
      </c>
      <c r="E1042" s="1304"/>
      <c r="F1042" s="1304"/>
      <c r="I1042" s="1133" t="s">
        <v>784</v>
      </c>
    </row>
    <row r="1043" spans="1:9">
      <c r="A1043" s="291"/>
      <c r="B1043" s="291"/>
      <c r="C1043" s="291"/>
      <c r="D1043" s="1304"/>
      <c r="E1043" s="1304"/>
      <c r="F1043" s="1304"/>
      <c r="I1043" s="1133"/>
    </row>
    <row r="1044" spans="1:9">
      <c r="A1044" s="291"/>
      <c r="B1044" s="291"/>
      <c r="C1044" s="291"/>
      <c r="D1044" s="1304"/>
      <c r="E1044" s="1304"/>
      <c r="F1044" s="1304"/>
      <c r="I1044" s="1133"/>
    </row>
    <row r="1045" spans="1:9">
      <c r="A1045" s="291"/>
      <c r="B1045" s="291"/>
      <c r="C1045" s="291"/>
      <c r="D1045" s="1304"/>
      <c r="E1045" s="1304"/>
      <c r="F1045" s="1304"/>
      <c r="I1045" s="1133"/>
    </row>
    <row r="1046" spans="1:9">
      <c r="A1046" s="291"/>
      <c r="B1046" s="291"/>
      <c r="C1046" s="291"/>
      <c r="I1046" s="1133"/>
    </row>
    <row r="1047" spans="1:9">
      <c r="A1047" s="291"/>
      <c r="B1047" s="291"/>
      <c r="C1047" s="291"/>
      <c r="D1047" s="293" t="s">
        <v>785</v>
      </c>
      <c r="I1047" s="1133"/>
    </row>
    <row r="1048" spans="1:9">
      <c r="A1048" s="291"/>
      <c r="B1048" s="291"/>
      <c r="C1048" s="291"/>
      <c r="D1048" s="291" t="s">
        <v>786</v>
      </c>
      <c r="I1048" s="1133"/>
    </row>
    <row r="1049" spans="1:9">
      <c r="A1049" s="291"/>
      <c r="B1049" s="291"/>
      <c r="C1049" s="291"/>
      <c r="I1049" s="1133"/>
    </row>
    <row r="1050" spans="1:9">
      <c r="A1050" s="291"/>
      <c r="B1050" s="358" t="s">
        <v>529</v>
      </c>
      <c r="C1050" s="291"/>
      <c r="D1050" s="291" t="s">
        <v>728</v>
      </c>
      <c r="I1050" s="1133" t="s">
        <v>787</v>
      </c>
    </row>
    <row r="1051" spans="1:9">
      <c r="A1051" s="291"/>
      <c r="B1051" s="291"/>
      <c r="C1051" s="291"/>
      <c r="I1051" s="1133"/>
    </row>
    <row r="1052" spans="1:9">
      <c r="A1052" s="291"/>
      <c r="B1052" s="358" t="s">
        <v>522</v>
      </c>
      <c r="C1052" s="291"/>
      <c r="D1052" s="1304" t="s">
        <v>788</v>
      </c>
      <c r="E1052" s="1304"/>
      <c r="F1052" s="1304"/>
      <c r="I1052" s="1133" t="s">
        <v>789</v>
      </c>
    </row>
    <row r="1053" spans="1:9">
      <c r="A1053" s="291"/>
      <c r="B1053" s="291"/>
      <c r="C1053" s="291"/>
      <c r="D1053" s="1304"/>
      <c r="E1053" s="1304"/>
      <c r="F1053" s="1304"/>
      <c r="I1053" s="1133"/>
    </row>
    <row r="1054" spans="1:9">
      <c r="A1054" s="291"/>
      <c r="B1054" s="291"/>
      <c r="C1054" s="291"/>
      <c r="D1054" s="1304"/>
      <c r="E1054" s="1304"/>
      <c r="F1054" s="1304"/>
      <c r="I1054" s="1133"/>
    </row>
    <row r="1055" spans="1:9">
      <c r="A1055" s="291"/>
      <c r="B1055" s="291"/>
      <c r="C1055" s="291"/>
      <c r="D1055" s="1304"/>
      <c r="E1055" s="1304"/>
      <c r="F1055" s="1304"/>
      <c r="I1055" s="1133"/>
    </row>
    <row r="1056" spans="1:9">
      <c r="A1056" s="291"/>
      <c r="B1056" s="291"/>
      <c r="C1056" s="291"/>
      <c r="D1056" s="1304"/>
      <c r="E1056" s="1304"/>
      <c r="F1056" s="1304"/>
      <c r="I1056" s="1133"/>
    </row>
    <row r="1057" spans="1:9">
      <c r="A1057" s="291"/>
      <c r="B1057" s="291"/>
      <c r="C1057" s="291"/>
      <c r="I1057" s="1133"/>
    </row>
    <row r="1058" spans="1:9">
      <c r="A1058" s="1247" t="s">
        <v>790</v>
      </c>
      <c r="B1058" s="1247"/>
      <c r="C1058" s="1247"/>
      <c r="D1058" s="1247"/>
      <c r="E1058" s="1247"/>
      <c r="F1058" s="1247"/>
      <c r="G1058" s="1247"/>
      <c r="H1058" s="836"/>
      <c r="I1058" s="1021"/>
    </row>
    <row r="1059" spans="1:9">
      <c r="A1059" s="291"/>
      <c r="B1059" s="291"/>
      <c r="C1059" s="291"/>
      <c r="I1059" s="1133"/>
    </row>
    <row r="1060" spans="1:9">
      <c r="A1060" s="291"/>
      <c r="B1060" s="291"/>
      <c r="C1060" s="291"/>
      <c r="I1060" s="1133"/>
    </row>
    <row r="1061" spans="1:9">
      <c r="A1061" s="291"/>
      <c r="B1061" s="358" t="s">
        <v>522</v>
      </c>
      <c r="C1061" s="291"/>
      <c r="D1061" s="396" t="s">
        <v>791</v>
      </c>
      <c r="I1061" s="1133" t="s">
        <v>792</v>
      </c>
    </row>
    <row r="1062" spans="1:9">
      <c r="A1062" s="291"/>
      <c r="B1062" s="291"/>
      <c r="C1062" s="291"/>
      <c r="D1062" s="396" t="s">
        <v>793</v>
      </c>
      <c r="I1062" s="1133"/>
    </row>
    <row r="1063" spans="1:9">
      <c r="A1063" s="291"/>
      <c r="B1063" s="291"/>
      <c r="C1063" s="291"/>
      <c r="D1063" s="396"/>
      <c r="I1063" s="1133"/>
    </row>
    <row r="1064" spans="1:9">
      <c r="A1064" s="291"/>
      <c r="B1064" s="358" t="s">
        <v>529</v>
      </c>
      <c r="C1064" s="291"/>
      <c r="D1064" s="396" t="s">
        <v>794</v>
      </c>
      <c r="I1064" s="1133" t="s">
        <v>795</v>
      </c>
    </row>
    <row r="1065" spans="1:9">
      <c r="A1065" s="291"/>
      <c r="B1065" s="291"/>
      <c r="C1065" s="291"/>
      <c r="D1065" s="396" t="s">
        <v>796</v>
      </c>
      <c r="I1065" s="1133"/>
    </row>
    <row r="1066" spans="1:9">
      <c r="A1066" s="291"/>
      <c r="B1066" s="291"/>
      <c r="C1066" s="291"/>
      <c r="D1066" s="396"/>
      <c r="I1066" s="1133"/>
    </row>
    <row r="1067" spans="1:9">
      <c r="A1067" s="291"/>
      <c r="B1067" s="358" t="s">
        <v>529</v>
      </c>
      <c r="C1067" s="291"/>
      <c r="D1067" s="69" t="s">
        <v>797</v>
      </c>
      <c r="I1067" s="1133" t="s">
        <v>798</v>
      </c>
    </row>
    <row r="1068" spans="1:9">
      <c r="A1068" s="291"/>
      <c r="B1068" s="291"/>
      <c r="C1068" s="291"/>
      <c r="D1068" s="1221" t="s">
        <v>799</v>
      </c>
      <c r="E1068" s="1221"/>
      <c r="F1068" s="1221"/>
      <c r="I1068" s="1133"/>
    </row>
    <row r="1069" spans="1:9">
      <c r="A1069" s="291"/>
      <c r="B1069" s="291"/>
      <c r="C1069" s="291"/>
      <c r="D1069" s="1221"/>
      <c r="E1069" s="1221"/>
      <c r="F1069" s="1221"/>
      <c r="I1069" s="1133"/>
    </row>
    <row r="1070" spans="1:9">
      <c r="A1070" s="291"/>
      <c r="B1070" s="291"/>
      <c r="C1070" s="291"/>
      <c r="D1070" s="1221"/>
      <c r="E1070" s="1221"/>
      <c r="F1070" s="1221"/>
      <c r="I1070" s="1133"/>
    </row>
    <row r="1071" spans="1:9">
      <c r="A1071" s="291"/>
      <c r="B1071" s="291"/>
      <c r="C1071" s="291"/>
      <c r="D1071" s="1221"/>
      <c r="E1071" s="1221"/>
      <c r="F1071" s="1221"/>
      <c r="I1071" s="1133"/>
    </row>
    <row r="1072" spans="1:9">
      <c r="A1072" s="291"/>
      <c r="B1072" s="291"/>
      <c r="C1072" s="291"/>
      <c r="D1072" s="69" t="s">
        <v>800</v>
      </c>
      <c r="I1072" s="1133"/>
    </row>
    <row r="1073" spans="1:9">
      <c r="A1073" s="291"/>
      <c r="B1073" s="291"/>
      <c r="C1073" s="291"/>
      <c r="D1073" s="69"/>
      <c r="I1073" s="1133"/>
    </row>
    <row r="1074" spans="1:9">
      <c r="A1074" s="291"/>
      <c r="B1074" s="291"/>
      <c r="C1074" s="291"/>
      <c r="D1074" s="396" t="s">
        <v>801</v>
      </c>
      <c r="I1074" s="1133" t="s">
        <v>802</v>
      </c>
    </row>
    <row r="1075" spans="1:9">
      <c r="A1075" s="291"/>
      <c r="B1075" s="358" t="s">
        <v>529</v>
      </c>
      <c r="C1075" s="291"/>
      <c r="D1075" s="1303" t="s">
        <v>803</v>
      </c>
      <c r="E1075" s="1303"/>
      <c r="F1075" s="1303"/>
      <c r="I1075" s="1133"/>
    </row>
    <row r="1076" spans="1:9">
      <c r="A1076" s="291"/>
      <c r="B1076" s="291"/>
      <c r="C1076" s="291"/>
      <c r="D1076" s="1303"/>
      <c r="E1076" s="1303"/>
      <c r="F1076" s="1303"/>
      <c r="I1076" s="1133"/>
    </row>
    <row r="1077" spans="1:9">
      <c r="A1077" s="291"/>
      <c r="B1077" s="291"/>
      <c r="C1077" s="291"/>
      <c r="D1077" s="1303"/>
      <c r="E1077" s="1303"/>
      <c r="F1077" s="1303"/>
      <c r="I1077" s="1133"/>
    </row>
    <row r="1078" spans="1:9">
      <c r="A1078" s="291"/>
      <c r="B1078" s="291"/>
      <c r="C1078" s="291"/>
      <c r="D1078" s="1303"/>
      <c r="E1078" s="1303"/>
      <c r="F1078" s="1303"/>
      <c r="I1078" s="1133"/>
    </row>
    <row r="1079" spans="1:9">
      <c r="A1079" s="291"/>
      <c r="B1079" s="291"/>
      <c r="C1079" s="291"/>
      <c r="D1079" s="1303"/>
      <c r="E1079" s="1303"/>
      <c r="F1079" s="1303"/>
      <c r="I1079" s="1133"/>
    </row>
    <row r="1080" spans="1:9">
      <c r="A1080" s="291"/>
      <c r="B1080" s="291"/>
      <c r="C1080" s="291"/>
      <c r="D1080" s="396" t="s">
        <v>804</v>
      </c>
      <c r="I1080" s="1133"/>
    </row>
    <row r="1081" spans="1:9">
      <c r="A1081" s="291"/>
      <c r="B1081" s="291"/>
      <c r="C1081" s="291"/>
      <c r="I1081" s="1133"/>
    </row>
    <row r="1082" spans="1:9">
      <c r="A1082" s="1247" t="s">
        <v>805</v>
      </c>
      <c r="B1082" s="1247"/>
      <c r="C1082" s="1247"/>
      <c r="D1082" s="1247"/>
      <c r="E1082" s="1247"/>
      <c r="F1082" s="1247"/>
      <c r="G1082" s="1247"/>
      <c r="H1082" s="836"/>
      <c r="I1082" s="1021"/>
    </row>
    <row r="1083" spans="1:9">
      <c r="A1083" s="291"/>
      <c r="B1083" s="291"/>
      <c r="C1083" s="291"/>
      <c r="I1083" s="1133"/>
    </row>
    <row r="1084" spans="1:9">
      <c r="A1084" s="291"/>
      <c r="B1084" s="291"/>
      <c r="C1084" s="291"/>
      <c r="I1084" s="1133"/>
    </row>
    <row r="1085" spans="1:9" ht="12.75" customHeight="1">
      <c r="A1085" s="291"/>
      <c r="B1085" s="358" t="s">
        <v>522</v>
      </c>
      <c r="C1085" s="291"/>
      <c r="D1085" s="1305" t="s">
        <v>806</v>
      </c>
      <c r="E1085" s="1305"/>
      <c r="F1085" s="1305"/>
      <c r="I1085" s="1133" t="s">
        <v>807</v>
      </c>
    </row>
    <row r="1086" spans="1:9">
      <c r="A1086" s="291"/>
      <c r="B1086" s="291"/>
      <c r="C1086" s="291"/>
      <c r="D1086" s="1305"/>
      <c r="E1086" s="1305"/>
      <c r="F1086" s="1305"/>
      <c r="I1086" s="1133"/>
    </row>
    <row r="1087" spans="1:9">
      <c r="A1087" s="291"/>
      <c r="B1087" s="291"/>
      <c r="C1087" s="291"/>
      <c r="D1087" s="1306" t="s">
        <v>808</v>
      </c>
      <c r="E1087" s="1221"/>
      <c r="F1087" s="1221"/>
      <c r="I1087" s="1133"/>
    </row>
    <row r="1088" spans="1:9">
      <c r="A1088" s="291"/>
      <c r="B1088" s="291"/>
      <c r="C1088" s="291"/>
      <c r="D1088" s="396"/>
      <c r="I1088" s="1133"/>
    </row>
    <row r="1089" spans="1:9">
      <c r="A1089" s="291"/>
      <c r="B1089" s="358" t="s">
        <v>529</v>
      </c>
      <c r="C1089" s="291"/>
      <c r="D1089" s="1303" t="s">
        <v>809</v>
      </c>
      <c r="E1089" s="1303"/>
      <c r="F1089" s="1303"/>
      <c r="I1089" s="1133" t="s">
        <v>810</v>
      </c>
    </row>
    <row r="1090" spans="1:9">
      <c r="A1090" s="291"/>
      <c r="B1090" s="291"/>
      <c r="C1090" s="291"/>
      <c r="D1090" s="1303"/>
      <c r="E1090" s="1303"/>
      <c r="F1090" s="1303"/>
      <c r="I1090" s="1133"/>
    </row>
    <row r="1091" spans="1:9">
      <c r="A1091" s="291"/>
      <c r="B1091" s="291"/>
      <c r="C1091" s="291"/>
      <c r="D1091" s="396"/>
      <c r="I1091" s="1133"/>
    </row>
    <row r="1092" spans="1:9">
      <c r="A1092" s="291"/>
      <c r="B1092" s="358" t="s">
        <v>529</v>
      </c>
      <c r="C1092" s="291"/>
      <c r="D1092" s="1303" t="s">
        <v>811</v>
      </c>
      <c r="E1092" s="1303"/>
      <c r="F1092" s="1303"/>
      <c r="I1092" s="1133" t="s">
        <v>812</v>
      </c>
    </row>
    <row r="1093" spans="1:9">
      <c r="A1093" s="291"/>
      <c r="B1093" s="291"/>
      <c r="C1093" s="291"/>
      <c r="D1093" s="1303"/>
      <c r="E1093" s="1303"/>
      <c r="F1093" s="1303"/>
      <c r="I1093" s="1133"/>
    </row>
    <row r="1094" spans="1:9">
      <c r="A1094" s="291"/>
      <c r="B1094" s="291"/>
      <c r="C1094" s="291"/>
      <c r="D1094" s="1303"/>
      <c r="E1094" s="1303"/>
      <c r="F1094" s="1303"/>
      <c r="I1094" s="1133"/>
    </row>
    <row r="1095" spans="1:9">
      <c r="A1095" s="291"/>
      <c r="B1095" s="291"/>
      <c r="C1095" s="291"/>
      <c r="D1095" s="1303"/>
      <c r="E1095" s="1303"/>
      <c r="F1095" s="1303"/>
      <c r="I1095" s="1133"/>
    </row>
    <row r="1096" spans="1:9">
      <c r="A1096" s="291"/>
      <c r="B1096" s="291"/>
      <c r="C1096" s="291"/>
      <c r="D1096" s="1303"/>
      <c r="E1096" s="1303"/>
      <c r="F1096" s="1303"/>
      <c r="I1096" s="1133"/>
    </row>
    <row r="1097" spans="1:9">
      <c r="A1097" s="291"/>
      <c r="B1097" s="291"/>
      <c r="C1097" s="291"/>
      <c r="D1097" s="1303"/>
      <c r="E1097" s="1303"/>
      <c r="F1097" s="1303"/>
      <c r="I1097" s="1133"/>
    </row>
    <row r="1098" spans="1:9">
      <c r="A1098" s="291"/>
      <c r="B1098" s="291"/>
      <c r="C1098" s="291"/>
      <c r="D1098" s="396" t="s">
        <v>813</v>
      </c>
      <c r="I1098" s="355"/>
    </row>
    <row r="1099" spans="1:9">
      <c r="A1099" s="291"/>
      <c r="B1099" s="358" t="s">
        <v>529</v>
      </c>
      <c r="C1099" s="291"/>
      <c r="D1099" s="1303" t="s">
        <v>814</v>
      </c>
      <c r="E1099" s="1303"/>
      <c r="F1099" s="1303"/>
      <c r="I1099" s="1133" t="s">
        <v>815</v>
      </c>
    </row>
    <row r="1100" spans="1:9">
      <c r="A1100" s="291"/>
      <c r="B1100" s="291"/>
      <c r="C1100" s="291"/>
      <c r="D1100" s="1303"/>
      <c r="E1100" s="1303"/>
      <c r="F1100" s="1303"/>
      <c r="I1100" s="1133"/>
    </row>
    <row r="1101" spans="1:9">
      <c r="A1101" s="291"/>
      <c r="B1101" s="291"/>
      <c r="C1101" s="291"/>
      <c r="D1101" s="1303"/>
      <c r="E1101" s="1303"/>
      <c r="F1101" s="1303"/>
      <c r="I1101" s="1133"/>
    </row>
    <row r="1102" spans="1:9">
      <c r="A1102" s="291"/>
      <c r="B1102" s="291"/>
      <c r="C1102" s="291"/>
      <c r="D1102" s="396"/>
      <c r="I1102" s="1133"/>
    </row>
    <row r="1103" spans="1:9">
      <c r="A1103" s="291"/>
      <c r="B1103" s="358" t="s">
        <v>522</v>
      </c>
      <c r="C1103" s="291"/>
      <c r="D1103" s="1227" t="s">
        <v>816</v>
      </c>
      <c r="E1103" s="1227"/>
      <c r="F1103" s="1227"/>
      <c r="I1103" s="1133" t="s">
        <v>688</v>
      </c>
    </row>
    <row r="1104" spans="1:9">
      <c r="A1104" s="291"/>
      <c r="B1104" s="291"/>
      <c r="C1104" s="291"/>
      <c r="D1104" s="1227"/>
      <c r="E1104" s="1227"/>
      <c r="F1104" s="1227"/>
      <c r="I1104" s="1133"/>
    </row>
    <row r="1105" spans="1:9">
      <c r="A1105" s="291"/>
      <c r="B1105" s="291"/>
      <c r="C1105" s="291"/>
      <c r="D1105" s="1227"/>
      <c r="E1105" s="1227"/>
      <c r="F1105" s="1227"/>
      <c r="I1105" s="1133"/>
    </row>
    <row r="1106" spans="1:9">
      <c r="A1106" s="291"/>
      <c r="B1106" s="291"/>
      <c r="C1106" s="291"/>
      <c r="D1106" s="1102"/>
      <c r="E1106" s="1102"/>
      <c r="F1106" s="1102"/>
      <c r="I1106" s="1133"/>
    </row>
    <row r="1107" spans="1:9" ht="15.75" customHeight="1">
      <c r="A1107" s="291"/>
      <c r="B1107" s="358" t="s">
        <v>529</v>
      </c>
      <c r="C1107" s="291"/>
      <c r="D1107" s="1221" t="s">
        <v>817</v>
      </c>
      <c r="E1107" s="1221"/>
      <c r="F1107" s="1221"/>
      <c r="I1107" s="1133" t="s">
        <v>818</v>
      </c>
    </row>
    <row r="1108" spans="1:9">
      <c r="A1108" s="291"/>
      <c r="B1108" s="291"/>
      <c r="C1108" s="291"/>
      <c r="D1108" s="1221"/>
      <c r="E1108" s="1221"/>
      <c r="F1108" s="1221"/>
      <c r="I1108" s="1133"/>
    </row>
    <row r="1109" spans="1:9">
      <c r="A1109" s="291"/>
      <c r="B1109" s="291"/>
      <c r="C1109" s="291"/>
      <c r="D1109" s="1221"/>
      <c r="E1109" s="1221"/>
      <c r="F1109" s="1221"/>
      <c r="I1109" s="1133"/>
    </row>
    <row r="1110" spans="1:9">
      <c r="A1110" s="291"/>
      <c r="B1110" s="291"/>
      <c r="C1110" s="291"/>
      <c r="D1110" s="1221"/>
      <c r="E1110" s="1221"/>
      <c r="F1110" s="1221"/>
      <c r="I1110" s="1133"/>
    </row>
    <row r="1111" spans="1:9">
      <c r="A1111" s="291"/>
      <c r="B1111" s="291"/>
      <c r="C1111" s="291"/>
      <c r="D1111" s="1102"/>
      <c r="E1111" s="1102"/>
      <c r="F1111" s="1102"/>
      <c r="I1111" s="1133"/>
    </row>
    <row r="1112" spans="1:9" ht="42">
      <c r="A1112" s="291"/>
      <c r="B1112" s="291"/>
      <c r="C1112" s="291"/>
      <c r="I1112" s="1027" t="s">
        <v>819</v>
      </c>
    </row>
    <row r="1113" spans="1:9">
      <c r="A1113" s="291"/>
      <c r="B1113" s="291"/>
      <c r="C1113" s="291"/>
      <c r="I1113" s="1133"/>
    </row>
    <row r="1114" spans="1:9">
      <c r="A1114" s="291"/>
      <c r="B1114" s="291"/>
      <c r="C1114" s="291"/>
      <c r="I1114" s="1133"/>
    </row>
    <row r="1115" spans="1:9">
      <c r="A1115" s="291"/>
      <c r="B1115" s="291"/>
      <c r="C1115" s="291"/>
    </row>
    <row r="1116" spans="1:9">
      <c r="A1116" s="291"/>
      <c r="B1116" s="291"/>
      <c r="C1116" s="291"/>
    </row>
    <row r="1117" spans="1:9">
      <c r="A1117" s="291"/>
      <c r="B1117" s="291"/>
      <c r="C1117" s="291"/>
    </row>
    <row r="1118" spans="1:9">
      <c r="A1118" s="291"/>
      <c r="B1118" s="291"/>
      <c r="C1118" s="291"/>
    </row>
    <row r="1119" spans="1:9">
      <c r="A1119" s="291"/>
      <c r="B1119" s="291"/>
      <c r="C1119" s="291"/>
    </row>
    <row r="1120" spans="1:9">
      <c r="A1120" s="291"/>
      <c r="B1120" s="291"/>
      <c r="C1120" s="291"/>
    </row>
    <row r="1121" spans="1:3">
      <c r="A1121" s="291"/>
      <c r="B1121" s="291"/>
      <c r="C1121" s="291"/>
    </row>
    <row r="1122" spans="1:3">
      <c r="A1122" s="291"/>
      <c r="B1122" s="291"/>
      <c r="C1122" s="291"/>
    </row>
    <row r="1123" spans="1:3">
      <c r="A1123" s="291"/>
      <c r="B1123" s="291"/>
      <c r="C1123" s="291"/>
    </row>
    <row r="1124" spans="1:3">
      <c r="A1124" s="291"/>
      <c r="B1124" s="291"/>
      <c r="C1124" s="291"/>
    </row>
    <row r="1125" spans="1:3">
      <c r="A1125" s="291"/>
      <c r="B1125" s="291"/>
      <c r="C1125" s="291"/>
    </row>
    <row r="1126" spans="1:3">
      <c r="A1126" s="291"/>
      <c r="B1126" s="291"/>
      <c r="C1126" s="291"/>
    </row>
    <row r="1127" spans="1:3">
      <c r="A1127" s="291"/>
      <c r="B1127" s="291"/>
      <c r="C1127" s="291"/>
    </row>
    <row r="1128" spans="1:3">
      <c r="A1128" s="291"/>
      <c r="B1128" s="291"/>
      <c r="C1128" s="291"/>
    </row>
    <row r="1129" spans="1:3">
      <c r="A1129" s="291"/>
      <c r="B1129" s="291"/>
      <c r="C1129" s="291"/>
    </row>
    <row r="1130" spans="1:3"/>
    <row r="1131" spans="1:3"/>
    <row r="1132" spans="1:3"/>
    <row r="1133" spans="1:3"/>
    <row r="1134" spans="1:3"/>
    <row r="1135" spans="1:3"/>
    <row r="1136" spans="1:3"/>
    <row r="1137" spans="1:3">
      <c r="A1137" s="291"/>
      <c r="B1137" s="291"/>
      <c r="C1137" s="291"/>
    </row>
    <row r="1138" spans="1:3">
      <c r="A1138" s="291"/>
      <c r="B1138" s="291"/>
      <c r="C1138" s="291"/>
    </row>
    <row r="1139" spans="1:3">
      <c r="A1139" s="291"/>
      <c r="B1139" s="291"/>
      <c r="C1139" s="291"/>
    </row>
    <row r="1140" spans="1:3">
      <c r="A1140" s="291"/>
      <c r="B1140" s="291"/>
      <c r="C1140" s="291"/>
    </row>
    <row r="1141" spans="1:3">
      <c r="A1141" s="291"/>
      <c r="B1141" s="291"/>
      <c r="C1141" s="291"/>
    </row>
    <row r="1142" spans="1:3">
      <c r="A1142" s="291"/>
      <c r="B1142" s="291"/>
      <c r="C1142" s="291"/>
    </row>
    <row r="1143" spans="1:3">
      <c r="A1143" s="291"/>
      <c r="B1143" s="291"/>
      <c r="C1143" s="291"/>
    </row>
    <row r="1144" spans="1:3">
      <c r="A1144" s="291"/>
      <c r="B1144" s="291"/>
      <c r="C1144" s="291"/>
    </row>
    <row r="1145" spans="1:3">
      <c r="A1145" s="291"/>
      <c r="B1145" s="291"/>
      <c r="C1145" s="291"/>
    </row>
    <row r="1146" spans="1:3">
      <c r="A1146" s="291"/>
      <c r="B1146" s="291"/>
      <c r="C1146" s="291"/>
    </row>
    <row r="1147" spans="1:3">
      <c r="A1147" s="291"/>
      <c r="B1147" s="291"/>
      <c r="C1147" s="291"/>
    </row>
    <row r="1148" spans="1:3">
      <c r="A1148" s="291"/>
      <c r="B1148" s="291"/>
      <c r="C1148" s="291"/>
    </row>
    <row r="1149" spans="1:3">
      <c r="A1149" s="291"/>
      <c r="B1149" s="291"/>
      <c r="C1149" s="291"/>
    </row>
    <row r="1150" spans="1:3">
      <c r="A1150" s="291"/>
      <c r="B1150" s="291"/>
      <c r="C1150" s="291"/>
    </row>
    <row r="1151" spans="1:3">
      <c r="A1151" s="291"/>
      <c r="B1151" s="291"/>
      <c r="C1151" s="291"/>
    </row>
    <row r="1152" spans="1:3">
      <c r="A1152" s="291"/>
      <c r="B1152" s="291"/>
      <c r="C1152" s="291"/>
    </row>
    <row r="1153" spans="1:3">
      <c r="A1153" s="291"/>
      <c r="B1153" s="291"/>
      <c r="C1153" s="291"/>
    </row>
    <row r="1154" spans="1:3">
      <c r="A1154" s="291"/>
      <c r="B1154" s="291"/>
      <c r="C1154" s="291"/>
    </row>
    <row r="1155" spans="1:3">
      <c r="A1155" s="291"/>
      <c r="B1155" s="291"/>
      <c r="C1155" s="291"/>
    </row>
    <row r="1156" spans="1:3">
      <c r="A1156" s="291"/>
      <c r="B1156" s="291"/>
      <c r="C1156" s="291"/>
    </row>
    <row r="1157" spans="1:3">
      <c r="A1157" s="291"/>
      <c r="B1157" s="291"/>
      <c r="C1157" s="291"/>
    </row>
    <row r="1158" spans="1:3">
      <c r="A1158" s="291"/>
      <c r="B1158" s="291"/>
      <c r="C1158" s="291"/>
    </row>
    <row r="1159" spans="1:3">
      <c r="A1159" s="291"/>
      <c r="B1159" s="291"/>
      <c r="C1159" s="291"/>
    </row>
    <row r="1160" spans="1:3">
      <c r="A1160" s="291"/>
      <c r="B1160" s="291"/>
      <c r="C1160" s="291"/>
    </row>
    <row r="1161" spans="1:3">
      <c r="A1161" s="291"/>
      <c r="B1161" s="291"/>
      <c r="C1161" s="291"/>
    </row>
    <row r="1162" spans="1:3">
      <c r="A1162" s="291"/>
      <c r="B1162" s="291"/>
      <c r="C1162" s="291"/>
    </row>
    <row r="1163" spans="1:3">
      <c r="A1163" s="291"/>
      <c r="B1163" s="291"/>
      <c r="C1163" s="291"/>
    </row>
    <row r="1164" spans="1:3">
      <c r="A1164" s="291"/>
      <c r="B1164" s="291"/>
      <c r="C1164" s="291"/>
    </row>
    <row r="1165" spans="1:3">
      <c r="A1165" s="291"/>
      <c r="B1165" s="291"/>
      <c r="C1165" s="291"/>
    </row>
    <row r="1166" spans="1:3">
      <c r="A1166" s="291"/>
      <c r="B1166" s="291"/>
      <c r="C1166" s="291"/>
    </row>
    <row r="1167" spans="1:3">
      <c r="A1167" s="291"/>
      <c r="B1167" s="291"/>
      <c r="C1167" s="291"/>
    </row>
    <row r="1168" spans="1:3">
      <c r="A1168" s="291"/>
      <c r="B1168" s="291"/>
      <c r="C1168" s="291"/>
    </row>
    <row r="1169" spans="1:3">
      <c r="A1169" s="291"/>
      <c r="B1169" s="291"/>
      <c r="C1169" s="291"/>
    </row>
    <row r="1170" spans="1:3">
      <c r="A1170" s="291"/>
      <c r="B1170" s="291"/>
      <c r="C1170" s="291"/>
    </row>
    <row r="1171" spans="1:3">
      <c r="A1171" s="291"/>
      <c r="B1171" s="291"/>
      <c r="C1171" s="291"/>
    </row>
    <row r="1172" spans="1:3">
      <c r="A1172" s="291"/>
      <c r="B1172" s="291"/>
      <c r="C1172" s="291"/>
    </row>
    <row r="1173" spans="1:3">
      <c r="A1173" s="291"/>
      <c r="B1173" s="291"/>
      <c r="C1173" s="291"/>
    </row>
    <row r="1174" spans="1:3">
      <c r="A1174" s="291"/>
      <c r="B1174" s="291"/>
      <c r="C1174" s="291"/>
    </row>
    <row r="1175" spans="1:3">
      <c r="A1175" s="291"/>
      <c r="B1175" s="291"/>
      <c r="C1175" s="291"/>
    </row>
    <row r="1176" spans="1:3">
      <c r="A1176" s="291"/>
      <c r="B1176" s="291"/>
      <c r="C1176" s="291"/>
    </row>
    <row r="1177" spans="1:3">
      <c r="A1177" s="291"/>
      <c r="B1177" s="291"/>
      <c r="C1177" s="291"/>
    </row>
    <row r="1178" spans="1:3">
      <c r="A1178" s="291"/>
      <c r="B1178" s="291"/>
      <c r="C1178" s="291"/>
    </row>
    <row r="1179" spans="1:3">
      <c r="A1179" s="291"/>
      <c r="B1179" s="291"/>
      <c r="C1179" s="291"/>
    </row>
    <row r="1180" spans="1:3">
      <c r="A1180" s="291"/>
      <c r="B1180" s="291"/>
      <c r="C1180" s="291"/>
    </row>
    <row r="1181" spans="1:3">
      <c r="A1181" s="291"/>
      <c r="B1181" s="291"/>
      <c r="C1181" s="291"/>
    </row>
    <row r="1182" spans="1:3">
      <c r="A1182" s="291"/>
      <c r="B1182" s="291"/>
      <c r="C1182" s="291"/>
    </row>
    <row r="1183" spans="1:3">
      <c r="A1183" s="291"/>
      <c r="B1183" s="291"/>
      <c r="C1183" s="291"/>
    </row>
    <row r="1184" spans="1:3">
      <c r="A1184" s="291"/>
      <c r="B1184" s="291"/>
      <c r="C1184" s="291"/>
    </row>
    <row r="1185" spans="1:3">
      <c r="A1185" s="291"/>
      <c r="B1185" s="291"/>
      <c r="C1185" s="291"/>
    </row>
    <row r="1186" spans="1:3">
      <c r="A1186" s="291"/>
      <c r="B1186" s="291"/>
      <c r="C1186" s="291"/>
    </row>
    <row r="1187" spans="1:3">
      <c r="A1187" s="291"/>
      <c r="B1187" s="291"/>
      <c r="C1187" s="291"/>
    </row>
    <row r="1188" spans="1:3">
      <c r="A1188" s="291"/>
      <c r="B1188" s="291"/>
      <c r="C1188" s="291"/>
    </row>
    <row r="1189" spans="1:3">
      <c r="A1189" s="291"/>
      <c r="B1189" s="291"/>
      <c r="C1189" s="291"/>
    </row>
    <row r="1190" spans="1:3">
      <c r="A1190" s="291"/>
      <c r="B1190" s="291"/>
      <c r="C1190" s="291"/>
    </row>
    <row r="1191" spans="1:3">
      <c r="A1191" s="291"/>
      <c r="B1191" s="291"/>
      <c r="C1191" s="291"/>
    </row>
    <row r="1192" spans="1:3">
      <c r="A1192" s="291"/>
      <c r="B1192" s="291"/>
      <c r="C1192" s="291"/>
    </row>
    <row r="1193" spans="1:3">
      <c r="A1193" s="291"/>
      <c r="B1193" s="291"/>
      <c r="C1193" s="291"/>
    </row>
    <row r="1194" spans="1:3">
      <c r="A1194" s="291"/>
      <c r="B1194" s="291"/>
      <c r="C1194" s="291"/>
    </row>
    <row r="1195" spans="1:3">
      <c r="A1195" s="291"/>
      <c r="B1195" s="291"/>
      <c r="C1195" s="291"/>
    </row>
    <row r="1196" spans="1:3">
      <c r="A1196" s="291"/>
      <c r="B1196" s="291"/>
      <c r="C1196" s="291"/>
    </row>
    <row r="1197" spans="1:3">
      <c r="A1197" s="291"/>
      <c r="B1197" s="291"/>
      <c r="C1197" s="291"/>
    </row>
    <row r="1198" spans="1:3">
      <c r="A1198" s="291"/>
      <c r="B1198" s="291"/>
      <c r="C1198" s="291"/>
    </row>
    <row r="1199" spans="1:3">
      <c r="A1199" s="291"/>
      <c r="B1199" s="291"/>
      <c r="C1199" s="291"/>
    </row>
    <row r="1200" spans="1:3">
      <c r="A1200" s="291"/>
      <c r="B1200" s="291"/>
      <c r="C1200" s="291"/>
    </row>
    <row r="1201" spans="1:3">
      <c r="A1201" s="291"/>
      <c r="B1201" s="291"/>
      <c r="C1201" s="291"/>
    </row>
    <row r="1202" spans="1:3">
      <c r="A1202" s="291"/>
      <c r="B1202" s="291"/>
      <c r="C1202" s="291"/>
    </row>
    <row r="1203" spans="1:3">
      <c r="A1203" s="291"/>
      <c r="B1203" s="291"/>
      <c r="C1203" s="291"/>
    </row>
    <row r="1204" spans="1:3">
      <c r="A1204" s="291"/>
      <c r="B1204" s="291"/>
      <c r="C1204" s="291"/>
    </row>
    <row r="1205" spans="1:3">
      <c r="A1205" s="291"/>
      <c r="B1205" s="291"/>
      <c r="C1205" s="291"/>
    </row>
    <row r="1206" spans="1:3">
      <c r="A1206" s="291"/>
      <c r="B1206" s="291"/>
      <c r="C1206" s="291"/>
    </row>
    <row r="1207" spans="1:3">
      <c r="A1207" s="291"/>
      <c r="B1207" s="291"/>
      <c r="C1207" s="291"/>
    </row>
    <row r="1208" spans="1:3">
      <c r="A1208" s="291"/>
      <c r="B1208" s="291"/>
      <c r="C1208" s="291"/>
    </row>
    <row r="1209" spans="1:3">
      <c r="A1209" s="291"/>
      <c r="B1209" s="291"/>
      <c r="C1209" s="291"/>
    </row>
    <row r="1210" spans="1:3">
      <c r="A1210" s="291"/>
      <c r="B1210" s="291"/>
      <c r="C1210" s="291"/>
    </row>
    <row r="1211" spans="1:3">
      <c r="A1211" s="291"/>
      <c r="B1211" s="291"/>
      <c r="C1211" s="291"/>
    </row>
    <row r="1212" spans="1:3">
      <c r="A1212" s="291"/>
      <c r="B1212" s="291"/>
      <c r="C1212" s="291"/>
    </row>
    <row r="1213" spans="1:3">
      <c r="A1213" s="291"/>
      <c r="B1213" s="291"/>
      <c r="C1213" s="291"/>
    </row>
    <row r="1214" spans="1:3">
      <c r="A1214" s="291"/>
      <c r="B1214" s="291"/>
      <c r="C1214" s="291"/>
    </row>
    <row r="1215" spans="1:3">
      <c r="A1215" s="291"/>
      <c r="B1215" s="291"/>
      <c r="C1215" s="291"/>
    </row>
    <row r="1216" spans="1:3">
      <c r="A1216" s="291"/>
      <c r="B1216" s="291"/>
      <c r="C1216" s="291"/>
    </row>
    <row r="1217" spans="1:3">
      <c r="A1217" s="291"/>
      <c r="B1217" s="291"/>
      <c r="C1217" s="291"/>
    </row>
    <row r="1218" spans="1:3">
      <c r="A1218" s="291"/>
      <c r="B1218" s="291"/>
      <c r="C1218" s="291"/>
    </row>
    <row r="1219" spans="1:3">
      <c r="A1219" s="291"/>
      <c r="B1219" s="291"/>
      <c r="C1219" s="291"/>
    </row>
    <row r="1220" spans="1:3">
      <c r="A1220" s="291"/>
      <c r="B1220" s="291"/>
      <c r="C1220" s="291"/>
    </row>
    <row r="1221" spans="1:3">
      <c r="A1221" s="291"/>
      <c r="B1221" s="291"/>
      <c r="C1221" s="291"/>
    </row>
    <row r="1222" spans="1:3">
      <c r="A1222" s="291"/>
      <c r="B1222" s="291"/>
      <c r="C1222" s="291"/>
    </row>
    <row r="1223" spans="1:3">
      <c r="A1223" s="291"/>
      <c r="B1223" s="291"/>
      <c r="C1223" s="291"/>
    </row>
    <row r="1224" spans="1:3">
      <c r="A1224" s="291"/>
      <c r="B1224" s="291"/>
      <c r="C1224" s="291"/>
    </row>
    <row r="1225" spans="1:3">
      <c r="A1225" s="291"/>
      <c r="B1225" s="291"/>
      <c r="C1225" s="291"/>
    </row>
    <row r="1226" spans="1:3">
      <c r="A1226" s="291"/>
      <c r="B1226" s="291"/>
      <c r="C1226" s="291"/>
    </row>
    <row r="1227" spans="1:3">
      <c r="A1227" s="291"/>
      <c r="B1227" s="291"/>
      <c r="C1227" s="291"/>
    </row>
    <row r="1228" spans="1:3">
      <c r="A1228" s="291"/>
      <c r="B1228" s="291"/>
      <c r="C1228" s="291"/>
    </row>
    <row r="1229" spans="1:3">
      <c r="A1229" s="291"/>
      <c r="B1229" s="291"/>
      <c r="C1229" s="291"/>
    </row>
    <row r="1230" spans="1:3">
      <c r="A1230" s="291"/>
      <c r="B1230" s="291"/>
      <c r="C1230" s="291"/>
    </row>
    <row r="1231" spans="1:3">
      <c r="A1231" s="291"/>
      <c r="B1231" s="291"/>
      <c r="C1231" s="291"/>
    </row>
    <row r="1232" spans="1:3">
      <c r="A1232" s="291"/>
      <c r="B1232" s="291"/>
      <c r="C1232" s="291"/>
    </row>
    <row r="1233" spans="1:3">
      <c r="A1233" s="291"/>
      <c r="B1233" s="291"/>
      <c r="C1233" s="291"/>
    </row>
    <row r="1234" spans="1:3">
      <c r="A1234" s="291"/>
      <c r="B1234" s="291"/>
      <c r="C1234" s="291"/>
    </row>
    <row r="1235" spans="1:3">
      <c r="A1235" s="291"/>
      <c r="B1235" s="291"/>
      <c r="C1235" s="291"/>
    </row>
    <row r="1236" spans="1:3">
      <c r="A1236" s="291"/>
      <c r="B1236" s="291"/>
      <c r="C1236" s="291"/>
    </row>
    <row r="1237" spans="1:3">
      <c r="A1237" s="291"/>
      <c r="B1237" s="291"/>
      <c r="C1237" s="291"/>
    </row>
    <row r="1238" spans="1:3">
      <c r="A1238" s="291"/>
      <c r="B1238" s="291"/>
      <c r="C1238" s="291"/>
    </row>
    <row r="1239" spans="1:3">
      <c r="A1239" s="291"/>
      <c r="B1239" s="291"/>
      <c r="C1239" s="291"/>
    </row>
    <row r="1240" spans="1:3">
      <c r="A1240" s="291"/>
      <c r="B1240" s="291"/>
      <c r="C1240" s="291"/>
    </row>
    <row r="1241" spans="1:3">
      <c r="A1241" s="291"/>
      <c r="B1241" s="291"/>
      <c r="C1241" s="291"/>
    </row>
    <row r="1242" spans="1:3">
      <c r="A1242" s="291"/>
      <c r="B1242" s="291"/>
      <c r="C1242" s="291"/>
    </row>
    <row r="1243" spans="1:3">
      <c r="A1243" s="291"/>
      <c r="B1243" s="291"/>
      <c r="C1243" s="291"/>
    </row>
    <row r="1244" spans="1:3">
      <c r="A1244" s="291"/>
      <c r="B1244" s="291"/>
      <c r="C1244" s="291"/>
    </row>
    <row r="1245" spans="1:3">
      <c r="A1245" s="291"/>
      <c r="B1245" s="291"/>
      <c r="C1245" s="291"/>
    </row>
    <row r="1246" spans="1:3">
      <c r="A1246" s="291"/>
      <c r="B1246" s="291"/>
      <c r="C1246" s="291"/>
    </row>
    <row r="1247" spans="1:3">
      <c r="A1247" s="291"/>
      <c r="B1247" s="291"/>
      <c r="C1247" s="291"/>
    </row>
    <row r="1248" spans="1:3">
      <c r="A1248" s="291"/>
      <c r="B1248" s="291"/>
      <c r="C1248" s="291"/>
    </row>
    <row r="1249" spans="1:3">
      <c r="A1249" s="291"/>
      <c r="B1249" s="291"/>
      <c r="C1249" s="291"/>
    </row>
    <row r="1250" spans="1:3">
      <c r="A1250" s="291"/>
      <c r="B1250" s="291"/>
      <c r="C1250" s="291"/>
    </row>
    <row r="1251" spans="1:3">
      <c r="A1251" s="291"/>
      <c r="B1251" s="291"/>
      <c r="C1251" s="291"/>
    </row>
    <row r="1252" spans="1:3">
      <c r="A1252" s="291"/>
      <c r="B1252" s="291"/>
      <c r="C1252" s="291"/>
    </row>
    <row r="1253" spans="1:3">
      <c r="A1253" s="291"/>
      <c r="B1253" s="291"/>
      <c r="C1253" s="291"/>
    </row>
    <row r="1254" spans="1:3">
      <c r="A1254" s="291"/>
      <c r="B1254" s="291"/>
      <c r="C1254" s="291"/>
    </row>
    <row r="1255" spans="1:3">
      <c r="A1255" s="291"/>
      <c r="B1255" s="291"/>
      <c r="C1255" s="291"/>
    </row>
    <row r="1256" spans="1:3">
      <c r="A1256" s="291"/>
      <c r="B1256" s="291"/>
      <c r="C1256" s="291"/>
    </row>
    <row r="1257" spans="1:3">
      <c r="A1257" s="291"/>
      <c r="B1257" s="291"/>
      <c r="C1257" s="291"/>
    </row>
    <row r="1258" spans="1:3">
      <c r="A1258" s="291"/>
      <c r="B1258" s="291"/>
      <c r="C1258" s="291"/>
    </row>
    <row r="1259" spans="1:3">
      <c r="A1259" s="291"/>
      <c r="B1259" s="291"/>
      <c r="C1259" s="291"/>
    </row>
    <row r="1260" spans="1:3">
      <c r="A1260" s="291"/>
      <c r="B1260" s="291"/>
      <c r="C1260" s="291"/>
    </row>
    <row r="1261" spans="1:3">
      <c r="A1261" s="291"/>
      <c r="B1261" s="291"/>
      <c r="C1261" s="291"/>
    </row>
    <row r="1262" spans="1:3">
      <c r="A1262" s="291"/>
      <c r="B1262" s="291"/>
      <c r="C1262" s="291"/>
    </row>
    <row r="1263" spans="1:3">
      <c r="A1263" s="291"/>
      <c r="B1263" s="291"/>
      <c r="C1263" s="291"/>
    </row>
    <row r="1264" spans="1:3">
      <c r="A1264" s="291"/>
      <c r="B1264" s="291"/>
      <c r="C1264" s="291"/>
    </row>
    <row r="1265" spans="1:3">
      <c r="A1265" s="291"/>
      <c r="B1265" s="291"/>
      <c r="C1265" s="291"/>
    </row>
    <row r="1266" spans="1:3">
      <c r="A1266" s="291"/>
      <c r="B1266" s="291"/>
      <c r="C1266" s="291"/>
    </row>
    <row r="1267" spans="1:3">
      <c r="A1267" s="291"/>
      <c r="B1267" s="291"/>
      <c r="C1267" s="291"/>
    </row>
    <row r="1268" spans="1:3">
      <c r="A1268" s="291"/>
      <c r="B1268" s="291"/>
      <c r="C1268" s="291"/>
    </row>
    <row r="1269" spans="1:3">
      <c r="A1269" s="291"/>
      <c r="B1269" s="291"/>
      <c r="C1269" s="291"/>
    </row>
    <row r="1270" spans="1:3">
      <c r="A1270" s="291"/>
      <c r="B1270" s="291"/>
      <c r="C1270" s="291"/>
    </row>
    <row r="1271" spans="1:3">
      <c r="A1271" s="291"/>
      <c r="B1271" s="291"/>
      <c r="C1271" s="291"/>
    </row>
    <row r="1272" spans="1:3">
      <c r="A1272" s="291"/>
      <c r="B1272" s="291"/>
      <c r="C1272" s="291"/>
    </row>
    <row r="1273" spans="1:3">
      <c r="A1273" s="291"/>
      <c r="B1273" s="291"/>
      <c r="C1273" s="291"/>
    </row>
    <row r="1274" spans="1:3">
      <c r="A1274" s="291"/>
      <c r="B1274" s="291"/>
      <c r="C1274" s="291"/>
    </row>
    <row r="1275" spans="1:3">
      <c r="A1275" s="291"/>
      <c r="B1275" s="291"/>
      <c r="C1275" s="291"/>
    </row>
    <row r="1276" spans="1:3">
      <c r="A1276" s="291"/>
      <c r="B1276" s="291"/>
      <c r="C1276" s="291"/>
    </row>
    <row r="1277" spans="1:3">
      <c r="A1277" s="291"/>
      <c r="B1277" s="291"/>
      <c r="C1277" s="291"/>
    </row>
    <row r="1278" spans="1:3">
      <c r="A1278" s="291"/>
      <c r="B1278" s="291"/>
      <c r="C1278" s="291"/>
    </row>
    <row r="1279" spans="1:3">
      <c r="A1279" s="291"/>
      <c r="B1279" s="291"/>
      <c r="C1279" s="291"/>
    </row>
    <row r="1280" spans="1:3">
      <c r="A1280" s="291"/>
      <c r="B1280" s="291"/>
      <c r="C1280" s="291"/>
    </row>
    <row r="1281" spans="1:3">
      <c r="A1281" s="291"/>
      <c r="B1281" s="291"/>
      <c r="C1281" s="291"/>
    </row>
    <row r="1282" spans="1:3">
      <c r="A1282" s="291"/>
      <c r="B1282" s="291"/>
      <c r="C1282" s="291"/>
    </row>
    <row r="1283" spans="1:3">
      <c r="A1283" s="291"/>
      <c r="B1283" s="291"/>
      <c r="C1283" s="291"/>
    </row>
    <row r="1284" spans="1:3">
      <c r="A1284" s="291"/>
      <c r="B1284" s="291"/>
      <c r="C1284" s="291"/>
    </row>
    <row r="1285" spans="1:3">
      <c r="A1285" s="291"/>
      <c r="B1285" s="291"/>
      <c r="C1285" s="291"/>
    </row>
    <row r="1286" spans="1:3">
      <c r="A1286" s="291"/>
      <c r="B1286" s="291"/>
      <c r="C1286" s="291"/>
    </row>
    <row r="1287" spans="1:3">
      <c r="A1287" s="291"/>
      <c r="B1287" s="291"/>
      <c r="C1287" s="291"/>
    </row>
    <row r="1288" spans="1:3">
      <c r="A1288" s="291"/>
      <c r="B1288" s="291"/>
      <c r="C1288" s="291"/>
    </row>
    <row r="1289" spans="1:3">
      <c r="A1289" s="291"/>
      <c r="B1289" s="291"/>
      <c r="C1289" s="291"/>
    </row>
    <row r="1290" spans="1:3">
      <c r="A1290" s="291"/>
      <c r="B1290" s="291"/>
      <c r="C1290" s="291"/>
    </row>
    <row r="1291" spans="1:3">
      <c r="A1291" s="291"/>
      <c r="B1291" s="291"/>
      <c r="C1291" s="291"/>
    </row>
    <row r="1292" spans="1:3">
      <c r="A1292" s="291"/>
      <c r="B1292" s="291"/>
      <c r="C1292" s="291"/>
    </row>
    <row r="1293" spans="1:3">
      <c r="A1293" s="291"/>
      <c r="B1293" s="291"/>
      <c r="C1293" s="291"/>
    </row>
    <row r="1294" spans="1:3">
      <c r="A1294" s="291"/>
      <c r="B1294" s="291"/>
      <c r="C1294" s="291"/>
    </row>
    <row r="1295" spans="1:3">
      <c r="A1295" s="291"/>
      <c r="B1295" s="291"/>
      <c r="C1295" s="291"/>
    </row>
    <row r="1296" spans="1:3">
      <c r="A1296" s="291"/>
      <c r="B1296" s="291"/>
      <c r="C1296" s="291"/>
    </row>
    <row r="1297" spans="1:3">
      <c r="A1297" s="291"/>
      <c r="B1297" s="291"/>
      <c r="C1297" s="291"/>
    </row>
    <row r="1298" spans="1:3">
      <c r="A1298" s="291"/>
      <c r="B1298" s="291"/>
      <c r="C1298" s="291"/>
    </row>
    <row r="1299" spans="1:3">
      <c r="A1299" s="291"/>
      <c r="B1299" s="291"/>
      <c r="C1299" s="291"/>
    </row>
    <row r="1300" spans="1:3">
      <c r="A1300" s="291"/>
      <c r="B1300" s="291"/>
      <c r="C1300" s="291"/>
    </row>
    <row r="1301" spans="1:3">
      <c r="A1301" s="291"/>
      <c r="B1301" s="291"/>
      <c r="C1301" s="291"/>
    </row>
    <row r="1302" spans="1:3">
      <c r="A1302" s="291"/>
      <c r="B1302" s="291"/>
      <c r="C1302" s="291"/>
    </row>
    <row r="1303" spans="1:3">
      <c r="A1303" s="291"/>
      <c r="B1303" s="291"/>
      <c r="C1303" s="291"/>
    </row>
    <row r="1304" spans="1:3">
      <c r="A1304" s="291"/>
      <c r="B1304" s="291"/>
      <c r="C1304" s="291"/>
    </row>
    <row r="1305" spans="1:3">
      <c r="A1305" s="291"/>
      <c r="B1305" s="291"/>
      <c r="C1305" s="291"/>
    </row>
    <row r="1306" spans="1:3">
      <c r="A1306" s="291"/>
      <c r="B1306" s="291"/>
      <c r="C1306" s="291"/>
    </row>
    <row r="1307" spans="1:3">
      <c r="A1307" s="291"/>
      <c r="B1307" s="291"/>
      <c r="C1307" s="291"/>
    </row>
    <row r="1308" spans="1:3">
      <c r="A1308" s="291"/>
      <c r="B1308" s="291"/>
      <c r="C1308" s="291"/>
    </row>
    <row r="1309" spans="1:3">
      <c r="A1309" s="291"/>
      <c r="B1309" s="291"/>
      <c r="C1309" s="291"/>
    </row>
    <row r="1310" spans="1:3">
      <c r="A1310" s="291"/>
      <c r="B1310" s="291"/>
      <c r="C1310" s="291"/>
    </row>
    <row r="1311" spans="1:3">
      <c r="A1311" s="291"/>
      <c r="B1311" s="291"/>
      <c r="C1311" s="291"/>
    </row>
    <row r="1312" spans="1:3">
      <c r="A1312" s="291"/>
      <c r="B1312" s="291"/>
      <c r="C1312" s="291"/>
    </row>
    <row r="1313" spans="1:3">
      <c r="A1313" s="291"/>
      <c r="B1313" s="291"/>
      <c r="C1313" s="291"/>
    </row>
    <row r="1314" spans="1:3">
      <c r="A1314" s="291"/>
      <c r="B1314" s="291"/>
      <c r="C1314" s="291"/>
    </row>
    <row r="1315" spans="1:3">
      <c r="A1315" s="291"/>
      <c r="B1315" s="291"/>
      <c r="C1315" s="291"/>
    </row>
    <row r="1316" spans="1:3">
      <c r="A1316" s="291"/>
      <c r="B1316" s="291"/>
      <c r="C1316" s="291"/>
    </row>
    <row r="1317" spans="1:3">
      <c r="A1317" s="291"/>
      <c r="B1317" s="291"/>
      <c r="C1317" s="291"/>
    </row>
    <row r="1318" spans="1:3">
      <c r="A1318" s="291"/>
      <c r="B1318" s="291"/>
      <c r="C1318" s="291"/>
    </row>
    <row r="1319" spans="1:3">
      <c r="A1319" s="291"/>
      <c r="B1319" s="291"/>
      <c r="C1319" s="291"/>
    </row>
    <row r="1320" spans="1:3">
      <c r="A1320" s="291"/>
      <c r="B1320" s="291"/>
      <c r="C1320" s="291"/>
    </row>
    <row r="1321" spans="1:3">
      <c r="A1321" s="291"/>
      <c r="B1321" s="291"/>
      <c r="C1321" s="291"/>
    </row>
    <row r="1322" spans="1:3">
      <c r="A1322" s="291"/>
      <c r="B1322" s="291"/>
      <c r="C1322" s="291"/>
    </row>
    <row r="1323" spans="1:3">
      <c r="A1323" s="291"/>
      <c r="B1323" s="291"/>
      <c r="C1323" s="291"/>
    </row>
    <row r="1324" spans="1:3">
      <c r="A1324" s="291"/>
      <c r="B1324" s="291"/>
      <c r="C1324" s="291"/>
    </row>
    <row r="1325" spans="1:3">
      <c r="A1325" s="291"/>
      <c r="B1325" s="291"/>
      <c r="C1325" s="291"/>
    </row>
    <row r="1326" spans="1:3">
      <c r="A1326" s="291"/>
      <c r="B1326" s="291"/>
      <c r="C1326" s="291"/>
    </row>
    <row r="1327" spans="1:3">
      <c r="A1327" s="291"/>
      <c r="B1327" s="291"/>
      <c r="C1327" s="291"/>
    </row>
    <row r="1328" spans="1:3">
      <c r="A1328" s="291"/>
      <c r="B1328" s="291"/>
      <c r="C1328" s="291"/>
    </row>
    <row r="1329" spans="1:3">
      <c r="A1329" s="291"/>
      <c r="B1329" s="291"/>
      <c r="C1329" s="291"/>
    </row>
    <row r="1330" spans="1:3">
      <c r="A1330" s="291"/>
      <c r="B1330" s="291"/>
      <c r="C1330" s="291"/>
    </row>
    <row r="1331" spans="1:3">
      <c r="A1331" s="291"/>
      <c r="B1331" s="291"/>
      <c r="C1331" s="291"/>
    </row>
    <row r="1332" spans="1:3">
      <c r="A1332" s="291"/>
      <c r="B1332" s="291"/>
      <c r="C1332" s="291"/>
    </row>
    <row r="1333" spans="1:3">
      <c r="A1333" s="291"/>
      <c r="B1333" s="291"/>
      <c r="C1333" s="291"/>
    </row>
    <row r="1334" spans="1:3">
      <c r="A1334" s="291"/>
      <c r="B1334" s="291"/>
      <c r="C1334" s="291"/>
    </row>
    <row r="1335" spans="1:3">
      <c r="A1335" s="291"/>
      <c r="B1335" s="291"/>
      <c r="C1335" s="291"/>
    </row>
    <row r="1336" spans="1:3">
      <c r="A1336" s="291"/>
      <c r="B1336" s="291"/>
      <c r="C1336" s="291"/>
    </row>
    <row r="1337" spans="1:3">
      <c r="A1337" s="291"/>
      <c r="B1337" s="291"/>
      <c r="C1337" s="291"/>
    </row>
    <row r="1338" spans="1:3">
      <c r="A1338" s="291"/>
      <c r="B1338" s="291"/>
      <c r="C1338" s="291"/>
    </row>
    <row r="1339" spans="1:3">
      <c r="A1339" s="291"/>
      <c r="B1339" s="291"/>
      <c r="C1339" s="291"/>
    </row>
    <row r="1340" spans="1:3">
      <c r="A1340" s="291"/>
      <c r="B1340" s="291"/>
      <c r="C1340" s="291"/>
    </row>
    <row r="1341" spans="1:3">
      <c r="A1341" s="291"/>
      <c r="B1341" s="291"/>
      <c r="C1341" s="291"/>
    </row>
    <row r="1342" spans="1:3">
      <c r="A1342" s="291"/>
      <c r="B1342" s="291"/>
      <c r="C1342" s="291"/>
    </row>
    <row r="1343" spans="1:3">
      <c r="A1343" s="291"/>
      <c r="B1343" s="291"/>
      <c r="C1343" s="291"/>
    </row>
    <row r="1344" spans="1:3">
      <c r="A1344" s="291"/>
      <c r="B1344" s="291"/>
      <c r="C1344" s="291"/>
    </row>
    <row r="1345" spans="1:3">
      <c r="A1345" s="291"/>
      <c r="B1345" s="291"/>
      <c r="C1345" s="291"/>
    </row>
    <row r="1346" spans="1:3">
      <c r="A1346" s="291"/>
      <c r="B1346" s="291"/>
      <c r="C1346" s="291"/>
    </row>
    <row r="1347" spans="1:3">
      <c r="A1347" s="291"/>
      <c r="B1347" s="291"/>
      <c r="C1347" s="291"/>
    </row>
    <row r="1348" spans="1:3">
      <c r="A1348" s="291"/>
      <c r="B1348" s="291"/>
      <c r="C1348" s="291"/>
    </row>
    <row r="1349" spans="1:3">
      <c r="A1349" s="291"/>
      <c r="B1349" s="291"/>
      <c r="C1349" s="291"/>
    </row>
    <row r="1350" spans="1:3">
      <c r="A1350" s="291"/>
      <c r="B1350" s="291"/>
      <c r="C1350" s="291"/>
    </row>
    <row r="1351" spans="1:3">
      <c r="A1351" s="291"/>
      <c r="B1351" s="291"/>
      <c r="C1351" s="291"/>
    </row>
    <row r="1352" spans="1:3">
      <c r="A1352" s="291"/>
      <c r="B1352" s="291"/>
      <c r="C1352" s="291"/>
    </row>
    <row r="1353" spans="1:3">
      <c r="A1353" s="291"/>
      <c r="B1353" s="291"/>
      <c r="C1353" s="291"/>
    </row>
    <row r="1354" spans="1:3">
      <c r="A1354" s="291"/>
      <c r="B1354" s="291"/>
      <c r="C1354" s="291"/>
    </row>
    <row r="1355" spans="1:3">
      <c r="A1355" s="291"/>
      <c r="B1355" s="291"/>
      <c r="C1355" s="291"/>
    </row>
    <row r="1356" spans="1:3">
      <c r="A1356" s="291"/>
      <c r="B1356" s="291"/>
      <c r="C1356" s="291"/>
    </row>
    <row r="1357" spans="1:3">
      <c r="A1357" s="291"/>
      <c r="B1357" s="291"/>
      <c r="C1357" s="291"/>
    </row>
    <row r="1358" spans="1:3">
      <c r="A1358" s="291"/>
      <c r="B1358" s="291"/>
      <c r="C1358" s="291"/>
    </row>
    <row r="1359" spans="1:3">
      <c r="A1359" s="291"/>
      <c r="B1359" s="291"/>
      <c r="C1359" s="291"/>
    </row>
    <row r="1360" spans="1:3">
      <c r="A1360" s="291"/>
      <c r="B1360" s="291"/>
      <c r="C1360" s="291"/>
    </row>
    <row r="1361" spans="1:3">
      <c r="A1361" s="291"/>
      <c r="B1361" s="291"/>
      <c r="C1361" s="291"/>
    </row>
    <row r="1362" spans="1:3">
      <c r="A1362" s="291"/>
      <c r="B1362" s="291"/>
      <c r="C1362" s="291"/>
    </row>
    <row r="1363" spans="1:3">
      <c r="A1363" s="291"/>
      <c r="B1363" s="291"/>
      <c r="C1363" s="291"/>
    </row>
    <row r="1364" spans="1:3">
      <c r="A1364" s="291"/>
      <c r="B1364" s="291"/>
      <c r="C1364" s="291"/>
    </row>
    <row r="1365" spans="1:3">
      <c r="A1365" s="291"/>
      <c r="B1365" s="291"/>
      <c r="C1365" s="291"/>
    </row>
    <row r="1366" spans="1:3">
      <c r="A1366" s="291"/>
      <c r="B1366" s="291"/>
      <c r="C1366" s="291"/>
    </row>
    <row r="1367" spans="1:3">
      <c r="A1367" s="291"/>
      <c r="B1367" s="291"/>
      <c r="C1367" s="291"/>
    </row>
    <row r="1368" spans="1:3">
      <c r="A1368" s="291"/>
      <c r="B1368" s="291"/>
      <c r="C1368" s="291"/>
    </row>
    <row r="1369" spans="1:3">
      <c r="A1369" s="291"/>
      <c r="B1369" s="291"/>
      <c r="C1369" s="291"/>
    </row>
    <row r="1370" spans="1:3">
      <c r="A1370" s="291"/>
      <c r="B1370" s="291"/>
      <c r="C1370" s="291"/>
    </row>
    <row r="1371" spans="1:3">
      <c r="A1371" s="291"/>
      <c r="B1371" s="291"/>
      <c r="C1371" s="291"/>
    </row>
    <row r="1372" spans="1:3">
      <c r="A1372" s="291"/>
      <c r="B1372" s="291"/>
      <c r="C1372" s="291"/>
    </row>
    <row r="1373" spans="1:3">
      <c r="A1373" s="291"/>
      <c r="B1373" s="291"/>
      <c r="C1373" s="291"/>
    </row>
    <row r="1374" spans="1:3">
      <c r="A1374" s="291"/>
      <c r="B1374" s="291"/>
      <c r="C1374" s="291"/>
    </row>
    <row r="1375" spans="1:3">
      <c r="A1375" s="291"/>
      <c r="B1375" s="291"/>
      <c r="C1375" s="291"/>
    </row>
    <row r="1376" spans="1:3">
      <c r="A1376" s="291"/>
      <c r="B1376" s="291"/>
      <c r="C1376" s="291"/>
    </row>
    <row r="1377" spans="1:3"/>
    <row r="1378" spans="1:3"/>
    <row r="1379" spans="1:3">
      <c r="A1379" s="291"/>
      <c r="B1379" s="291"/>
      <c r="C1379" s="291"/>
    </row>
    <row r="1380" spans="1:3">
      <c r="A1380" s="291"/>
      <c r="B1380" s="291"/>
      <c r="C1380" s="291"/>
    </row>
    <row r="1381" spans="1:3">
      <c r="A1381" s="291"/>
      <c r="B1381" s="291"/>
      <c r="C1381" s="291"/>
    </row>
    <row r="1382" spans="1:3">
      <c r="A1382" s="291"/>
      <c r="B1382" s="291"/>
      <c r="C1382" s="291"/>
    </row>
    <row r="1383" spans="1:3">
      <c r="A1383" s="291"/>
      <c r="B1383" s="291"/>
      <c r="C1383" s="291"/>
    </row>
    <row r="1384" spans="1:3">
      <c r="A1384" s="291"/>
      <c r="B1384" s="291"/>
      <c r="C1384" s="291"/>
    </row>
    <row r="1385" spans="1:3">
      <c r="A1385" s="291"/>
      <c r="B1385" s="291"/>
      <c r="C1385" s="291"/>
    </row>
    <row r="1386" spans="1:3">
      <c r="A1386" s="291"/>
      <c r="B1386" s="291"/>
      <c r="C1386" s="291"/>
    </row>
    <row r="1387" spans="1:3">
      <c r="A1387" s="291"/>
      <c r="B1387" s="291"/>
      <c r="C1387" s="291"/>
    </row>
    <row r="1388" spans="1:3">
      <c r="A1388" s="291"/>
      <c r="B1388" s="291"/>
      <c r="C1388" s="291"/>
    </row>
    <row r="1389" spans="1:3">
      <c r="A1389" s="291"/>
      <c r="B1389" s="291"/>
      <c r="C1389" s="291"/>
    </row>
    <row r="1390" spans="1:3">
      <c r="A1390" s="291"/>
      <c r="B1390" s="291"/>
      <c r="C1390" s="291"/>
    </row>
    <row r="1391" spans="1:3">
      <c r="A1391" s="291"/>
      <c r="B1391" s="291"/>
      <c r="C1391" s="291"/>
    </row>
    <row r="1392" spans="1:3">
      <c r="A1392" s="291"/>
      <c r="B1392" s="291"/>
      <c r="C1392" s="291"/>
    </row>
    <row r="1393" spans="1:3">
      <c r="A1393" s="291"/>
      <c r="B1393" s="291"/>
      <c r="C1393" s="291"/>
    </row>
    <row r="1394" spans="1:3">
      <c r="A1394" s="291"/>
      <c r="B1394" s="291"/>
      <c r="C1394" s="291"/>
    </row>
    <row r="1395" spans="1:3">
      <c r="A1395" s="291"/>
      <c r="B1395" s="291"/>
      <c r="C1395" s="291"/>
    </row>
    <row r="1396" spans="1:3">
      <c r="A1396" s="291"/>
      <c r="B1396" s="291"/>
      <c r="C1396" s="291"/>
    </row>
    <row r="1397" spans="1:3">
      <c r="A1397" s="291"/>
      <c r="B1397" s="291"/>
      <c r="C1397" s="291"/>
    </row>
    <row r="1398" spans="1:3">
      <c r="A1398" s="291"/>
      <c r="B1398" s="291"/>
      <c r="C1398" s="291"/>
    </row>
    <row r="1399" spans="1:3">
      <c r="A1399" s="291"/>
      <c r="B1399" s="291"/>
      <c r="C1399" s="291"/>
    </row>
    <row r="1400" spans="1:3">
      <c r="A1400" s="291"/>
      <c r="B1400" s="291"/>
      <c r="C1400" s="291"/>
    </row>
    <row r="1401" spans="1:3">
      <c r="A1401" s="291"/>
      <c r="B1401" s="291"/>
      <c r="C1401" s="291"/>
    </row>
    <row r="1402" spans="1:3">
      <c r="A1402" s="291"/>
      <c r="B1402" s="291"/>
      <c r="C1402" s="291"/>
    </row>
    <row r="1403" spans="1:3">
      <c r="A1403" s="291"/>
      <c r="B1403" s="291"/>
      <c r="C1403" s="291"/>
    </row>
    <row r="1404" spans="1:3">
      <c r="A1404" s="291"/>
      <c r="B1404" s="291"/>
      <c r="C1404" s="291"/>
    </row>
    <row r="1405" spans="1:3">
      <c r="A1405" s="291"/>
      <c r="B1405" s="291"/>
      <c r="C1405" s="291"/>
    </row>
    <row r="1406" spans="1:3">
      <c r="A1406" s="291"/>
      <c r="B1406" s="291"/>
      <c r="C1406" s="291"/>
    </row>
    <row r="1407" spans="1:3">
      <c r="A1407" s="291"/>
      <c r="B1407" s="291"/>
      <c r="C1407" s="291"/>
    </row>
    <row r="1408" spans="1:3">
      <c r="A1408" s="291"/>
      <c r="B1408" s="291"/>
      <c r="C1408" s="291"/>
    </row>
    <row r="1409" spans="1:3">
      <c r="A1409" s="291"/>
      <c r="B1409" s="291"/>
      <c r="C1409" s="291"/>
    </row>
    <row r="1410" spans="1:3">
      <c r="A1410" s="291"/>
      <c r="B1410" s="291"/>
      <c r="C1410" s="291"/>
    </row>
    <row r="1411" spans="1:3">
      <c r="A1411" s="291"/>
      <c r="B1411" s="291"/>
      <c r="C1411" s="291"/>
    </row>
    <row r="1412" spans="1:3">
      <c r="A1412" s="291"/>
      <c r="B1412" s="291"/>
      <c r="C1412" s="291"/>
    </row>
    <row r="1413" spans="1:3">
      <c r="A1413" s="291"/>
      <c r="B1413" s="291"/>
      <c r="C1413" s="291"/>
    </row>
    <row r="1414" spans="1:3">
      <c r="A1414" s="291"/>
      <c r="B1414" s="291"/>
      <c r="C1414" s="291"/>
    </row>
    <row r="1415" spans="1:3">
      <c r="A1415" s="291"/>
      <c r="B1415" s="291"/>
      <c r="C1415" s="291"/>
    </row>
    <row r="1416" spans="1:3">
      <c r="A1416" s="291"/>
      <c r="B1416" s="291"/>
      <c r="C1416" s="291"/>
    </row>
    <row r="1417" spans="1:3">
      <c r="A1417" s="291"/>
      <c r="B1417" s="291"/>
      <c r="C1417" s="291"/>
    </row>
    <row r="1418" spans="1:3">
      <c r="A1418" s="291"/>
      <c r="B1418" s="291"/>
      <c r="C1418" s="291"/>
    </row>
    <row r="1419" spans="1:3">
      <c r="A1419" s="291"/>
      <c r="B1419" s="291"/>
      <c r="C1419" s="291"/>
    </row>
    <row r="1420" spans="1:3">
      <c r="A1420" s="291"/>
      <c r="B1420" s="291"/>
      <c r="C1420" s="291"/>
    </row>
    <row r="1421" spans="1:3">
      <c r="A1421" s="291"/>
      <c r="B1421" s="291"/>
      <c r="C1421" s="291"/>
    </row>
    <row r="1422" spans="1:3">
      <c r="A1422" s="291"/>
      <c r="B1422" s="291"/>
      <c r="C1422" s="291"/>
    </row>
    <row r="1423" spans="1:3">
      <c r="A1423" s="291"/>
      <c r="B1423" s="291"/>
      <c r="C1423" s="291"/>
    </row>
    <row r="1424" spans="1:3">
      <c r="A1424" s="291"/>
      <c r="B1424" s="291"/>
      <c r="C1424" s="291"/>
    </row>
    <row r="1425" spans="1:3">
      <c r="A1425" s="291"/>
      <c r="B1425" s="291"/>
      <c r="C1425" s="291"/>
    </row>
    <row r="1426" spans="1:3">
      <c r="A1426" s="291"/>
      <c r="B1426" s="291"/>
      <c r="C1426" s="291"/>
    </row>
    <row r="1427" spans="1:3">
      <c r="A1427" s="291"/>
      <c r="B1427" s="291"/>
      <c r="C1427" s="291"/>
    </row>
    <row r="1428" spans="1:3">
      <c r="A1428" s="291"/>
      <c r="B1428" s="291"/>
      <c r="C1428" s="291"/>
    </row>
    <row r="1429" spans="1:3">
      <c r="A1429" s="291"/>
      <c r="B1429" s="291"/>
      <c r="C1429" s="291"/>
    </row>
    <row r="1430" spans="1:3">
      <c r="A1430" s="291"/>
      <c r="B1430" s="291"/>
      <c r="C1430" s="291"/>
    </row>
    <row r="1431" spans="1:3">
      <c r="A1431" s="291"/>
      <c r="B1431" s="291"/>
      <c r="C1431" s="291"/>
    </row>
    <row r="1432" spans="1:3">
      <c r="A1432" s="291"/>
      <c r="B1432" s="291"/>
      <c r="C1432" s="291"/>
    </row>
    <row r="1433" spans="1:3">
      <c r="A1433" s="291"/>
      <c r="B1433" s="291"/>
      <c r="C1433" s="291"/>
    </row>
    <row r="1434" spans="1:3">
      <c r="A1434" s="291"/>
      <c r="B1434" s="291"/>
      <c r="C1434" s="291"/>
    </row>
    <row r="1435" spans="1:3">
      <c r="A1435" s="291"/>
      <c r="B1435" s="291"/>
      <c r="C1435" s="291"/>
    </row>
    <row r="1436" spans="1:3">
      <c r="A1436" s="291"/>
      <c r="B1436" s="291"/>
      <c r="C1436" s="291"/>
    </row>
    <row r="1437" spans="1:3">
      <c r="A1437" s="291"/>
      <c r="B1437" s="291"/>
      <c r="C1437" s="291"/>
    </row>
    <row r="1438" spans="1:3">
      <c r="A1438" s="291"/>
      <c r="B1438" s="291"/>
      <c r="C1438" s="291"/>
    </row>
    <row r="1439" spans="1:3">
      <c r="A1439" s="291"/>
      <c r="B1439" s="291"/>
      <c r="C1439" s="291"/>
    </row>
    <row r="1440" spans="1:3">
      <c r="A1440" s="291"/>
      <c r="B1440" s="291"/>
      <c r="C1440" s="291"/>
    </row>
    <row r="1441" spans="1:3">
      <c r="A1441" s="291"/>
      <c r="B1441" s="291"/>
      <c r="C1441" s="291"/>
    </row>
    <row r="1442" spans="1:3">
      <c r="A1442" s="291"/>
      <c r="B1442" s="291"/>
      <c r="C1442" s="291"/>
    </row>
    <row r="1443" spans="1:3">
      <c r="A1443" s="291"/>
      <c r="B1443" s="291"/>
      <c r="C1443" s="291"/>
    </row>
    <row r="1444" spans="1:3">
      <c r="A1444" s="291"/>
      <c r="B1444" s="291"/>
      <c r="C1444" s="291"/>
    </row>
    <row r="1445" spans="1:3">
      <c r="A1445" s="291"/>
      <c r="B1445" s="291"/>
      <c r="C1445" s="291"/>
    </row>
    <row r="1446" spans="1:3">
      <c r="A1446" s="291"/>
      <c r="B1446" s="291"/>
      <c r="C1446" s="291"/>
    </row>
    <row r="1447" spans="1:3">
      <c r="A1447" s="291"/>
      <c r="B1447" s="291"/>
      <c r="C1447" s="291"/>
    </row>
    <row r="1448" spans="1:3">
      <c r="A1448" s="291"/>
      <c r="B1448" s="291"/>
      <c r="C1448" s="291"/>
    </row>
    <row r="1449" spans="1:3">
      <c r="A1449" s="291"/>
      <c r="B1449" s="291"/>
      <c r="C1449" s="291"/>
    </row>
    <row r="1450" spans="1:3">
      <c r="A1450" s="291"/>
      <c r="B1450" s="291"/>
      <c r="C1450" s="291"/>
    </row>
    <row r="1451" spans="1:3">
      <c r="A1451" s="291"/>
      <c r="B1451" s="291"/>
      <c r="C1451" s="291"/>
    </row>
    <row r="1452" spans="1:3">
      <c r="A1452" s="291"/>
      <c r="B1452" s="291"/>
      <c r="C1452" s="291"/>
    </row>
    <row r="1453" spans="1:3">
      <c r="A1453" s="291"/>
      <c r="B1453" s="291"/>
      <c r="C1453" s="291"/>
    </row>
    <row r="1454" spans="1:3">
      <c r="A1454" s="291"/>
      <c r="B1454" s="291"/>
      <c r="C1454" s="291"/>
    </row>
    <row r="1455" spans="1:3">
      <c r="A1455" s="291"/>
      <c r="B1455" s="291"/>
      <c r="C1455" s="291"/>
    </row>
    <row r="1456" spans="1:3">
      <c r="A1456" s="291"/>
      <c r="B1456" s="291"/>
      <c r="C1456" s="291"/>
    </row>
    <row r="1457" spans="1:3">
      <c r="A1457" s="291"/>
      <c r="B1457" s="291"/>
      <c r="C1457" s="291"/>
    </row>
    <row r="1458" spans="1:3">
      <c r="A1458" s="291"/>
      <c r="B1458" s="291"/>
      <c r="C1458" s="291"/>
    </row>
    <row r="1459" spans="1:3">
      <c r="A1459" s="291"/>
      <c r="B1459" s="291"/>
      <c r="C1459" s="291"/>
    </row>
    <row r="1460" spans="1:3">
      <c r="A1460" s="291"/>
      <c r="B1460" s="291"/>
      <c r="C1460" s="291"/>
    </row>
    <row r="1461" spans="1:3">
      <c r="A1461" s="291"/>
      <c r="B1461" s="291"/>
      <c r="C1461" s="291"/>
    </row>
    <row r="1462" spans="1:3">
      <c r="A1462" s="291"/>
      <c r="B1462" s="291"/>
      <c r="C1462" s="291"/>
    </row>
    <row r="1463" spans="1:3">
      <c r="A1463" s="291"/>
      <c r="B1463" s="291"/>
      <c r="C1463" s="291"/>
    </row>
    <row r="1464" spans="1:3">
      <c r="A1464" s="291"/>
      <c r="B1464" s="291"/>
      <c r="C1464" s="291"/>
    </row>
    <row r="1465" spans="1:3">
      <c r="A1465" s="291"/>
      <c r="B1465" s="291"/>
      <c r="C1465" s="291"/>
    </row>
    <row r="1466" spans="1:3">
      <c r="A1466" s="291"/>
      <c r="B1466" s="291"/>
      <c r="C1466" s="291"/>
    </row>
    <row r="1467" spans="1:3">
      <c r="A1467" s="291"/>
      <c r="B1467" s="291"/>
      <c r="C1467" s="291"/>
    </row>
    <row r="1468" spans="1:3">
      <c r="A1468" s="291"/>
      <c r="B1468" s="291"/>
      <c r="C1468" s="291"/>
    </row>
    <row r="1469" spans="1:3">
      <c r="A1469" s="291"/>
      <c r="B1469" s="291"/>
      <c r="C1469" s="291"/>
    </row>
    <row r="1470" spans="1:3">
      <c r="A1470" s="291"/>
      <c r="B1470" s="291"/>
      <c r="C1470" s="291"/>
    </row>
    <row r="1471" spans="1:3">
      <c r="A1471" s="291"/>
      <c r="B1471" s="291"/>
      <c r="C1471" s="291"/>
    </row>
    <row r="1472" spans="1:3">
      <c r="A1472" s="291"/>
      <c r="B1472" s="291"/>
      <c r="C1472" s="291"/>
    </row>
    <row r="1473" spans="1:3">
      <c r="A1473" s="291"/>
      <c r="B1473" s="291"/>
      <c r="C1473" s="291"/>
    </row>
    <row r="1474" spans="1:3">
      <c r="A1474" s="291"/>
      <c r="B1474" s="291"/>
      <c r="C1474" s="291"/>
    </row>
    <row r="1475" spans="1:3">
      <c r="A1475" s="291"/>
      <c r="B1475" s="291"/>
      <c r="C1475" s="291"/>
    </row>
    <row r="1476" spans="1:3">
      <c r="A1476" s="291"/>
      <c r="B1476" s="291"/>
      <c r="C1476" s="291"/>
    </row>
    <row r="1477" spans="1:3">
      <c r="A1477" s="291"/>
      <c r="B1477" s="291"/>
      <c r="C1477" s="291"/>
    </row>
    <row r="1478" spans="1:3">
      <c r="A1478" s="291"/>
      <c r="B1478" s="291"/>
      <c r="C1478" s="291"/>
    </row>
    <row r="1479" spans="1:3">
      <c r="A1479" s="291"/>
      <c r="B1479" s="291"/>
      <c r="C1479" s="291"/>
    </row>
    <row r="1480" spans="1:3">
      <c r="A1480" s="291"/>
      <c r="B1480" s="291"/>
      <c r="C1480" s="291"/>
    </row>
    <row r="1481" spans="1:3">
      <c r="A1481" s="291"/>
      <c r="B1481" s="291"/>
      <c r="C1481" s="291"/>
    </row>
    <row r="1482" spans="1:3">
      <c r="A1482" s="291"/>
      <c r="B1482" s="291"/>
      <c r="C1482" s="291"/>
    </row>
    <row r="1483" spans="1:3">
      <c r="A1483" s="291"/>
      <c r="B1483" s="291"/>
      <c r="C1483" s="291"/>
    </row>
    <row r="1484" spans="1:3">
      <c r="A1484" s="291"/>
      <c r="B1484" s="291"/>
      <c r="C1484" s="291"/>
    </row>
    <row r="1485" spans="1:3">
      <c r="A1485" s="291"/>
      <c r="B1485" s="291"/>
      <c r="C1485" s="291"/>
    </row>
    <row r="1486" spans="1:3">
      <c r="A1486" s="291"/>
      <c r="B1486" s="291"/>
      <c r="C1486" s="291"/>
    </row>
    <row r="1487" spans="1:3">
      <c r="A1487" s="291"/>
      <c r="B1487" s="291"/>
      <c r="C1487" s="291"/>
    </row>
    <row r="1488" spans="1:3">
      <c r="A1488" s="291"/>
      <c r="B1488" s="291"/>
      <c r="C1488" s="291"/>
    </row>
    <row r="1489" spans="1:3">
      <c r="A1489" s="291"/>
      <c r="B1489" s="291"/>
      <c r="C1489" s="291"/>
    </row>
    <row r="1490" spans="1:3">
      <c r="A1490" s="291"/>
      <c r="B1490" s="291"/>
      <c r="C1490" s="291"/>
    </row>
    <row r="1491" spans="1:3">
      <c r="A1491" s="291"/>
      <c r="B1491" s="291"/>
      <c r="C1491" s="291"/>
    </row>
    <row r="1492" spans="1:3">
      <c r="A1492" s="291"/>
      <c r="B1492" s="291"/>
      <c r="C1492" s="291"/>
    </row>
    <row r="1493" spans="1:3">
      <c r="A1493" s="291"/>
      <c r="B1493" s="291"/>
      <c r="C1493" s="291"/>
    </row>
    <row r="1494" spans="1:3">
      <c r="A1494" s="291"/>
      <c r="B1494" s="291"/>
      <c r="C1494" s="291"/>
    </row>
    <row r="1495" spans="1:3">
      <c r="A1495" s="291"/>
      <c r="B1495" s="291"/>
      <c r="C1495" s="291"/>
    </row>
    <row r="1496" spans="1:3">
      <c r="A1496" s="291"/>
      <c r="B1496" s="291"/>
      <c r="C1496" s="291"/>
    </row>
    <row r="1497" spans="1:3">
      <c r="A1497" s="291"/>
      <c r="B1497" s="291"/>
      <c r="C1497" s="291"/>
    </row>
    <row r="1498" spans="1:3">
      <c r="A1498" s="291"/>
      <c r="B1498" s="291"/>
      <c r="C1498" s="291"/>
    </row>
    <row r="1499" spans="1:3">
      <c r="A1499" s="291"/>
      <c r="B1499" s="291"/>
      <c r="C1499" s="291"/>
    </row>
    <row r="1500" spans="1:3">
      <c r="A1500" s="291"/>
      <c r="B1500" s="291"/>
      <c r="C1500" s="291"/>
    </row>
    <row r="1501" spans="1:3">
      <c r="A1501" s="291"/>
      <c r="B1501" s="291"/>
      <c r="C1501" s="291"/>
    </row>
    <row r="1502" spans="1:3">
      <c r="A1502" s="291"/>
      <c r="B1502" s="291"/>
      <c r="C1502" s="291"/>
    </row>
    <row r="1503" spans="1:3">
      <c r="A1503" s="291"/>
      <c r="B1503" s="291"/>
      <c r="C1503" s="291"/>
    </row>
    <row r="1504" spans="1:3">
      <c r="A1504" s="291"/>
      <c r="B1504" s="291"/>
      <c r="C1504" s="291"/>
    </row>
    <row r="1505" spans="1:3">
      <c r="A1505" s="291"/>
      <c r="B1505" s="291"/>
      <c r="C1505" s="291"/>
    </row>
    <row r="1506" spans="1:3">
      <c r="A1506" s="291"/>
      <c r="B1506" s="291"/>
      <c r="C1506" s="291"/>
    </row>
    <row r="1507" spans="1:3">
      <c r="A1507" s="291"/>
      <c r="B1507" s="291"/>
      <c r="C1507" s="291"/>
    </row>
    <row r="1508" spans="1:3">
      <c r="A1508" s="291"/>
      <c r="B1508" s="291"/>
      <c r="C1508" s="291"/>
    </row>
    <row r="1509" spans="1:3">
      <c r="A1509" s="291"/>
      <c r="B1509" s="291"/>
      <c r="C1509" s="291"/>
    </row>
    <row r="1510" spans="1:3">
      <c r="A1510" s="291"/>
      <c r="B1510" s="291"/>
      <c r="C1510" s="291"/>
    </row>
    <row r="1511" spans="1:3">
      <c r="A1511" s="291"/>
      <c r="B1511" s="291"/>
      <c r="C1511" s="291"/>
    </row>
    <row r="1512" spans="1:3">
      <c r="A1512" s="291"/>
      <c r="B1512" s="291"/>
      <c r="C1512" s="291"/>
    </row>
    <row r="1513" spans="1:3">
      <c r="A1513" s="291"/>
      <c r="B1513" s="291"/>
      <c r="C1513" s="291"/>
    </row>
    <row r="1514" spans="1:3">
      <c r="A1514" s="291"/>
      <c r="B1514" s="291"/>
      <c r="C1514" s="291"/>
    </row>
    <row r="1515" spans="1:3">
      <c r="A1515" s="291"/>
      <c r="B1515" s="291"/>
      <c r="C1515" s="291"/>
    </row>
    <row r="1516" spans="1:3">
      <c r="A1516" s="291"/>
      <c r="B1516" s="291"/>
      <c r="C1516" s="291"/>
    </row>
    <row r="1517" spans="1:3">
      <c r="A1517" s="291"/>
      <c r="B1517" s="291"/>
      <c r="C1517" s="291"/>
    </row>
    <row r="1518" spans="1:3">
      <c r="A1518" s="291"/>
      <c r="B1518" s="291"/>
      <c r="C1518" s="291"/>
    </row>
    <row r="1519" spans="1:3">
      <c r="A1519" s="291"/>
      <c r="B1519" s="291"/>
      <c r="C1519" s="291"/>
    </row>
    <row r="1520" spans="1:3">
      <c r="A1520" s="291"/>
      <c r="B1520" s="291"/>
      <c r="C1520" s="291"/>
    </row>
    <row r="1521" spans="1:9">
      <c r="A1521" s="291"/>
      <c r="B1521" s="291"/>
      <c r="C1521" s="291"/>
    </row>
    <row r="1522" spans="1:9"/>
    <row r="1523" spans="1:9"/>
    <row r="1524" spans="1:9"/>
    <row r="1525" spans="1:9">
      <c r="G1525" s="1234"/>
      <c r="H1525" s="1234"/>
      <c r="I1525" s="123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4" zoomScale="120" zoomScaleNormal="120" workbookViewId="0">
      <selection activeCell="O727" sqref="O727:S727"/>
    </sheetView>
  </sheetViews>
  <sheetFormatPr baseColWidth="10" defaultColWidth="0" defaultRowHeight="0" customHeight="1" zeroHeight="1"/>
  <cols>
    <col min="1" max="36" width="2.5" customWidth="1"/>
    <col min="37" max="37" width="2.83203125" customWidth="1"/>
    <col min="38" max="45" width="2.5" customWidth="1"/>
    <col min="46" max="46" width="3.5" customWidth="1"/>
    <col min="47" max="59" width="3.5" hidden="1"/>
    <col min="60" max="60" width="5.5" hidden="1"/>
    <col min="61" max="61" width="5" hidden="1"/>
    <col min="62" max="72" width="3.5" hidden="1"/>
    <col min="73" max="74" width="7.5" hidden="1"/>
    <col min="16384" max="16384" width="3.5" hidden="1"/>
  </cols>
  <sheetData>
    <row r="1" spans="1:51" ht="13" customHeight="1">
      <c r="J1" s="59"/>
      <c r="AS1" s="839">
        <v>4</v>
      </c>
    </row>
    <row r="2" spans="1:51" ht="13" customHeight="1"/>
    <row r="3" spans="1:51" ht="13" customHeight="1"/>
    <row r="4" spans="1:51" ht="13" customHeight="1"/>
    <row r="5" spans="1:51" ht="13" customHeight="1"/>
    <row r="6" spans="1:51" ht="13" customHeight="1"/>
    <row r="7" spans="1:51" ht="13" customHeight="1"/>
    <row r="8" spans="1:51" ht="26.25" customHeight="1">
      <c r="A8" s="1773" t="s">
        <v>820</v>
      </c>
      <c r="B8" s="1773"/>
      <c r="C8" s="1773"/>
      <c r="D8" s="1773"/>
      <c r="E8" s="1773"/>
      <c r="F8" s="1773"/>
      <c r="G8" s="1773"/>
      <c r="H8" s="1773"/>
      <c r="I8" s="1773"/>
      <c r="J8" s="1773"/>
      <c r="K8" s="1773"/>
      <c r="L8" s="1773"/>
      <c r="M8" s="1773"/>
      <c r="N8" s="1773"/>
      <c r="O8" s="1773"/>
      <c r="P8" s="1773"/>
      <c r="Q8" s="1773"/>
      <c r="R8" s="1773"/>
      <c r="S8" s="1773"/>
      <c r="T8" s="1773"/>
      <c r="U8" s="1773"/>
      <c r="V8" s="1773"/>
      <c r="W8" s="1773"/>
      <c r="X8" s="1773"/>
      <c r="Y8" s="1773"/>
      <c r="Z8" s="1773"/>
      <c r="AA8" s="1773"/>
      <c r="AB8" s="1773"/>
      <c r="AC8" s="1773"/>
      <c r="AD8" s="1773"/>
      <c r="AE8" s="1773"/>
      <c r="AF8" s="1773"/>
      <c r="AG8" s="1773"/>
      <c r="AH8" s="1773"/>
      <c r="AI8" s="1773"/>
      <c r="AJ8" s="1773"/>
      <c r="AK8" s="1773"/>
      <c r="AL8" s="1773"/>
      <c r="AM8" s="1773"/>
      <c r="AN8" s="1773"/>
      <c r="AO8" s="1773"/>
      <c r="AP8" s="1773"/>
      <c r="AQ8" s="1773"/>
      <c r="AR8" s="1773"/>
      <c r="AS8" s="1773"/>
      <c r="AT8" s="1773"/>
      <c r="AU8" s="1140"/>
      <c r="AV8" s="1140"/>
      <c r="AW8" s="1140"/>
      <c r="AX8" s="1140"/>
      <c r="AY8" s="1140"/>
    </row>
    <row r="9" spans="1:51" ht="13" customHeight="1">
      <c r="A9" s="1259" t="s">
        <v>821</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59"/>
      <c r="AC9" s="1259"/>
      <c r="AD9" s="1259"/>
      <c r="AE9" s="1259"/>
      <c r="AF9" s="1259"/>
      <c r="AG9" s="1259"/>
      <c r="AH9" s="1259"/>
      <c r="AI9" s="1259"/>
      <c r="AJ9" s="1259"/>
      <c r="AK9" s="1259"/>
      <c r="AL9" s="1259"/>
      <c r="AM9" s="1259"/>
      <c r="AN9" s="1259"/>
      <c r="AO9" s="1259"/>
      <c r="AP9" s="1259"/>
      <c r="AQ9" s="1259"/>
      <c r="AR9" s="1259"/>
      <c r="AS9" s="1259"/>
      <c r="AT9" s="1259"/>
      <c r="AU9" s="1118"/>
      <c r="AV9" s="1118"/>
      <c r="AW9" s="1118"/>
      <c r="AX9" s="1118"/>
      <c r="AY9" s="1118"/>
    </row>
    <row r="10" spans="1:51" ht="13" customHeight="1">
      <c r="A10" s="1259" t="s">
        <v>822</v>
      </c>
      <c r="B10" s="1259"/>
      <c r="C10" s="1259"/>
      <c r="D10" s="1259"/>
      <c r="E10" s="1259"/>
      <c r="F10" s="1259"/>
      <c r="G10" s="1259"/>
      <c r="H10" s="1259"/>
      <c r="I10" s="1259"/>
      <c r="J10" s="1259"/>
      <c r="K10" s="1259"/>
      <c r="L10" s="1259"/>
      <c r="M10" s="1259"/>
      <c r="N10" s="1259"/>
      <c r="O10" s="1259"/>
      <c r="P10" s="1259"/>
      <c r="Q10" s="1259"/>
      <c r="R10" s="1259"/>
      <c r="S10" s="1259"/>
      <c r="T10" s="1259"/>
      <c r="U10" s="1259"/>
      <c r="V10" s="1259"/>
      <c r="W10" s="1259"/>
      <c r="X10" s="1259"/>
      <c r="Y10" s="1259"/>
      <c r="Z10" s="1259"/>
      <c r="AA10" s="1259"/>
      <c r="AB10" s="1259"/>
      <c r="AC10" s="1259"/>
      <c r="AD10" s="1259"/>
      <c r="AE10" s="1259"/>
      <c r="AF10" s="1259"/>
      <c r="AG10" s="1259"/>
      <c r="AH10" s="1259"/>
      <c r="AI10" s="1259"/>
      <c r="AJ10" s="1259"/>
      <c r="AK10" s="1259"/>
      <c r="AL10" s="1259"/>
      <c r="AM10" s="1259"/>
      <c r="AN10" s="1259"/>
      <c r="AO10" s="1259"/>
      <c r="AP10" s="1259"/>
      <c r="AQ10" s="1259"/>
      <c r="AR10" s="1259"/>
      <c r="AS10" s="1259"/>
      <c r="AT10" s="1259"/>
      <c r="AU10" s="1118"/>
      <c r="AV10" s="1118"/>
      <c r="AW10" s="1118"/>
      <c r="AX10" s="1118"/>
      <c r="AY10" s="1118"/>
    </row>
    <row r="11" spans="1:51" ht="13" customHeight="1">
      <c r="A11" s="1259" t="s">
        <v>823</v>
      </c>
      <c r="B11" s="1259"/>
      <c r="C11" s="1259"/>
      <c r="D11" s="1259"/>
      <c r="E11" s="1259"/>
      <c r="F11" s="1259"/>
      <c r="G11" s="1259"/>
      <c r="H11" s="1259"/>
      <c r="I11" s="1259"/>
      <c r="J11" s="1259"/>
      <c r="K11" s="1259"/>
      <c r="L11" s="1259"/>
      <c r="M11" s="1259"/>
      <c r="N11" s="1259"/>
      <c r="O11" s="1259"/>
      <c r="P11" s="1259"/>
      <c r="Q11" s="1259"/>
      <c r="R11" s="1259"/>
      <c r="S11" s="1259"/>
      <c r="T11" s="1259"/>
      <c r="U11" s="1259"/>
      <c r="V11" s="1259"/>
      <c r="W11" s="1259"/>
      <c r="X11" s="1259"/>
      <c r="Y11" s="1259"/>
      <c r="Z11" s="1259"/>
      <c r="AA11" s="1259"/>
      <c r="AB11" s="1259"/>
      <c r="AC11" s="1259"/>
      <c r="AD11" s="1259"/>
      <c r="AE11" s="1259"/>
      <c r="AF11" s="1259"/>
      <c r="AG11" s="1259"/>
      <c r="AH11" s="1259"/>
      <c r="AI11" s="1259"/>
      <c r="AJ11" s="1259"/>
      <c r="AK11" s="1259"/>
      <c r="AL11" s="1259"/>
      <c r="AM11" s="1259"/>
      <c r="AN11" s="1259"/>
      <c r="AO11" s="1259"/>
      <c r="AP11" s="1259"/>
      <c r="AQ11" s="1259"/>
      <c r="AR11" s="1259"/>
      <c r="AS11" s="1259"/>
      <c r="AT11" s="1259"/>
      <c r="AU11" s="1118"/>
      <c r="AV11" s="1118"/>
      <c r="AW11" s="1118"/>
      <c r="AX11" s="1118"/>
      <c r="AY11" s="1118"/>
    </row>
    <row r="12" spans="1:51" ht="13" customHeight="1">
      <c r="A12" s="1774" t="s">
        <v>824</v>
      </c>
      <c r="B12" s="1774"/>
      <c r="C12" s="1774"/>
      <c r="D12" s="1774"/>
      <c r="E12" s="1774"/>
      <c r="F12" s="1774"/>
      <c r="G12" s="1774"/>
      <c r="H12" s="1774"/>
      <c r="I12" s="1774"/>
      <c r="J12" s="1774"/>
      <c r="K12" s="1774"/>
      <c r="L12" s="1774"/>
      <c r="M12" s="1774"/>
      <c r="N12" s="1774"/>
      <c r="O12" s="1774"/>
      <c r="P12" s="1774"/>
      <c r="Q12" s="1774"/>
      <c r="R12" s="1774"/>
      <c r="S12" s="1774"/>
      <c r="T12" s="1774"/>
      <c r="U12" s="1774"/>
      <c r="V12" s="1774"/>
      <c r="W12" s="1774"/>
      <c r="X12" s="1774"/>
      <c r="Y12" s="1774"/>
      <c r="Z12" s="1774"/>
      <c r="AA12" s="1774"/>
      <c r="AB12" s="1774"/>
      <c r="AC12" s="1774"/>
      <c r="AD12" s="1774"/>
      <c r="AE12" s="1774"/>
      <c r="AF12" s="1774"/>
      <c r="AG12" s="1774"/>
      <c r="AH12" s="1774"/>
      <c r="AI12" s="1774"/>
      <c r="AJ12" s="1774"/>
      <c r="AK12" s="1774"/>
      <c r="AL12" s="1774"/>
      <c r="AM12" s="1774"/>
      <c r="AN12" s="1774"/>
      <c r="AO12" s="1774"/>
      <c r="AP12" s="1774"/>
      <c r="AQ12" s="1774"/>
      <c r="AR12" s="1774"/>
      <c r="AS12" s="1774"/>
      <c r="AT12" s="1774"/>
      <c r="AU12" s="1141"/>
      <c r="AV12" s="1141"/>
      <c r="AW12" s="1141"/>
      <c r="AX12" s="1141"/>
      <c r="AY12" s="1141"/>
    </row>
    <row r="13" spans="1:51" ht="13" customHeight="1">
      <c r="A13" s="1231" t="s">
        <v>825</v>
      </c>
      <c r="B13" s="1231"/>
      <c r="C13" s="1231"/>
      <c r="D13" s="1231"/>
      <c r="E13" s="1231"/>
      <c r="F13" s="1231"/>
      <c r="G13" s="1231"/>
      <c r="H13" s="1231"/>
      <c r="I13" s="1231"/>
      <c r="J13" s="1231"/>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1"/>
      <c r="AJ13" s="1231"/>
      <c r="AK13" s="1231"/>
      <c r="AL13" s="1231"/>
      <c r="AM13" s="1231"/>
      <c r="AN13" s="1231"/>
      <c r="AO13" s="1231"/>
      <c r="AP13" s="1231"/>
      <c r="AQ13" s="1231"/>
      <c r="AR13" s="1231"/>
      <c r="AS13" s="1231"/>
      <c r="AT13" s="1231"/>
      <c r="AU13" s="731"/>
      <c r="AV13" s="731"/>
      <c r="AW13" s="731"/>
      <c r="AX13" s="731"/>
      <c r="AY13" s="731"/>
    </row>
    <row r="14" spans="1:51" ht="13" customHeight="1">
      <c r="A14" s="1231"/>
      <c r="B14" s="1231"/>
      <c r="C14" s="1231"/>
      <c r="D14" s="1231"/>
      <c r="E14" s="1231"/>
      <c r="F14" s="1231"/>
      <c r="G14" s="1231"/>
      <c r="H14" s="1231"/>
      <c r="I14" s="1231"/>
      <c r="J14" s="1231"/>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1"/>
      <c r="AJ14" s="1231"/>
      <c r="AK14" s="1231"/>
      <c r="AL14" s="1231"/>
      <c r="AM14" s="1231"/>
      <c r="AN14" s="1231"/>
      <c r="AO14" s="1231"/>
      <c r="AP14" s="1231"/>
      <c r="AQ14" s="1231"/>
      <c r="AR14" s="1231"/>
      <c r="AS14" s="1231"/>
      <c r="AT14" s="1231"/>
      <c r="AU14" s="731"/>
      <c r="AV14" s="731"/>
      <c r="AW14" s="731"/>
      <c r="AX14" s="731"/>
      <c r="AY14" s="731"/>
    </row>
    <row r="15" spans="1:51" ht="13"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 customHeight="1">
      <c r="A16" s="1109" t="s">
        <v>826</v>
      </c>
      <c r="C16" s="2"/>
      <c r="D16" s="2"/>
      <c r="E16" s="2"/>
      <c r="F16" s="2"/>
      <c r="G16" s="2"/>
      <c r="H16" s="1496" t="s">
        <v>827</v>
      </c>
      <c r="I16" s="1496"/>
      <c r="J16" s="1496"/>
      <c r="K16" s="1496"/>
      <c r="L16" s="1496"/>
      <c r="M16" s="1496"/>
      <c r="N16" s="1496"/>
      <c r="O16" s="1496"/>
      <c r="P16" s="1496"/>
      <c r="Q16" s="1496"/>
      <c r="R16" s="1496"/>
      <c r="S16" s="1496"/>
      <c r="T16" s="1496"/>
      <c r="U16" s="1496"/>
      <c r="V16" s="1496"/>
      <c r="W16" s="1496"/>
      <c r="X16" s="1496"/>
      <c r="Y16" s="1496"/>
      <c r="Z16" s="1496"/>
      <c r="AA16" s="1496"/>
      <c r="AB16" s="1496"/>
      <c r="AC16" s="1496"/>
      <c r="AD16" s="1496"/>
      <c r="AE16" s="1496"/>
      <c r="AF16" s="1496"/>
      <c r="AG16" s="1496"/>
      <c r="AH16" s="1496"/>
      <c r="AI16" s="1496"/>
      <c r="AJ16" s="1496"/>
    </row>
    <row r="17" spans="1:52" ht="13" customHeight="1"/>
    <row r="18" spans="1:52" ht="13" customHeight="1">
      <c r="A18" s="1109" t="s">
        <v>828</v>
      </c>
      <c r="C18" s="2"/>
      <c r="D18" s="2"/>
      <c r="E18" s="2"/>
      <c r="F18" s="2"/>
      <c r="G18" s="2"/>
      <c r="H18" s="1432" t="s">
        <v>829</v>
      </c>
      <c r="I18" s="1432"/>
      <c r="J18" s="1432"/>
      <c r="K18" s="1432"/>
      <c r="L18" s="1432"/>
      <c r="M18" s="1432"/>
      <c r="N18" s="1432"/>
      <c r="O18" s="1432"/>
      <c r="P18" s="1432"/>
      <c r="Q18" s="1432"/>
      <c r="R18" s="1432"/>
      <c r="S18" s="1432"/>
      <c r="T18" s="1432"/>
      <c r="U18" s="1432"/>
      <c r="V18" s="1432"/>
      <c r="W18" s="1432"/>
      <c r="X18" s="1432"/>
      <c r="Y18" s="1432"/>
      <c r="Z18" s="1432"/>
      <c r="AA18" s="1432"/>
      <c r="AB18" s="1432"/>
      <c r="AC18" s="1432"/>
      <c r="AD18" s="1432"/>
      <c r="AE18" s="1432"/>
      <c r="AF18" s="1432"/>
      <c r="AG18" s="1432"/>
      <c r="AH18" s="1432"/>
      <c r="AI18" s="1432"/>
      <c r="AJ18" s="1432"/>
    </row>
    <row r="19" spans="1:52" ht="13" customHeight="1"/>
    <row r="20" spans="1:52" ht="13" customHeight="1">
      <c r="A20" s="1775" t="s">
        <v>830</v>
      </c>
      <c r="B20" s="1775"/>
      <c r="C20" s="1775"/>
      <c r="D20" s="1775"/>
      <c r="E20" s="1775"/>
      <c r="F20" s="1775"/>
      <c r="G20" s="1775"/>
      <c r="H20" s="1775"/>
      <c r="I20" s="1775"/>
      <c r="J20" s="1775"/>
      <c r="K20" s="1775"/>
      <c r="L20" s="1775"/>
      <c r="M20" s="1775"/>
      <c r="N20" s="1775"/>
      <c r="O20" s="1775"/>
      <c r="P20" s="1775"/>
      <c r="Q20" s="1775"/>
      <c r="R20" s="1775"/>
      <c r="S20" s="1775"/>
      <c r="T20" s="1775"/>
      <c r="U20" s="1775"/>
      <c r="V20" s="1775"/>
      <c r="W20" s="1775"/>
      <c r="X20" s="1775"/>
      <c r="Y20" s="1775"/>
      <c r="Z20" s="1775"/>
      <c r="AA20" s="1775"/>
      <c r="AB20" s="1775"/>
      <c r="AC20" s="1775"/>
      <c r="AD20" s="1775"/>
      <c r="AE20" s="1775"/>
      <c r="AF20" s="1775"/>
      <c r="AG20" s="1775"/>
      <c r="AH20" s="1775"/>
      <c r="AI20" s="1775"/>
      <c r="AJ20" s="1775"/>
      <c r="AK20" s="1775"/>
      <c r="AL20" s="1775"/>
      <c r="AM20" s="1775"/>
      <c r="AN20" s="1775"/>
      <c r="AO20" s="1775"/>
      <c r="AP20" s="1775"/>
      <c r="AQ20" s="1775"/>
      <c r="AR20" s="1775"/>
      <c r="AS20" s="1775"/>
      <c r="AT20" s="1775"/>
      <c r="AU20" s="1142"/>
      <c r="AV20" s="1142"/>
      <c r="AW20" s="1142"/>
      <c r="AX20" s="1142"/>
      <c r="AY20" s="1142"/>
    </row>
    <row r="21" spans="1:52" ht="13" customHeight="1">
      <c r="A21" s="1524" t="s">
        <v>831</v>
      </c>
      <c r="B21" s="1524"/>
      <c r="C21" s="1524"/>
      <c r="D21" s="1524"/>
      <c r="E21" s="1524"/>
      <c r="F21" s="1524"/>
      <c r="G21" s="1524"/>
      <c r="H21" s="1524"/>
      <c r="I21" s="1524"/>
      <c r="J21" s="1524"/>
      <c r="K21" s="1524"/>
      <c r="L21" s="1524"/>
      <c r="M21" s="1524"/>
      <c r="N21" s="1524"/>
      <c r="O21" s="1524"/>
      <c r="P21" s="1524"/>
      <c r="Q21" s="1524"/>
      <c r="R21" s="1524"/>
      <c r="S21" s="1524"/>
      <c r="T21" s="1524"/>
      <c r="U21" s="1524"/>
      <c r="V21" s="1524"/>
      <c r="W21" s="1524"/>
      <c r="X21" s="1524"/>
      <c r="Y21" s="1524"/>
      <c r="Z21" s="1524"/>
      <c r="AA21" s="1524"/>
      <c r="AB21" s="1524"/>
      <c r="AC21" s="1524"/>
      <c r="AD21" s="1524"/>
      <c r="AE21" s="1524"/>
      <c r="AF21" s="1524"/>
      <c r="AG21" s="1524"/>
      <c r="AH21" s="1524"/>
      <c r="AI21" s="1524"/>
      <c r="AJ21" s="1524"/>
      <c r="AK21" s="1524"/>
      <c r="AL21" s="1524"/>
      <c r="AM21" s="1174"/>
      <c r="AN21" s="1174"/>
      <c r="AO21" s="1174"/>
      <c r="AP21" s="1174"/>
      <c r="AQ21" s="1174"/>
      <c r="AR21" s="1174"/>
      <c r="AS21" s="1174"/>
      <c r="AT21" s="1174"/>
      <c r="AU21" s="1174"/>
      <c r="AV21" s="1174"/>
      <c r="AW21" s="1174"/>
      <c r="AX21" s="1174"/>
      <c r="AY21" s="1174"/>
    </row>
    <row r="22" spans="1:52" ht="13"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 customHeight="1">
      <c r="A23" s="1305" t="s">
        <v>832</v>
      </c>
      <c r="B23" s="1305"/>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305"/>
      <c r="AL23" s="1305"/>
      <c r="AM23" s="1305"/>
      <c r="AN23" s="1305"/>
      <c r="AO23" s="1305"/>
      <c r="AP23" s="1305"/>
      <c r="AQ23" s="1305"/>
      <c r="AR23" s="1305"/>
      <c r="AS23" s="1305"/>
      <c r="AT23" s="1305"/>
      <c r="AU23" s="15"/>
      <c r="AV23" s="15"/>
      <c r="AW23" s="15"/>
      <c r="AX23" s="15"/>
      <c r="AY23" s="15"/>
      <c r="AZ23" s="15"/>
    </row>
    <row r="24" spans="1:52" ht="13" customHeight="1">
      <c r="A24" s="1305"/>
      <c r="B24" s="1305"/>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305"/>
      <c r="AL24" s="1305"/>
      <c r="AM24" s="1305"/>
      <c r="AN24" s="1305"/>
      <c r="AO24" s="1305"/>
      <c r="AP24" s="1305"/>
      <c r="AQ24" s="1305"/>
      <c r="AR24" s="1305"/>
      <c r="AS24" s="1305"/>
      <c r="AT24" s="1305"/>
      <c r="AU24" s="15"/>
      <c r="AV24" s="15"/>
      <c r="AW24" s="15"/>
      <c r="AX24" s="15"/>
      <c r="AY24" s="15"/>
      <c r="AZ24" s="15"/>
    </row>
    <row r="25" spans="1:52" ht="13" customHeight="1">
      <c r="A25" s="1100"/>
      <c r="C25" s="1100"/>
      <c r="D25" s="1100"/>
      <c r="E25" s="1100"/>
      <c r="F25" s="1100"/>
      <c r="G25" s="1100"/>
      <c r="H25" s="1100"/>
      <c r="I25" s="1100"/>
      <c r="J25" s="1100"/>
      <c r="K25" s="1100"/>
      <c r="L25" s="1100"/>
      <c r="M25" s="1100"/>
      <c r="N25" s="1100"/>
      <c r="O25" s="1100"/>
      <c r="P25" s="1100"/>
      <c r="Q25" s="1100"/>
      <c r="R25" s="1100"/>
      <c r="S25" s="1100"/>
      <c r="T25" s="1100"/>
      <c r="U25" s="1100"/>
      <c r="V25" s="1100"/>
      <c r="W25" s="1100"/>
      <c r="X25" s="1100"/>
      <c r="Y25" s="1100"/>
      <c r="Z25" s="1100"/>
      <c r="AA25" s="1100"/>
      <c r="AB25" s="1100"/>
      <c r="AC25" s="1100"/>
      <c r="AD25" s="1100"/>
      <c r="AE25" s="1100"/>
      <c r="AF25" s="1100"/>
      <c r="AG25" s="1100"/>
      <c r="AH25" s="1100"/>
      <c r="AI25" s="1100"/>
      <c r="AJ25" s="1100"/>
      <c r="AK25" s="2"/>
    </row>
    <row r="26" spans="1:52" ht="13" customHeight="1">
      <c r="A26" s="2"/>
      <c r="C26" s="2"/>
      <c r="D26" s="2"/>
      <c r="E26" s="2"/>
      <c r="F26" s="2"/>
      <c r="G26" s="2"/>
      <c r="H26" s="2"/>
      <c r="I26" s="2"/>
      <c r="J26" s="2"/>
      <c r="K26" s="2"/>
      <c r="L26" s="2"/>
      <c r="M26" s="1512">
        <f>'Basis &amp; Credits'!AB56</f>
        <v>2534058</v>
      </c>
      <c r="N26" s="1512"/>
      <c r="O26" s="1512"/>
      <c r="P26" s="1512"/>
      <c r="Q26" s="1512"/>
      <c r="R26" s="2" t="s">
        <v>833</v>
      </c>
      <c r="S26" s="2"/>
      <c r="T26" s="2"/>
      <c r="U26" s="2"/>
      <c r="V26" s="2"/>
      <c r="W26" s="2"/>
      <c r="X26" s="2"/>
      <c r="Y26" s="2"/>
      <c r="Z26" s="2"/>
      <c r="AF26" s="2"/>
      <c r="AG26" s="2"/>
      <c r="AH26" s="2"/>
      <c r="AI26" s="2"/>
      <c r="AJ26" s="2"/>
      <c r="AK26" s="2"/>
    </row>
    <row r="27" spans="1:52" ht="13" customHeight="1">
      <c r="A27" s="2"/>
      <c r="C27" s="2"/>
      <c r="D27" s="2"/>
      <c r="E27" s="2"/>
      <c r="F27" s="2"/>
      <c r="G27" s="2"/>
      <c r="H27" s="2"/>
      <c r="I27" s="2"/>
      <c r="J27" s="2"/>
      <c r="K27" s="2"/>
      <c r="L27" s="2"/>
      <c r="M27" s="1324">
        <f>'Basis &amp; Credits'!AB78</f>
        <v>13000000</v>
      </c>
      <c r="N27" s="1324"/>
      <c r="O27" s="1324"/>
      <c r="P27" s="1324"/>
      <c r="Q27" s="1324"/>
      <c r="R27" s="2" t="s">
        <v>834</v>
      </c>
      <c r="S27" s="2"/>
      <c r="T27" s="2"/>
      <c r="U27" s="2"/>
      <c r="V27" s="2"/>
      <c r="W27" s="2"/>
      <c r="X27" s="2"/>
      <c r="Y27" s="2"/>
      <c r="Z27" s="2"/>
      <c r="AF27" s="2"/>
      <c r="AG27" s="2"/>
      <c r="AH27" s="2"/>
      <c r="AI27" s="2"/>
      <c r="AJ27" s="2"/>
      <c r="AK27" s="2"/>
    </row>
    <row r="28" spans="1:52" ht="13"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 customHeight="1">
      <c r="A29" s="1776" t="s">
        <v>835</v>
      </c>
      <c r="B29" s="1776"/>
      <c r="C29" s="1776"/>
      <c r="D29" s="1776"/>
      <c r="E29" s="1776"/>
      <c r="F29" s="1776"/>
      <c r="G29" s="1776"/>
      <c r="H29" s="1776"/>
      <c r="I29" s="1776"/>
      <c r="J29" s="1776"/>
      <c r="K29" s="1776"/>
      <c r="L29" s="1776"/>
      <c r="M29" s="1776"/>
      <c r="N29" s="1776"/>
      <c r="O29" s="1776"/>
      <c r="P29" s="1776"/>
      <c r="Q29" s="1776"/>
      <c r="R29" s="1776"/>
      <c r="S29" s="1776"/>
      <c r="T29" s="1776"/>
      <c r="U29" s="1776"/>
      <c r="V29" s="1776"/>
      <c r="W29" s="1776"/>
      <c r="X29" s="1776"/>
      <c r="Y29" s="1776"/>
      <c r="Z29" s="1776"/>
      <c r="AA29" s="1776"/>
      <c r="AB29" s="1776"/>
      <c r="AC29" s="1776"/>
      <c r="AD29" s="1776"/>
      <c r="AE29" s="1776"/>
      <c r="AF29" s="1776"/>
      <c r="AG29" s="1776"/>
      <c r="AH29" s="1776"/>
      <c r="AI29" s="1776"/>
      <c r="AJ29" s="1776"/>
      <c r="AK29" s="1776"/>
      <c r="AL29" s="1776"/>
      <c r="AM29" s="1776"/>
      <c r="AN29" s="1776"/>
      <c r="AO29" s="1776"/>
      <c r="AP29" s="1776"/>
      <c r="AQ29" s="1776"/>
      <c r="AR29" s="1776"/>
      <c r="AS29" s="1776"/>
      <c r="AT29" s="1776"/>
    </row>
    <row r="30" spans="1:52" ht="13" customHeight="1">
      <c r="A30" s="1776"/>
      <c r="B30" s="1776"/>
      <c r="C30" s="1776"/>
      <c r="D30" s="1776"/>
      <c r="E30" s="1776"/>
      <c r="F30" s="1776"/>
      <c r="G30" s="1776"/>
      <c r="H30" s="1776"/>
      <c r="I30" s="1776"/>
      <c r="J30" s="1776"/>
      <c r="K30" s="1776"/>
      <c r="L30" s="1776"/>
      <c r="M30" s="1776"/>
      <c r="N30" s="1776"/>
      <c r="O30" s="1776"/>
      <c r="P30" s="1776"/>
      <c r="Q30" s="1776"/>
      <c r="R30" s="1776"/>
      <c r="S30" s="1776"/>
      <c r="T30" s="1776"/>
      <c r="U30" s="1776"/>
      <c r="V30" s="1776"/>
      <c r="W30" s="1776"/>
      <c r="X30" s="1776"/>
      <c r="Y30" s="1776"/>
      <c r="Z30" s="1776"/>
      <c r="AA30" s="1776"/>
      <c r="AB30" s="1776"/>
      <c r="AC30" s="1776"/>
      <c r="AD30" s="1776"/>
      <c r="AE30" s="1776"/>
      <c r="AF30" s="1776"/>
      <c r="AG30" s="1776"/>
      <c r="AH30" s="1776"/>
      <c r="AI30" s="1776"/>
      <c r="AJ30" s="1776"/>
      <c r="AK30" s="1776"/>
      <c r="AL30" s="1776"/>
      <c r="AM30" s="1776"/>
      <c r="AN30" s="1776"/>
      <c r="AO30" s="1776"/>
      <c r="AP30" s="1776"/>
      <c r="AQ30" s="1776"/>
      <c r="AR30" s="1776"/>
      <c r="AS30" s="1776"/>
      <c r="AT30" s="1776"/>
      <c r="AZ30" s="16"/>
    </row>
    <row r="31" spans="1:52" ht="13" customHeight="1">
      <c r="A31" s="1776"/>
      <c r="B31" s="1776"/>
      <c r="C31" s="1776"/>
      <c r="D31" s="1776"/>
      <c r="E31" s="1776"/>
      <c r="F31" s="1776"/>
      <c r="G31" s="1776"/>
      <c r="H31" s="1776"/>
      <c r="I31" s="1776"/>
      <c r="J31" s="1776"/>
      <c r="K31" s="1776"/>
      <c r="L31" s="1776"/>
      <c r="M31" s="1776"/>
      <c r="N31" s="1776"/>
      <c r="O31" s="1776"/>
      <c r="P31" s="1776"/>
      <c r="Q31" s="1776"/>
      <c r="R31" s="1776"/>
      <c r="S31" s="1776"/>
      <c r="T31" s="1776"/>
      <c r="U31" s="1776"/>
      <c r="V31" s="1776"/>
      <c r="W31" s="1776"/>
      <c r="X31" s="1776"/>
      <c r="Y31" s="1776"/>
      <c r="Z31" s="1776"/>
      <c r="AA31" s="1776"/>
      <c r="AB31" s="1776"/>
      <c r="AC31" s="1776"/>
      <c r="AD31" s="1776"/>
      <c r="AE31" s="1776"/>
      <c r="AF31" s="1776"/>
      <c r="AG31" s="1776"/>
      <c r="AH31" s="1776"/>
      <c r="AI31" s="1776"/>
      <c r="AJ31" s="1776"/>
      <c r="AK31" s="1776"/>
      <c r="AL31" s="1776"/>
      <c r="AM31" s="1776"/>
      <c r="AN31" s="1776"/>
      <c r="AO31" s="1776"/>
      <c r="AP31" s="1776"/>
      <c r="AQ31" s="1776"/>
      <c r="AR31" s="1776"/>
      <c r="AS31" s="1776"/>
      <c r="AT31" s="1776"/>
      <c r="AU31" s="16"/>
      <c r="AV31" s="16"/>
      <c r="AW31" s="16"/>
      <c r="AX31" s="16"/>
      <c r="AY31" s="16"/>
      <c r="AZ31" s="16"/>
    </row>
    <row r="32" spans="1:52" ht="13" customHeight="1">
      <c r="A32" s="1115"/>
      <c r="C32" s="1115"/>
      <c r="D32" s="1115"/>
      <c r="E32" s="1115"/>
      <c r="F32" s="1115"/>
      <c r="G32" s="1115"/>
      <c r="H32" s="1115"/>
      <c r="I32" s="1115"/>
      <c r="J32" s="1115"/>
      <c r="K32" s="1115"/>
      <c r="L32" s="1115"/>
      <c r="M32" s="1115"/>
      <c r="N32" s="1115"/>
      <c r="O32" s="1115"/>
      <c r="P32" s="1115"/>
      <c r="Q32" s="1115"/>
      <c r="R32" s="1115"/>
      <c r="S32" s="1115"/>
      <c r="T32" s="1115"/>
      <c r="U32" s="1115"/>
      <c r="V32" s="1115"/>
      <c r="W32" s="1115"/>
      <c r="X32" s="1115"/>
      <c r="Y32" s="1115"/>
      <c r="Z32" s="1115"/>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 customHeight="1">
      <c r="A33" s="1115" t="s">
        <v>836</v>
      </c>
      <c r="C33" s="1115"/>
      <c r="D33" s="1115"/>
      <c r="E33" s="1115"/>
      <c r="F33" s="1115"/>
      <c r="G33" s="1115"/>
      <c r="H33" s="1115"/>
      <c r="I33" s="1115"/>
      <c r="J33" s="1115"/>
      <c r="K33" s="1115"/>
      <c r="L33" s="1115"/>
      <c r="M33" s="1115"/>
      <c r="N33" s="1115"/>
      <c r="O33" s="1361" t="s">
        <v>837</v>
      </c>
      <c r="P33" s="1361"/>
      <c r="Q33" s="1777" t="s">
        <v>838</v>
      </c>
      <c r="R33" s="1777"/>
      <c r="S33" s="1777"/>
      <c r="T33" s="1777"/>
      <c r="U33" s="1777"/>
      <c r="V33" s="1777"/>
      <c r="W33" s="1777"/>
      <c r="X33" s="1777"/>
      <c r="Y33" s="1777"/>
      <c r="Z33" s="1777"/>
      <c r="AA33" s="1777"/>
      <c r="AB33" s="1777"/>
      <c r="AC33" s="1777"/>
      <c r="AD33" s="1777"/>
      <c r="AE33" s="1777"/>
      <c r="AF33" s="1777"/>
      <c r="AG33" s="1777"/>
      <c r="AH33" s="1777"/>
      <c r="AI33" s="1777"/>
      <c r="AJ33" s="1777"/>
      <c r="AK33" s="1777"/>
      <c r="AL33" s="1777"/>
      <c r="AM33" s="1777"/>
      <c r="AN33" s="1777"/>
      <c r="AO33" s="1777"/>
      <c r="AP33" s="1777"/>
      <c r="AQ33" s="1777"/>
      <c r="AR33" s="1777"/>
      <c r="AS33" s="1777"/>
      <c r="AT33" s="1777"/>
      <c r="AU33" s="16"/>
      <c r="AV33" s="16"/>
      <c r="AW33" s="16"/>
      <c r="AX33" s="16"/>
      <c r="AY33" s="16"/>
    </row>
    <row r="34" spans="1:52" ht="13" customHeight="1">
      <c r="A34" s="1776" t="s">
        <v>839</v>
      </c>
      <c r="B34" s="1776"/>
      <c r="C34" s="1776"/>
      <c r="D34" s="1776"/>
      <c r="E34" s="1776"/>
      <c r="F34" s="1776"/>
      <c r="G34" s="1776"/>
      <c r="H34" s="1776"/>
      <c r="I34" s="1776"/>
      <c r="J34" s="1776"/>
      <c r="K34" s="1776"/>
      <c r="L34" s="1776"/>
      <c r="M34" s="1776"/>
      <c r="N34" s="1776"/>
      <c r="O34" s="1776"/>
      <c r="P34" s="1776"/>
      <c r="Q34" s="1776"/>
      <c r="R34" s="1776"/>
      <c r="S34" s="1776"/>
      <c r="T34" s="1776"/>
      <c r="U34" s="1776"/>
      <c r="V34" s="1776"/>
      <c r="W34" s="1776"/>
      <c r="X34" s="1776"/>
      <c r="Y34" s="1776"/>
      <c r="Z34" s="1776"/>
      <c r="AA34" s="1776"/>
      <c r="AB34" s="1776"/>
      <c r="AC34" s="1776"/>
      <c r="AD34" s="1776"/>
      <c r="AE34" s="1776"/>
      <c r="AF34" s="1776"/>
      <c r="AG34" s="1776"/>
      <c r="AH34" s="1776"/>
      <c r="AI34" s="1776"/>
      <c r="AJ34" s="1776"/>
      <c r="AK34" s="1776"/>
      <c r="AL34" s="1776"/>
      <c r="AM34" s="1776"/>
      <c r="AN34" s="1776"/>
      <c r="AO34" s="1776"/>
      <c r="AP34" s="1776"/>
      <c r="AQ34" s="1776"/>
      <c r="AR34" s="1776"/>
      <c r="AS34" s="1776"/>
      <c r="AT34" s="1776"/>
      <c r="AU34" s="16"/>
      <c r="AV34" s="16"/>
      <c r="AW34" s="16"/>
      <c r="AX34" s="16"/>
      <c r="AY34" s="16"/>
      <c r="AZ34" s="16"/>
    </row>
    <row r="35" spans="1:52" ht="13" customHeight="1">
      <c r="A35" s="1776"/>
      <c r="B35" s="1776"/>
      <c r="C35" s="1776"/>
      <c r="D35" s="1776"/>
      <c r="E35" s="1776"/>
      <c r="F35" s="1776"/>
      <c r="G35" s="1776"/>
      <c r="H35" s="1776"/>
      <c r="I35" s="1776"/>
      <c r="J35" s="1776"/>
      <c r="K35" s="1776"/>
      <c r="L35" s="1776"/>
      <c r="M35" s="1776"/>
      <c r="N35" s="1776"/>
      <c r="O35" s="1776"/>
      <c r="P35" s="1776"/>
      <c r="Q35" s="1776"/>
      <c r="R35" s="1776"/>
      <c r="S35" s="1776"/>
      <c r="T35" s="1776"/>
      <c r="U35" s="1776"/>
      <c r="V35" s="1776"/>
      <c r="W35" s="1776"/>
      <c r="X35" s="1776"/>
      <c r="Y35" s="1776"/>
      <c r="Z35" s="1776"/>
      <c r="AA35" s="1776"/>
      <c r="AB35" s="1776"/>
      <c r="AC35" s="1776"/>
      <c r="AD35" s="1776"/>
      <c r="AE35" s="1776"/>
      <c r="AF35" s="1776"/>
      <c r="AG35" s="1776"/>
      <c r="AH35" s="1776"/>
      <c r="AI35" s="1776"/>
      <c r="AJ35" s="1776"/>
      <c r="AK35" s="1776"/>
      <c r="AL35" s="1776"/>
      <c r="AM35" s="1776"/>
      <c r="AN35" s="1776"/>
      <c r="AO35" s="1776"/>
      <c r="AP35" s="1776"/>
      <c r="AQ35" s="1776"/>
      <c r="AR35" s="1776"/>
      <c r="AS35" s="1776"/>
      <c r="AT35" s="1776"/>
      <c r="AU35" s="16"/>
      <c r="AV35" s="16"/>
      <c r="AW35" s="16"/>
      <c r="AX35" s="16"/>
      <c r="AY35" s="16"/>
      <c r="AZ35" s="16"/>
    </row>
    <row r="36" spans="1:52" ht="13" customHeight="1">
      <c r="A36" s="1776"/>
      <c r="B36" s="1776"/>
      <c r="C36" s="1776"/>
      <c r="D36" s="1776"/>
      <c r="E36" s="1776"/>
      <c r="F36" s="1776"/>
      <c r="G36" s="1776"/>
      <c r="H36" s="1776"/>
      <c r="I36" s="1776"/>
      <c r="J36" s="1776"/>
      <c r="K36" s="1776"/>
      <c r="L36" s="1776"/>
      <c r="M36" s="1776"/>
      <c r="N36" s="1776"/>
      <c r="O36" s="1776"/>
      <c r="P36" s="1776"/>
      <c r="Q36" s="1776"/>
      <c r="R36" s="1776"/>
      <c r="S36" s="1776"/>
      <c r="T36" s="1776"/>
      <c r="U36" s="1776"/>
      <c r="V36" s="1776"/>
      <c r="W36" s="1776"/>
      <c r="X36" s="1776"/>
      <c r="Y36" s="1776"/>
      <c r="Z36" s="1776"/>
      <c r="AA36" s="1776"/>
      <c r="AB36" s="1776"/>
      <c r="AC36" s="1776"/>
      <c r="AD36" s="1776"/>
      <c r="AE36" s="1776"/>
      <c r="AF36" s="1776"/>
      <c r="AG36" s="1776"/>
      <c r="AH36" s="1776"/>
      <c r="AI36" s="1776"/>
      <c r="AJ36" s="1776"/>
      <c r="AK36" s="1776"/>
      <c r="AL36" s="1776"/>
      <c r="AM36" s="1776"/>
      <c r="AN36" s="1776"/>
      <c r="AO36" s="1776"/>
      <c r="AP36" s="1776"/>
      <c r="AQ36" s="1776"/>
      <c r="AR36" s="1776"/>
      <c r="AS36" s="1776"/>
      <c r="AT36" s="1776"/>
      <c r="AU36" s="16"/>
      <c r="AV36" s="16"/>
      <c r="AW36" s="16"/>
      <c r="AX36" s="16"/>
      <c r="AY36" s="16"/>
      <c r="AZ36" s="16"/>
    </row>
    <row r="37" spans="1:52" ht="13" customHeight="1">
      <c r="A37" s="1776"/>
      <c r="B37" s="1776"/>
      <c r="C37" s="1776"/>
      <c r="D37" s="1776"/>
      <c r="E37" s="1776"/>
      <c r="F37" s="1776"/>
      <c r="G37" s="1776"/>
      <c r="H37" s="1776"/>
      <c r="I37" s="1776"/>
      <c r="J37" s="1776"/>
      <c r="K37" s="1776"/>
      <c r="L37" s="1776"/>
      <c r="M37" s="1776"/>
      <c r="N37" s="1776"/>
      <c r="O37" s="1776"/>
      <c r="P37" s="1776"/>
      <c r="Q37" s="1776"/>
      <c r="R37" s="1776"/>
      <c r="S37" s="1776"/>
      <c r="T37" s="1776"/>
      <c r="U37" s="1776"/>
      <c r="V37" s="1776"/>
      <c r="W37" s="1776"/>
      <c r="X37" s="1776"/>
      <c r="Y37" s="1776"/>
      <c r="Z37" s="1776"/>
      <c r="AA37" s="1776"/>
      <c r="AB37" s="1776"/>
      <c r="AC37" s="1776"/>
      <c r="AD37" s="1776"/>
      <c r="AE37" s="1776"/>
      <c r="AF37" s="1776"/>
      <c r="AG37" s="1776"/>
      <c r="AH37" s="1776"/>
      <c r="AI37" s="1776"/>
      <c r="AJ37" s="1776"/>
      <c r="AK37" s="1776"/>
      <c r="AL37" s="1776"/>
      <c r="AM37" s="1776"/>
      <c r="AN37" s="1776"/>
      <c r="AO37" s="1776"/>
      <c r="AP37" s="1776"/>
      <c r="AQ37" s="1776"/>
      <c r="AR37" s="1776"/>
      <c r="AS37" s="1776"/>
      <c r="AT37" s="1776"/>
      <c r="AZ37" s="16"/>
    </row>
    <row r="38" spans="1:52" ht="13" customHeight="1">
      <c r="A38" s="2"/>
      <c r="AZ38" s="16"/>
    </row>
    <row r="39" spans="1:52" ht="13" customHeight="1">
      <c r="A39" s="1221" t="s">
        <v>840</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6"/>
    </row>
    <row r="40" spans="1:52" ht="13"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6"/>
      <c r="AV40" s="16"/>
      <c r="AW40" s="16"/>
      <c r="AX40" s="16"/>
      <c r="AY40" s="16"/>
      <c r="AZ40" s="16"/>
    </row>
    <row r="41" spans="1:52" ht="13"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6"/>
      <c r="AV41" s="16"/>
      <c r="AW41" s="16"/>
      <c r="AX41" s="16"/>
      <c r="AY41" s="16"/>
      <c r="AZ41" s="16"/>
    </row>
    <row r="42" spans="1:52" ht="13"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6"/>
    </row>
    <row r="43" spans="1:52" ht="13"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6"/>
      <c r="AV43" s="16"/>
      <c r="AW43" s="16"/>
      <c r="AX43" s="16"/>
      <c r="AY43" s="16"/>
      <c r="AZ43" s="16"/>
    </row>
    <row r="44" spans="1:52" ht="13"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6"/>
      <c r="AV44" s="16"/>
      <c r="AW44" s="16"/>
      <c r="AX44" s="16"/>
      <c r="AY44" s="16"/>
      <c r="AZ44" s="16"/>
    </row>
    <row r="45" spans="1:52" ht="13" customHeight="1">
      <c r="A45" s="1115"/>
      <c r="C45" s="1115"/>
      <c r="D45" s="1115"/>
      <c r="E45" s="1115"/>
      <c r="F45" s="1115"/>
      <c r="G45" s="1115"/>
      <c r="H45" s="1115"/>
      <c r="I45" s="1115"/>
      <c r="J45" s="1115"/>
      <c r="K45" s="1115"/>
      <c r="L45" s="1115"/>
      <c r="M45" s="1115"/>
      <c r="N45" s="1115"/>
      <c r="O45" s="1115"/>
      <c r="P45" s="1115"/>
      <c r="Q45" s="1115"/>
      <c r="R45" s="1115"/>
      <c r="S45" s="1115"/>
      <c r="T45" s="1115"/>
      <c r="U45" s="1115"/>
      <c r="V45" s="1115"/>
      <c r="W45" s="1115"/>
      <c r="X45" s="1115"/>
      <c r="Y45" s="1115"/>
      <c r="Z45" s="1115"/>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 customHeight="1">
      <c r="A46" s="1305" t="s">
        <v>841</v>
      </c>
      <c r="B46" s="1305"/>
      <c r="C46" s="1305"/>
      <c r="D46" s="1305"/>
      <c r="E46" s="1305"/>
      <c r="F46" s="1305"/>
      <c r="G46" s="1305"/>
      <c r="H46" s="1305"/>
      <c r="I46" s="1305"/>
      <c r="J46" s="1305"/>
      <c r="K46" s="1305"/>
      <c r="L46" s="1305"/>
      <c r="M46" s="1305"/>
      <c r="N46" s="1305"/>
      <c r="O46" s="1305"/>
      <c r="P46" s="1305"/>
      <c r="Q46" s="1305"/>
      <c r="R46" s="1305"/>
      <c r="S46" s="1305"/>
      <c r="T46" s="1305"/>
      <c r="U46" s="1305"/>
      <c r="V46" s="1305"/>
      <c r="W46" s="1305"/>
      <c r="X46" s="1305"/>
      <c r="Y46" s="1305"/>
      <c r="Z46" s="1305"/>
      <c r="AA46" s="1305"/>
      <c r="AB46" s="1305"/>
      <c r="AC46" s="1305"/>
      <c r="AD46" s="1305"/>
      <c r="AE46" s="1305"/>
      <c r="AF46" s="1305"/>
      <c r="AG46" s="1305"/>
      <c r="AH46" s="1305"/>
      <c r="AI46" s="1305"/>
      <c r="AJ46" s="1305"/>
      <c r="AK46" s="1305"/>
      <c r="AL46" s="1305"/>
      <c r="AM46" s="1305"/>
      <c r="AN46" s="1305"/>
      <c r="AO46" s="1305"/>
      <c r="AP46" s="1305"/>
      <c r="AQ46" s="1305"/>
      <c r="AR46" s="1305"/>
      <c r="AS46" s="1305"/>
      <c r="AT46" s="1305"/>
      <c r="AU46" s="16"/>
      <c r="AV46" s="16"/>
      <c r="AW46" s="16"/>
      <c r="AX46" s="16"/>
      <c r="AY46" s="16"/>
      <c r="AZ46" s="16"/>
    </row>
    <row r="47" spans="1:52" ht="13" customHeight="1">
      <c r="A47" s="1305"/>
      <c r="B47" s="1305"/>
      <c r="C47" s="1305"/>
      <c r="D47" s="1305"/>
      <c r="E47" s="1305"/>
      <c r="F47" s="1305"/>
      <c r="G47" s="1305"/>
      <c r="H47" s="1305"/>
      <c r="I47" s="1305"/>
      <c r="J47" s="1305"/>
      <c r="K47" s="1305"/>
      <c r="L47" s="1305"/>
      <c r="M47" s="1305"/>
      <c r="N47" s="1305"/>
      <c r="O47" s="1305"/>
      <c r="P47" s="1305"/>
      <c r="Q47" s="1305"/>
      <c r="R47" s="1305"/>
      <c r="S47" s="1305"/>
      <c r="T47" s="1305"/>
      <c r="U47" s="1305"/>
      <c r="V47" s="1305"/>
      <c r="W47" s="1305"/>
      <c r="X47" s="1305"/>
      <c r="Y47" s="1305"/>
      <c r="Z47" s="1305"/>
      <c r="AA47" s="1305"/>
      <c r="AB47" s="1305"/>
      <c r="AC47" s="1305"/>
      <c r="AD47" s="1305"/>
      <c r="AE47" s="1305"/>
      <c r="AF47" s="1305"/>
      <c r="AG47" s="1305"/>
      <c r="AH47" s="1305"/>
      <c r="AI47" s="1305"/>
      <c r="AJ47" s="1305"/>
      <c r="AK47" s="1305"/>
      <c r="AL47" s="1305"/>
      <c r="AM47" s="1305"/>
      <c r="AN47" s="1305"/>
      <c r="AO47" s="1305"/>
      <c r="AP47" s="1305"/>
      <c r="AQ47" s="1305"/>
      <c r="AR47" s="1305"/>
      <c r="AS47" s="1305"/>
      <c r="AT47" s="1305"/>
      <c r="AU47" s="16"/>
      <c r="AV47" s="16"/>
      <c r="AW47" s="16"/>
      <c r="AX47" s="16"/>
      <c r="AY47" s="16"/>
      <c r="AZ47" s="16"/>
    </row>
    <row r="48" spans="1:52" ht="13" customHeight="1">
      <c r="A48" s="1305"/>
      <c r="B48" s="1305"/>
      <c r="C48" s="1305"/>
      <c r="D48" s="1305"/>
      <c r="E48" s="1305"/>
      <c r="F48" s="1305"/>
      <c r="G48" s="1305"/>
      <c r="H48" s="1305"/>
      <c r="I48" s="1305"/>
      <c r="J48" s="1305"/>
      <c r="K48" s="1305"/>
      <c r="L48" s="1305"/>
      <c r="M48" s="1305"/>
      <c r="N48" s="1305"/>
      <c r="O48" s="1305"/>
      <c r="P48" s="1305"/>
      <c r="Q48" s="1305"/>
      <c r="R48" s="1305"/>
      <c r="S48" s="1305"/>
      <c r="T48" s="1305"/>
      <c r="U48" s="1305"/>
      <c r="V48" s="1305"/>
      <c r="W48" s="1305"/>
      <c r="X48" s="1305"/>
      <c r="Y48" s="1305"/>
      <c r="Z48" s="1305"/>
      <c r="AA48" s="1305"/>
      <c r="AB48" s="1305"/>
      <c r="AC48" s="1305"/>
      <c r="AD48" s="1305"/>
      <c r="AE48" s="1305"/>
      <c r="AF48" s="1305"/>
      <c r="AG48" s="1305"/>
      <c r="AH48" s="1305"/>
      <c r="AI48" s="1305"/>
      <c r="AJ48" s="1305"/>
      <c r="AK48" s="1305"/>
      <c r="AL48" s="1305"/>
      <c r="AM48" s="1305"/>
      <c r="AN48" s="1305"/>
      <c r="AO48" s="1305"/>
      <c r="AP48" s="1305"/>
      <c r="AQ48" s="1305"/>
      <c r="AR48" s="1305"/>
      <c r="AS48" s="1305"/>
      <c r="AT48" s="1305"/>
      <c r="AU48" s="16"/>
      <c r="AV48" s="16"/>
      <c r="AW48" s="16"/>
      <c r="AX48" s="16"/>
      <c r="AY48" s="16"/>
      <c r="AZ48" s="16"/>
    </row>
    <row r="49" spans="1:52" ht="13" customHeight="1">
      <c r="A49" s="1305"/>
      <c r="B49" s="1305"/>
      <c r="C49" s="1305"/>
      <c r="D49" s="1305"/>
      <c r="E49" s="1305"/>
      <c r="F49" s="1305"/>
      <c r="G49" s="1305"/>
      <c r="H49" s="1305"/>
      <c r="I49" s="1305"/>
      <c r="J49" s="1305"/>
      <c r="K49" s="1305"/>
      <c r="L49" s="1305"/>
      <c r="M49" s="1305"/>
      <c r="N49" s="1305"/>
      <c r="O49" s="1305"/>
      <c r="P49" s="1305"/>
      <c r="Q49" s="1305"/>
      <c r="R49" s="1305"/>
      <c r="S49" s="1305"/>
      <c r="T49" s="1305"/>
      <c r="U49" s="1305"/>
      <c r="V49" s="1305"/>
      <c r="W49" s="1305"/>
      <c r="X49" s="1305"/>
      <c r="Y49" s="1305"/>
      <c r="Z49" s="1305"/>
      <c r="AA49" s="1305"/>
      <c r="AB49" s="1305"/>
      <c r="AC49" s="1305"/>
      <c r="AD49" s="1305"/>
      <c r="AE49" s="1305"/>
      <c r="AF49" s="1305"/>
      <c r="AG49" s="1305"/>
      <c r="AH49" s="1305"/>
      <c r="AI49" s="1305"/>
      <c r="AJ49" s="1305"/>
      <c r="AK49" s="1305"/>
      <c r="AL49" s="1305"/>
      <c r="AM49" s="1305"/>
      <c r="AN49" s="1305"/>
      <c r="AO49" s="1305"/>
      <c r="AP49" s="1305"/>
      <c r="AQ49" s="1305"/>
      <c r="AR49" s="1305"/>
      <c r="AS49" s="1305"/>
      <c r="AT49" s="1305"/>
      <c r="AU49" s="16"/>
      <c r="AV49" s="16"/>
      <c r="AW49" s="16"/>
      <c r="AX49" s="16"/>
      <c r="AY49" s="16"/>
      <c r="AZ49" s="16"/>
    </row>
    <row r="50" spans="1:52" ht="13" customHeight="1">
      <c r="A50" s="1128"/>
      <c r="B50" s="1128"/>
      <c r="C50" s="1128"/>
      <c r="D50" s="1128"/>
      <c r="E50" s="1128"/>
      <c r="F50" s="1128"/>
      <c r="G50" s="1128"/>
      <c r="H50" s="1128"/>
      <c r="I50" s="1128"/>
      <c r="J50" s="1128"/>
      <c r="K50" s="1128"/>
      <c r="L50" s="1128"/>
      <c r="M50" s="1128"/>
      <c r="N50" s="1128"/>
      <c r="O50" s="1128"/>
      <c r="P50" s="1128"/>
      <c r="Q50" s="1128"/>
      <c r="R50" s="1128"/>
      <c r="S50" s="1128"/>
      <c r="T50" s="1128"/>
      <c r="U50" s="1128"/>
      <c r="V50" s="1128"/>
      <c r="W50" s="1128"/>
      <c r="X50" s="1128"/>
      <c r="Y50" s="1128"/>
      <c r="Z50" s="1128"/>
      <c r="AA50" s="1128"/>
      <c r="AB50" s="1128"/>
      <c r="AC50" s="1128"/>
      <c r="AD50" s="1128"/>
      <c r="AE50" s="1128"/>
      <c r="AF50" s="1128"/>
      <c r="AG50" s="1128"/>
      <c r="AH50" s="1128"/>
      <c r="AI50" s="1128"/>
      <c r="AJ50" s="1128"/>
      <c r="AK50" s="1128"/>
      <c r="AL50" s="1128"/>
      <c r="AM50" s="1128"/>
      <c r="AN50" s="1128"/>
      <c r="AO50" s="1128"/>
      <c r="AP50" s="1128"/>
      <c r="AQ50" s="1128"/>
      <c r="AR50" s="1128"/>
      <c r="AS50" s="1128"/>
      <c r="AT50" s="1128"/>
      <c r="AU50" s="16"/>
      <c r="AV50" s="16"/>
      <c r="AW50" s="16"/>
      <c r="AX50" s="16"/>
      <c r="AY50" s="16"/>
      <c r="AZ50" s="16"/>
    </row>
    <row r="51" spans="1:52" ht="13" customHeight="1">
      <c r="A51" s="1221" t="s">
        <v>842</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6"/>
      <c r="AV51" s="16"/>
      <c r="AW51" s="16"/>
      <c r="AX51" s="16"/>
      <c r="AY51" s="16"/>
      <c r="AZ51" s="16"/>
    </row>
    <row r="52" spans="1:52" ht="13"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6"/>
      <c r="AV52" s="16"/>
      <c r="AW52" s="16"/>
      <c r="AX52" s="16"/>
      <c r="AY52" s="16"/>
      <c r="AZ52" s="16"/>
    </row>
    <row r="53" spans="1:52" ht="13" customHeight="1">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 customHeight="1">
      <c r="A54" s="1221" t="s">
        <v>843</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6"/>
      <c r="AV54" s="16"/>
      <c r="AW54" s="16"/>
      <c r="AX54" s="16"/>
      <c r="AY54" s="16"/>
      <c r="AZ54" s="17"/>
    </row>
    <row r="55" spans="1:52" ht="13"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7"/>
    </row>
    <row r="56" spans="1:52" ht="13"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 customHeight="1">
      <c r="A59" s="1115"/>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 customHeight="1">
      <c r="A60" s="1221" t="s">
        <v>844</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6"/>
      <c r="AV60" s="16"/>
      <c r="AW60" s="16"/>
      <c r="AX60" s="16"/>
      <c r="AY60" s="16"/>
      <c r="AZ60" s="16"/>
    </row>
    <row r="61" spans="1:52" ht="13"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6"/>
      <c r="AV61" s="16"/>
      <c r="AW61" s="16"/>
      <c r="AX61" s="16"/>
      <c r="AY61" s="16"/>
      <c r="AZ61" s="16"/>
    </row>
    <row r="62" spans="1:52" ht="13" customHeight="1">
      <c r="A62" s="1115"/>
      <c r="C62" s="1115"/>
      <c r="D62" s="1115"/>
      <c r="E62" s="1115"/>
      <c r="F62" s="1115"/>
      <c r="G62" s="1115"/>
      <c r="H62" s="1115"/>
      <c r="I62" s="1115"/>
      <c r="J62" s="1115"/>
      <c r="K62" s="1115"/>
      <c r="L62" s="1115"/>
      <c r="M62" s="1115"/>
      <c r="N62" s="1115"/>
      <c r="O62" s="1115"/>
      <c r="P62" s="1115"/>
      <c r="Q62" s="1115"/>
      <c r="R62" s="1115"/>
      <c r="S62" s="1115"/>
      <c r="T62" s="1115"/>
      <c r="U62" s="1115"/>
      <c r="V62" s="1115"/>
      <c r="W62" s="1115"/>
      <c r="X62" s="1115"/>
      <c r="Y62" s="1115"/>
      <c r="Z62" s="1115"/>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 customHeight="1">
      <c r="A63" s="1115" t="s">
        <v>845</v>
      </c>
      <c r="C63" s="1115"/>
      <c r="D63" s="1115"/>
      <c r="E63" s="1115"/>
      <c r="F63" s="1115"/>
      <c r="G63" s="1115"/>
      <c r="H63" s="1115"/>
      <c r="I63" s="1115"/>
      <c r="J63" s="1115"/>
      <c r="K63" s="1115"/>
      <c r="L63" s="1115"/>
      <c r="M63" s="1115"/>
      <c r="N63" s="1115"/>
      <c r="O63" s="1115"/>
      <c r="P63" s="1115"/>
      <c r="Q63" s="1115"/>
      <c r="R63" s="1115"/>
      <c r="S63" s="1115"/>
      <c r="T63" s="1115"/>
      <c r="U63" s="1115"/>
      <c r="V63" s="1115"/>
      <c r="W63" s="1115"/>
      <c r="X63" s="1115"/>
      <c r="Y63" s="1115"/>
      <c r="Z63" s="1115"/>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 customHeight="1">
      <c r="C64" s="1115"/>
      <c r="D64" s="1115"/>
      <c r="E64" s="1115"/>
      <c r="F64" s="1115"/>
      <c r="G64" s="1115"/>
      <c r="H64" s="1115"/>
      <c r="I64" s="1115"/>
      <c r="J64" s="1115"/>
      <c r="K64" s="1115"/>
      <c r="L64" s="1115"/>
      <c r="M64" s="1115"/>
      <c r="N64" s="1115"/>
      <c r="O64" s="1115"/>
      <c r="P64" s="1115"/>
      <c r="Q64" s="1115"/>
      <c r="R64" s="1115"/>
      <c r="S64" s="1115"/>
      <c r="T64" s="1115"/>
      <c r="U64" s="1115"/>
      <c r="V64" s="1115"/>
      <c r="W64" s="1115"/>
      <c r="X64" s="1115"/>
      <c r="Y64" s="1115"/>
      <c r="Z64" s="1115"/>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 customHeight="1">
      <c r="A65" s="1221" t="s">
        <v>846</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7"/>
      <c r="AV65" s="17"/>
      <c r="AW65" s="17"/>
      <c r="AX65" s="17"/>
      <c r="AY65" s="17"/>
      <c r="AZ65" s="16"/>
    </row>
    <row r="66" spans="1:52" ht="13"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7"/>
      <c r="AV66" s="17"/>
      <c r="AW66" s="17"/>
      <c r="AX66" s="17"/>
      <c r="AY66" s="17"/>
      <c r="AZ66" s="16"/>
    </row>
    <row r="67" spans="1:52" ht="13"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6"/>
    </row>
    <row r="68" spans="1:52" ht="13"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 customHeight="1">
      <c r="A69" s="1221" t="s">
        <v>847</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6"/>
    </row>
    <row r="70" spans="1:52" ht="13"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6"/>
      <c r="AV70" s="16"/>
      <c r="AW70" s="16"/>
      <c r="AX70" s="16"/>
      <c r="AY70" s="16"/>
      <c r="AZ70" s="16"/>
    </row>
    <row r="71" spans="1:52" ht="13" customHeight="1">
      <c r="A71" s="1115"/>
      <c r="C71" s="1115"/>
      <c r="D71" s="1115"/>
      <c r="E71" s="1115"/>
      <c r="F71" s="1115"/>
      <c r="G71" s="1115"/>
      <c r="H71" s="1115"/>
      <c r="I71" s="1115"/>
      <c r="J71" s="1115"/>
      <c r="K71" s="1115"/>
      <c r="L71" s="1115"/>
      <c r="M71" s="1115"/>
      <c r="N71" s="1115"/>
      <c r="O71" s="1115"/>
      <c r="P71" s="1115"/>
      <c r="Q71" s="1115"/>
      <c r="R71" s="1115"/>
      <c r="S71" s="1115"/>
      <c r="T71" s="1115"/>
      <c r="U71" s="1115"/>
      <c r="V71" s="1115"/>
      <c r="W71" s="1115"/>
      <c r="X71" s="1115"/>
      <c r="Y71" s="1115"/>
      <c r="Z71" s="1115"/>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 customHeight="1">
      <c r="A72" s="1776" t="s">
        <v>848</v>
      </c>
      <c r="B72" s="1776"/>
      <c r="C72" s="1776"/>
      <c r="D72" s="1776"/>
      <c r="E72" s="1776"/>
      <c r="F72" s="1776"/>
      <c r="G72" s="1776"/>
      <c r="H72" s="1776"/>
      <c r="I72" s="1776"/>
      <c r="J72" s="1776"/>
      <c r="K72" s="1776"/>
      <c r="L72" s="1776"/>
      <c r="M72" s="1776"/>
      <c r="N72" s="1776"/>
      <c r="O72" s="1776"/>
      <c r="P72" s="1776"/>
      <c r="Q72" s="1776"/>
      <c r="R72" s="1776"/>
      <c r="S72" s="1776"/>
      <c r="T72" s="1776"/>
      <c r="U72" s="1776"/>
      <c r="V72" s="1776"/>
      <c r="W72" s="1776"/>
      <c r="X72" s="1776"/>
      <c r="Y72" s="1776"/>
      <c r="Z72" s="1776"/>
      <c r="AA72" s="1776"/>
      <c r="AB72" s="1776"/>
      <c r="AC72" s="1776"/>
      <c r="AD72" s="1776"/>
      <c r="AE72" s="1776"/>
      <c r="AF72" s="1776"/>
      <c r="AG72" s="1776"/>
      <c r="AH72" s="1776"/>
      <c r="AI72" s="1776"/>
      <c r="AJ72" s="1776"/>
      <c r="AK72" s="1776"/>
      <c r="AL72" s="1776"/>
      <c r="AM72" s="1776"/>
      <c r="AN72" s="1776"/>
      <c r="AO72" s="1776"/>
      <c r="AP72" s="1776"/>
      <c r="AQ72" s="1776"/>
      <c r="AR72" s="1776"/>
      <c r="AS72" s="1776"/>
      <c r="AT72" s="1776"/>
      <c r="AU72" s="16"/>
      <c r="AV72" s="16"/>
      <c r="AW72" s="16"/>
      <c r="AX72" s="16"/>
      <c r="AY72" s="16"/>
      <c r="AZ72" s="16"/>
    </row>
    <row r="73" spans="1:52" ht="13" customHeight="1">
      <c r="A73" s="1776"/>
      <c r="B73" s="1776"/>
      <c r="C73" s="1776"/>
      <c r="D73" s="1776"/>
      <c r="E73" s="1776"/>
      <c r="F73" s="1776"/>
      <c r="G73" s="1776"/>
      <c r="H73" s="1776"/>
      <c r="I73" s="1776"/>
      <c r="J73" s="1776"/>
      <c r="K73" s="1776"/>
      <c r="L73" s="1776"/>
      <c r="M73" s="1776"/>
      <c r="N73" s="1776"/>
      <c r="O73" s="1776"/>
      <c r="P73" s="1776"/>
      <c r="Q73" s="1776"/>
      <c r="R73" s="1776"/>
      <c r="S73" s="1776"/>
      <c r="T73" s="1776"/>
      <c r="U73" s="1776"/>
      <c r="V73" s="1776"/>
      <c r="W73" s="1776"/>
      <c r="X73" s="1776"/>
      <c r="Y73" s="1776"/>
      <c r="Z73" s="1776"/>
      <c r="AA73" s="1776"/>
      <c r="AB73" s="1776"/>
      <c r="AC73" s="1776"/>
      <c r="AD73" s="1776"/>
      <c r="AE73" s="1776"/>
      <c r="AF73" s="1776"/>
      <c r="AG73" s="1776"/>
      <c r="AH73" s="1776"/>
      <c r="AI73" s="1776"/>
      <c r="AJ73" s="1776"/>
      <c r="AK73" s="1776"/>
      <c r="AL73" s="1776"/>
      <c r="AM73" s="1776"/>
      <c r="AN73" s="1776"/>
      <c r="AO73" s="1776"/>
      <c r="AP73" s="1776"/>
      <c r="AQ73" s="1776"/>
      <c r="AR73" s="1776"/>
      <c r="AS73" s="1776"/>
      <c r="AT73" s="1776"/>
      <c r="AU73" s="16"/>
      <c r="AV73" s="16"/>
      <c r="AW73" s="16"/>
      <c r="AX73" s="16"/>
      <c r="AY73" s="16"/>
      <c r="AZ73" s="16"/>
    </row>
    <row r="74" spans="1:52" ht="13" customHeight="1">
      <c r="A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 customHeight="1">
      <c r="A75" s="1507" t="s">
        <v>849</v>
      </c>
      <c r="B75" s="1507"/>
      <c r="C75" s="1507"/>
      <c r="D75" s="1507"/>
      <c r="E75" s="1507"/>
      <c r="F75" s="1507"/>
      <c r="G75" s="1507"/>
      <c r="H75" s="1507"/>
      <c r="I75" s="1507"/>
      <c r="J75" s="1507"/>
      <c r="K75" s="1507"/>
      <c r="L75" s="1507"/>
      <c r="M75" s="1507"/>
      <c r="N75" s="1507"/>
      <c r="O75" s="1507"/>
      <c r="P75" s="1507"/>
      <c r="Q75" s="1507"/>
      <c r="R75" s="1507"/>
      <c r="S75" s="1507"/>
      <c r="T75" s="1507"/>
      <c r="U75" s="1507"/>
      <c r="V75" s="1507"/>
      <c r="W75" s="1507"/>
      <c r="X75" s="1507"/>
      <c r="Y75" s="1507"/>
      <c r="Z75" s="1507"/>
      <c r="AA75" s="1507"/>
      <c r="AB75" s="1507"/>
      <c r="AC75" s="1507"/>
      <c r="AD75" s="1507"/>
      <c r="AE75" s="1507"/>
      <c r="AF75" s="1507"/>
      <c r="AG75" s="1507"/>
      <c r="AH75" s="1507"/>
      <c r="AI75" s="1507"/>
      <c r="AJ75" s="1507"/>
      <c r="AK75" s="1507"/>
      <c r="AL75" s="1507"/>
      <c r="AM75" s="1507"/>
      <c r="AN75" s="1507"/>
      <c r="AO75" s="1507"/>
      <c r="AP75" s="1507"/>
      <c r="AQ75" s="1507"/>
      <c r="AR75" s="1507"/>
      <c r="AS75" s="1507"/>
      <c r="AT75" s="1507"/>
      <c r="AU75" s="16"/>
      <c r="AV75" s="16"/>
      <c r="AW75" s="16"/>
      <c r="AX75" s="16"/>
      <c r="AY75" s="16"/>
      <c r="AZ75" s="16"/>
    </row>
    <row r="76" spans="1:52" ht="13" customHeight="1">
      <c r="A76" s="1507"/>
      <c r="B76" s="1507"/>
      <c r="C76" s="1507"/>
      <c r="D76" s="1507"/>
      <c r="E76" s="1507"/>
      <c r="F76" s="1507"/>
      <c r="G76" s="1507"/>
      <c r="H76" s="1507"/>
      <c r="I76" s="1507"/>
      <c r="J76" s="1507"/>
      <c r="K76" s="1507"/>
      <c r="L76" s="1507"/>
      <c r="M76" s="1507"/>
      <c r="N76" s="1507"/>
      <c r="O76" s="1507"/>
      <c r="P76" s="1507"/>
      <c r="Q76" s="1507"/>
      <c r="R76" s="1507"/>
      <c r="S76" s="1507"/>
      <c r="T76" s="1507"/>
      <c r="U76" s="1507"/>
      <c r="V76" s="1507"/>
      <c r="W76" s="1507"/>
      <c r="X76" s="1507"/>
      <c r="Y76" s="1507"/>
      <c r="Z76" s="1507"/>
      <c r="AA76" s="1507"/>
      <c r="AB76" s="1507"/>
      <c r="AC76" s="1507"/>
      <c r="AD76" s="1507"/>
      <c r="AE76" s="1507"/>
      <c r="AF76" s="1507"/>
      <c r="AG76" s="1507"/>
      <c r="AH76" s="1507"/>
      <c r="AI76" s="1507"/>
      <c r="AJ76" s="1507"/>
      <c r="AK76" s="1507"/>
      <c r="AL76" s="1507"/>
      <c r="AM76" s="1507"/>
      <c r="AN76" s="1507"/>
      <c r="AO76" s="1507"/>
      <c r="AP76" s="1507"/>
      <c r="AQ76" s="1507"/>
      <c r="AR76" s="1507"/>
      <c r="AS76" s="1507"/>
      <c r="AT76" s="1507"/>
      <c r="AU76" s="16"/>
      <c r="AV76" s="16"/>
      <c r="AW76" s="16"/>
      <c r="AX76" s="16"/>
      <c r="AY76" s="16"/>
      <c r="AZ76" s="14"/>
    </row>
    <row r="77" spans="1:52" ht="13" customHeight="1">
      <c r="A77" s="1507"/>
      <c r="B77" s="1507"/>
      <c r="C77" s="1507"/>
      <c r="D77" s="1507"/>
      <c r="E77" s="1507"/>
      <c r="F77" s="1507"/>
      <c r="G77" s="1507"/>
      <c r="H77" s="1507"/>
      <c r="I77" s="1507"/>
      <c r="J77" s="1507"/>
      <c r="K77" s="1507"/>
      <c r="L77" s="1507"/>
      <c r="M77" s="1507"/>
      <c r="N77" s="1507"/>
      <c r="O77" s="1507"/>
      <c r="P77" s="1507"/>
      <c r="Q77" s="1507"/>
      <c r="R77" s="1507"/>
      <c r="S77" s="1507"/>
      <c r="T77" s="1507"/>
      <c r="U77" s="1507"/>
      <c r="V77" s="1507"/>
      <c r="W77" s="1507"/>
      <c r="X77" s="1507"/>
      <c r="Y77" s="1507"/>
      <c r="Z77" s="1507"/>
      <c r="AA77" s="1507"/>
      <c r="AB77" s="1507"/>
      <c r="AC77" s="1507"/>
      <c r="AD77" s="1507"/>
      <c r="AE77" s="1507"/>
      <c r="AF77" s="1507"/>
      <c r="AG77" s="1507"/>
      <c r="AH77" s="1507"/>
      <c r="AI77" s="1507"/>
      <c r="AJ77" s="1507"/>
      <c r="AK77" s="1507"/>
      <c r="AL77" s="1507"/>
      <c r="AM77" s="1507"/>
      <c r="AN77" s="1507"/>
      <c r="AO77" s="1507"/>
      <c r="AP77" s="1507"/>
      <c r="AQ77" s="1507"/>
      <c r="AR77" s="1507"/>
      <c r="AS77" s="1507"/>
      <c r="AT77" s="1507"/>
      <c r="AU77" s="16"/>
      <c r="AV77" s="16"/>
      <c r="AW77" s="16"/>
      <c r="AX77" s="16"/>
      <c r="AY77" s="16"/>
      <c r="AZ77" s="14"/>
    </row>
    <row r="78" spans="1:52" ht="13" customHeight="1">
      <c r="C78" s="1115"/>
      <c r="D78" s="1115"/>
      <c r="E78" s="1115"/>
      <c r="F78" s="1115"/>
      <c r="G78" s="1115"/>
      <c r="H78" s="1115"/>
      <c r="I78" s="1115"/>
      <c r="J78" s="1115"/>
      <c r="K78" s="1115"/>
      <c r="L78" s="1115"/>
      <c r="M78" s="1115"/>
      <c r="N78" s="1115"/>
      <c r="O78" s="1115"/>
      <c r="P78" s="1115"/>
      <c r="Q78" s="1115"/>
      <c r="R78" s="1115"/>
      <c r="S78" s="1115"/>
      <c r="T78" s="1115"/>
      <c r="U78" s="1115"/>
      <c r="V78" s="1115"/>
      <c r="W78" s="1115"/>
      <c r="X78" s="1115"/>
      <c r="Y78" s="1115"/>
      <c r="Z78" s="1115"/>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 customHeight="1">
      <c r="A79" s="1221" t="s">
        <v>850</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6"/>
      <c r="AV79" s="16"/>
      <c r="AW79" s="16"/>
      <c r="AX79" s="16"/>
      <c r="AY79" s="16"/>
      <c r="AZ79" s="16"/>
    </row>
    <row r="80" spans="1:52" ht="13"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6"/>
      <c r="AV80" s="16"/>
      <c r="AW80" s="16"/>
      <c r="AX80" s="16"/>
      <c r="AY80" s="16"/>
      <c r="AZ80" s="16"/>
    </row>
    <row r="81" spans="1:52" ht="13"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6"/>
      <c r="AV81" s="16"/>
      <c r="AW81" s="16"/>
      <c r="AX81" s="16"/>
      <c r="AY81" s="16"/>
      <c r="AZ81" s="16"/>
    </row>
    <row r="82" spans="1:52" ht="13" customHeight="1">
      <c r="A82" s="1115"/>
      <c r="C82" s="1115"/>
      <c r="D82" s="1115"/>
      <c r="E82" s="1115"/>
      <c r="F82" s="1115"/>
      <c r="G82" s="1115"/>
      <c r="H82" s="1115"/>
      <c r="I82" s="1115"/>
      <c r="J82" s="1115"/>
      <c r="K82" s="1115"/>
      <c r="L82" s="1115"/>
      <c r="M82" s="1115"/>
      <c r="N82" s="1115"/>
      <c r="O82" s="1115"/>
      <c r="P82" s="1115"/>
      <c r="Q82" s="1115"/>
      <c r="R82" s="1115"/>
      <c r="S82" s="1115"/>
      <c r="T82" s="1115"/>
      <c r="U82" s="1115"/>
      <c r="V82" s="1115"/>
      <c r="W82" s="1115"/>
      <c r="X82" s="1115"/>
      <c r="Y82" s="1115"/>
      <c r="Z82" s="1115"/>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 customHeight="1">
      <c r="A83" s="1221" t="s">
        <v>851</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6"/>
      <c r="AV83" s="16"/>
      <c r="AW83" s="16"/>
      <c r="AX83" s="16"/>
      <c r="AY83" s="16"/>
      <c r="AZ83" s="16"/>
    </row>
    <row r="84" spans="1:52" ht="13"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6"/>
      <c r="AV84" s="16"/>
      <c r="AW84" s="16"/>
      <c r="AX84" s="16"/>
      <c r="AY84" s="16"/>
      <c r="AZ84" s="16"/>
    </row>
    <row r="85" spans="1:52" ht="13" customHeight="1">
      <c r="C85" s="1115"/>
      <c r="D85" s="1115"/>
      <c r="E85" s="1115"/>
      <c r="F85" s="1115"/>
      <c r="G85" s="1115"/>
      <c r="H85" s="1115"/>
      <c r="I85" s="1115"/>
      <c r="J85" s="1115"/>
      <c r="K85" s="1115"/>
      <c r="L85" s="1115"/>
      <c r="M85" s="1115"/>
      <c r="N85" s="1115"/>
      <c r="O85" s="1115"/>
      <c r="P85" s="1115"/>
      <c r="Q85" s="1115"/>
      <c r="R85" s="1115"/>
      <c r="S85" s="1115"/>
      <c r="T85" s="1115"/>
      <c r="U85" s="1115"/>
      <c r="V85" s="1115"/>
      <c r="W85" s="1115"/>
      <c r="X85" s="1115"/>
      <c r="Y85" s="1115"/>
      <c r="Z85" s="1115"/>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 customHeight="1">
      <c r="A86" s="1221" t="s">
        <v>852</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6"/>
      <c r="AV86" s="16"/>
      <c r="AW86" s="16"/>
      <c r="AX86" s="16"/>
      <c r="AY86" s="16"/>
      <c r="AZ86" s="16"/>
    </row>
    <row r="87" spans="1:52" ht="13"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6"/>
      <c r="AV87" s="16"/>
      <c r="AW87" s="16"/>
      <c r="AX87" s="16"/>
      <c r="AY87" s="16"/>
      <c r="AZ87" s="16"/>
    </row>
    <row r="88" spans="1:52" ht="13" customHeight="1">
      <c r="A88" s="1115"/>
      <c r="C88" s="1115"/>
      <c r="D88" s="1115"/>
      <c r="E88" s="1115"/>
      <c r="F88" s="1115"/>
      <c r="G88" s="1115"/>
      <c r="H88" s="1115"/>
      <c r="I88" s="1115"/>
      <c r="J88" s="1115"/>
      <c r="K88" s="1115"/>
      <c r="L88" s="1115"/>
      <c r="M88" s="1115"/>
      <c r="N88" s="1115"/>
      <c r="O88" s="1115"/>
      <c r="P88" s="1115"/>
      <c r="Q88" s="1115"/>
      <c r="R88" s="1115"/>
      <c r="S88" s="1115"/>
      <c r="T88" s="1115"/>
      <c r="U88" s="1115"/>
      <c r="V88" s="1115"/>
      <c r="W88" s="1115"/>
      <c r="X88" s="1115"/>
      <c r="Y88" s="1115"/>
      <c r="Z88" s="1115"/>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 customHeight="1">
      <c r="A89" s="1517" t="s">
        <v>853</v>
      </c>
      <c r="B89" s="1517"/>
      <c r="C89" s="1517"/>
      <c r="D89" s="1517"/>
      <c r="E89" s="1517"/>
      <c r="F89" s="1517"/>
      <c r="G89" s="1517"/>
      <c r="H89" s="1517"/>
      <c r="I89" s="1517"/>
      <c r="J89" s="1517"/>
      <c r="K89" s="1517"/>
      <c r="L89" s="1517"/>
      <c r="M89" s="1517"/>
      <c r="N89" s="1517"/>
      <c r="O89" s="1517"/>
      <c r="P89" s="1517"/>
      <c r="Q89" s="1517"/>
      <c r="R89" s="1517"/>
      <c r="S89" s="1517"/>
      <c r="T89" s="1517"/>
      <c r="U89" s="1517"/>
      <c r="V89" s="1517"/>
      <c r="W89" s="1517"/>
      <c r="X89" s="1517"/>
      <c r="Y89" s="1517"/>
      <c r="Z89" s="1517"/>
      <c r="AA89" s="1517"/>
      <c r="AB89" s="1517"/>
      <c r="AC89" s="1517"/>
      <c r="AD89" s="1517"/>
      <c r="AE89" s="1517"/>
      <c r="AF89" s="1517"/>
      <c r="AG89" s="1517"/>
      <c r="AH89" s="1517"/>
      <c r="AI89" s="1517"/>
      <c r="AJ89" s="1517"/>
      <c r="AK89" s="1517"/>
      <c r="AL89" s="1517"/>
      <c r="AM89" s="1517"/>
      <c r="AN89" s="1517"/>
      <c r="AO89" s="1517"/>
      <c r="AP89" s="1517"/>
      <c r="AQ89" s="1517"/>
      <c r="AR89" s="1517"/>
      <c r="AS89" s="1517"/>
      <c r="AT89" s="1517"/>
      <c r="AU89" s="14"/>
      <c r="AV89" s="14"/>
      <c r="AW89" s="14"/>
      <c r="AX89" s="14"/>
      <c r="AY89" s="14"/>
      <c r="AZ89" s="16"/>
    </row>
    <row r="90" spans="1:52" ht="13" customHeight="1">
      <c r="A90" s="1517"/>
      <c r="B90" s="1517"/>
      <c r="C90" s="1517"/>
      <c r="D90" s="1517"/>
      <c r="E90" s="1517"/>
      <c r="F90" s="1517"/>
      <c r="G90" s="1517"/>
      <c r="H90" s="1517"/>
      <c r="I90" s="1517"/>
      <c r="J90" s="1517"/>
      <c r="K90" s="1517"/>
      <c r="L90" s="1517"/>
      <c r="M90" s="1517"/>
      <c r="N90" s="1517"/>
      <c r="O90" s="1517"/>
      <c r="P90" s="1517"/>
      <c r="Q90" s="1517"/>
      <c r="R90" s="1517"/>
      <c r="S90" s="1517"/>
      <c r="T90" s="1517"/>
      <c r="U90" s="1517"/>
      <c r="V90" s="1517"/>
      <c r="W90" s="1517"/>
      <c r="X90" s="1517"/>
      <c r="Y90" s="1517"/>
      <c r="Z90" s="1517"/>
      <c r="AA90" s="1517"/>
      <c r="AB90" s="1517"/>
      <c r="AC90" s="1517"/>
      <c r="AD90" s="1517"/>
      <c r="AE90" s="1517"/>
      <c r="AF90" s="1517"/>
      <c r="AG90" s="1517"/>
      <c r="AH90" s="1517"/>
      <c r="AI90" s="1517"/>
      <c r="AJ90" s="1517"/>
      <c r="AK90" s="1517"/>
      <c r="AL90" s="1517"/>
      <c r="AM90" s="1517"/>
      <c r="AN90" s="1517"/>
      <c r="AO90" s="1517"/>
      <c r="AP90" s="1517"/>
      <c r="AQ90" s="1517"/>
      <c r="AR90" s="1517"/>
      <c r="AS90" s="1517"/>
      <c r="AT90" s="1517"/>
      <c r="AU90" s="14"/>
      <c r="AV90" s="14"/>
      <c r="AW90" s="14"/>
      <c r="AX90" s="14"/>
      <c r="AY90" s="14"/>
      <c r="AZ90" s="16"/>
    </row>
    <row r="91" spans="1:52" ht="13" customHeight="1">
      <c r="A91" s="1115"/>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 customHeight="1">
      <c r="A92" s="1507" t="s">
        <v>854</v>
      </c>
      <c r="B92" s="1507"/>
      <c r="C92" s="1507"/>
      <c r="D92" s="1507"/>
      <c r="E92" s="1507"/>
      <c r="F92" s="1507"/>
      <c r="G92" s="1507"/>
      <c r="H92" s="1507"/>
      <c r="I92" s="1507"/>
      <c r="J92" s="1507"/>
      <c r="K92" s="1507"/>
      <c r="L92" s="1507"/>
      <c r="M92" s="1507"/>
      <c r="N92" s="1507"/>
      <c r="O92" s="1507"/>
      <c r="P92" s="1507"/>
      <c r="Q92" s="1507"/>
      <c r="R92" s="1507"/>
      <c r="S92" s="1507"/>
      <c r="T92" s="1507"/>
      <c r="U92" s="1507"/>
      <c r="V92" s="1507"/>
      <c r="W92" s="1507"/>
      <c r="X92" s="1507"/>
      <c r="Y92" s="1507"/>
      <c r="Z92" s="1507"/>
      <c r="AA92" s="1507"/>
      <c r="AB92" s="1507"/>
      <c r="AC92" s="1507"/>
      <c r="AD92" s="1507"/>
      <c r="AE92" s="1507"/>
      <c r="AF92" s="1507"/>
      <c r="AG92" s="1507"/>
      <c r="AH92" s="1507"/>
      <c r="AI92" s="1507"/>
      <c r="AJ92" s="1507"/>
      <c r="AK92" s="1507"/>
      <c r="AL92" s="1507"/>
      <c r="AM92" s="1507"/>
      <c r="AN92" s="1507"/>
      <c r="AO92" s="1507"/>
      <c r="AP92" s="1507"/>
      <c r="AQ92" s="1507"/>
      <c r="AR92" s="1507"/>
      <c r="AS92" s="1507"/>
      <c r="AT92" s="1507"/>
      <c r="AU92" s="16"/>
      <c r="AV92" s="16"/>
      <c r="AW92" s="16"/>
      <c r="AX92" s="16"/>
      <c r="AY92" s="16"/>
      <c r="AZ92" s="16"/>
    </row>
    <row r="93" spans="1:52" ht="13" customHeight="1">
      <c r="A93" s="1507"/>
      <c r="B93" s="1507"/>
      <c r="C93" s="1507"/>
      <c r="D93" s="1507"/>
      <c r="E93" s="1507"/>
      <c r="F93" s="1507"/>
      <c r="G93" s="1507"/>
      <c r="H93" s="1507"/>
      <c r="I93" s="1507"/>
      <c r="J93" s="1507"/>
      <c r="K93" s="1507"/>
      <c r="L93" s="1507"/>
      <c r="M93" s="1507"/>
      <c r="N93" s="1507"/>
      <c r="O93" s="1507"/>
      <c r="P93" s="1507"/>
      <c r="Q93" s="1507"/>
      <c r="R93" s="1507"/>
      <c r="S93" s="1507"/>
      <c r="T93" s="1507"/>
      <c r="U93" s="1507"/>
      <c r="V93" s="1507"/>
      <c r="W93" s="1507"/>
      <c r="X93" s="1507"/>
      <c r="Y93" s="1507"/>
      <c r="Z93" s="1507"/>
      <c r="AA93" s="1507"/>
      <c r="AB93" s="1507"/>
      <c r="AC93" s="1507"/>
      <c r="AD93" s="1507"/>
      <c r="AE93" s="1507"/>
      <c r="AF93" s="1507"/>
      <c r="AG93" s="1507"/>
      <c r="AH93" s="1507"/>
      <c r="AI93" s="1507"/>
      <c r="AJ93" s="1507"/>
      <c r="AK93" s="1507"/>
      <c r="AL93" s="1507"/>
      <c r="AM93" s="1507"/>
      <c r="AN93" s="1507"/>
      <c r="AO93" s="1507"/>
      <c r="AP93" s="1507"/>
      <c r="AQ93" s="1507"/>
      <c r="AR93" s="1507"/>
      <c r="AS93" s="1507"/>
      <c r="AT93" s="1507"/>
      <c r="AU93" s="16"/>
      <c r="AV93" s="16"/>
      <c r="AW93" s="16"/>
      <c r="AX93" s="16"/>
      <c r="AY93" s="16"/>
      <c r="AZ93" s="16"/>
    </row>
    <row r="94" spans="1:52" ht="13" customHeight="1">
      <c r="A94" s="1507"/>
      <c r="B94" s="1507"/>
      <c r="C94" s="1507"/>
      <c r="D94" s="1507"/>
      <c r="E94" s="1507"/>
      <c r="F94" s="1507"/>
      <c r="G94" s="1507"/>
      <c r="H94" s="1507"/>
      <c r="I94" s="1507"/>
      <c r="J94" s="1507"/>
      <c r="K94" s="1507"/>
      <c r="L94" s="1507"/>
      <c r="M94" s="1507"/>
      <c r="N94" s="1507"/>
      <c r="O94" s="1507"/>
      <c r="P94" s="1507"/>
      <c r="Q94" s="1507"/>
      <c r="R94" s="1507"/>
      <c r="S94" s="1507"/>
      <c r="T94" s="1507"/>
      <c r="U94" s="1507"/>
      <c r="V94" s="1507"/>
      <c r="W94" s="1507"/>
      <c r="X94" s="1507"/>
      <c r="Y94" s="1507"/>
      <c r="Z94" s="1507"/>
      <c r="AA94" s="1507"/>
      <c r="AB94" s="1507"/>
      <c r="AC94" s="1507"/>
      <c r="AD94" s="1507"/>
      <c r="AE94" s="1507"/>
      <c r="AF94" s="1507"/>
      <c r="AG94" s="1507"/>
      <c r="AH94" s="1507"/>
      <c r="AI94" s="1507"/>
      <c r="AJ94" s="1507"/>
      <c r="AK94" s="1507"/>
      <c r="AL94" s="1507"/>
      <c r="AM94" s="1507"/>
      <c r="AN94" s="1507"/>
      <c r="AO94" s="1507"/>
      <c r="AP94" s="1507"/>
      <c r="AQ94" s="1507"/>
      <c r="AR94" s="1507"/>
      <c r="AS94" s="1507"/>
      <c r="AT94" s="1507"/>
      <c r="AU94" s="16"/>
      <c r="AV94" s="16"/>
      <c r="AW94" s="16"/>
      <c r="AX94" s="16"/>
      <c r="AY94" s="16"/>
      <c r="AZ94" s="16"/>
    </row>
    <row r="95" spans="1:52" ht="13" customHeight="1">
      <c r="A95" s="1507"/>
      <c r="B95" s="1507"/>
      <c r="C95" s="1507"/>
      <c r="D95" s="1507"/>
      <c r="E95" s="1507"/>
      <c r="F95" s="1507"/>
      <c r="G95" s="1507"/>
      <c r="H95" s="1507"/>
      <c r="I95" s="1507"/>
      <c r="J95" s="1507"/>
      <c r="K95" s="1507"/>
      <c r="L95" s="1507"/>
      <c r="M95" s="1507"/>
      <c r="N95" s="1507"/>
      <c r="O95" s="1507"/>
      <c r="P95" s="1507"/>
      <c r="Q95" s="1507"/>
      <c r="R95" s="1507"/>
      <c r="S95" s="1507"/>
      <c r="T95" s="1507"/>
      <c r="U95" s="1507"/>
      <c r="V95" s="1507"/>
      <c r="W95" s="1507"/>
      <c r="X95" s="1507"/>
      <c r="Y95" s="1507"/>
      <c r="Z95" s="1507"/>
      <c r="AA95" s="1507"/>
      <c r="AB95" s="1507"/>
      <c r="AC95" s="1507"/>
      <c r="AD95" s="1507"/>
      <c r="AE95" s="1507"/>
      <c r="AF95" s="1507"/>
      <c r="AG95" s="1507"/>
      <c r="AH95" s="1507"/>
      <c r="AI95" s="1507"/>
      <c r="AJ95" s="1507"/>
      <c r="AK95" s="1507"/>
      <c r="AL95" s="1507"/>
      <c r="AM95" s="1507"/>
      <c r="AN95" s="1507"/>
      <c r="AO95" s="1507"/>
      <c r="AP95" s="1507"/>
      <c r="AQ95" s="1507"/>
      <c r="AR95" s="1507"/>
      <c r="AS95" s="1507"/>
      <c r="AT95" s="1507"/>
      <c r="AU95" s="16"/>
      <c r="AV95" s="16"/>
      <c r="AW95" s="16"/>
      <c r="AX95" s="16"/>
      <c r="AY95" s="16"/>
      <c r="AZ95" s="16"/>
    </row>
    <row r="96" spans="1:52" ht="13" customHeight="1">
      <c r="A96" s="1507"/>
      <c r="B96" s="1507"/>
      <c r="C96" s="1507"/>
      <c r="D96" s="1507"/>
      <c r="E96" s="1507"/>
      <c r="F96" s="1507"/>
      <c r="G96" s="1507"/>
      <c r="H96" s="1507"/>
      <c r="I96" s="1507"/>
      <c r="J96" s="1507"/>
      <c r="K96" s="1507"/>
      <c r="L96" s="1507"/>
      <c r="M96" s="1507"/>
      <c r="N96" s="1507"/>
      <c r="O96" s="1507"/>
      <c r="P96" s="1507"/>
      <c r="Q96" s="1507"/>
      <c r="R96" s="1507"/>
      <c r="S96" s="1507"/>
      <c r="T96" s="1507"/>
      <c r="U96" s="1507"/>
      <c r="V96" s="1507"/>
      <c r="W96" s="1507"/>
      <c r="X96" s="1507"/>
      <c r="Y96" s="1507"/>
      <c r="Z96" s="1507"/>
      <c r="AA96" s="1507"/>
      <c r="AB96" s="1507"/>
      <c r="AC96" s="1507"/>
      <c r="AD96" s="1507"/>
      <c r="AE96" s="1507"/>
      <c r="AF96" s="1507"/>
      <c r="AG96" s="1507"/>
      <c r="AH96" s="1507"/>
      <c r="AI96" s="1507"/>
      <c r="AJ96" s="1507"/>
      <c r="AK96" s="1507"/>
      <c r="AL96" s="1507"/>
      <c r="AM96" s="1507"/>
      <c r="AN96" s="1507"/>
      <c r="AO96" s="1507"/>
      <c r="AP96" s="1507"/>
      <c r="AQ96" s="1507"/>
      <c r="AR96" s="1507"/>
      <c r="AS96" s="1507"/>
      <c r="AT96" s="1507"/>
      <c r="AU96" s="16"/>
      <c r="AV96" s="16"/>
      <c r="AW96" s="16"/>
      <c r="AX96" s="16"/>
      <c r="AY96" s="16"/>
      <c r="AZ96" s="16"/>
    </row>
    <row r="97" spans="1:52" ht="13" customHeight="1">
      <c r="A97" s="1507"/>
      <c r="B97" s="1507"/>
      <c r="C97" s="1507"/>
      <c r="D97" s="1507"/>
      <c r="E97" s="1507"/>
      <c r="F97" s="1507"/>
      <c r="G97" s="1507"/>
      <c r="H97" s="1507"/>
      <c r="I97" s="1507"/>
      <c r="J97" s="1507"/>
      <c r="K97" s="1507"/>
      <c r="L97" s="1507"/>
      <c r="M97" s="1507"/>
      <c r="N97" s="1507"/>
      <c r="O97" s="1507"/>
      <c r="P97" s="1507"/>
      <c r="Q97" s="1507"/>
      <c r="R97" s="1507"/>
      <c r="S97" s="1507"/>
      <c r="T97" s="1507"/>
      <c r="U97" s="1507"/>
      <c r="V97" s="1507"/>
      <c r="W97" s="1507"/>
      <c r="X97" s="1507"/>
      <c r="Y97" s="1507"/>
      <c r="Z97" s="1507"/>
      <c r="AA97" s="1507"/>
      <c r="AB97" s="1507"/>
      <c r="AC97" s="1507"/>
      <c r="AD97" s="1507"/>
      <c r="AE97" s="1507"/>
      <c r="AF97" s="1507"/>
      <c r="AG97" s="1507"/>
      <c r="AH97" s="1507"/>
      <c r="AI97" s="1507"/>
      <c r="AJ97" s="1507"/>
      <c r="AK97" s="1507"/>
      <c r="AL97" s="1507"/>
      <c r="AM97" s="1507"/>
      <c r="AN97" s="1507"/>
      <c r="AO97" s="1507"/>
      <c r="AP97" s="1507"/>
      <c r="AQ97" s="1507"/>
      <c r="AR97" s="1507"/>
      <c r="AS97" s="1507"/>
      <c r="AT97" s="1507"/>
      <c r="AU97" s="16"/>
      <c r="AV97" s="16"/>
      <c r="AW97" s="16"/>
      <c r="AX97" s="16"/>
      <c r="AY97" s="16"/>
      <c r="AZ97" s="16"/>
    </row>
    <row r="98" spans="1:52" ht="13" customHeight="1">
      <c r="A98" s="1507"/>
      <c r="B98" s="1507"/>
      <c r="C98" s="1507"/>
      <c r="D98" s="1507"/>
      <c r="E98" s="1507"/>
      <c r="F98" s="1507"/>
      <c r="G98" s="1507"/>
      <c r="H98" s="1507"/>
      <c r="I98" s="1507"/>
      <c r="J98" s="1507"/>
      <c r="K98" s="1507"/>
      <c r="L98" s="1507"/>
      <c r="M98" s="1507"/>
      <c r="N98" s="1507"/>
      <c r="O98" s="1507"/>
      <c r="P98" s="1507"/>
      <c r="Q98" s="1507"/>
      <c r="R98" s="1507"/>
      <c r="S98" s="1507"/>
      <c r="T98" s="1507"/>
      <c r="U98" s="1507"/>
      <c r="V98" s="1507"/>
      <c r="W98" s="1507"/>
      <c r="X98" s="1507"/>
      <c r="Y98" s="1507"/>
      <c r="Z98" s="1507"/>
      <c r="AA98" s="1507"/>
      <c r="AB98" s="1507"/>
      <c r="AC98" s="1507"/>
      <c r="AD98" s="1507"/>
      <c r="AE98" s="1507"/>
      <c r="AF98" s="1507"/>
      <c r="AG98" s="1507"/>
      <c r="AH98" s="1507"/>
      <c r="AI98" s="1507"/>
      <c r="AJ98" s="1507"/>
      <c r="AK98" s="1507"/>
      <c r="AL98" s="1507"/>
      <c r="AM98" s="1507"/>
      <c r="AN98" s="1507"/>
      <c r="AO98" s="1507"/>
      <c r="AP98" s="1507"/>
      <c r="AQ98" s="1507"/>
      <c r="AR98" s="1507"/>
      <c r="AS98" s="1507"/>
      <c r="AT98" s="1507"/>
      <c r="AU98" s="16"/>
      <c r="AV98" s="16"/>
      <c r="AW98" s="16"/>
      <c r="AX98" s="16"/>
      <c r="AY98" s="16"/>
      <c r="AZ98" s="16"/>
    </row>
    <row r="99" spans="1:52" ht="13" customHeight="1">
      <c r="C99" s="1115"/>
      <c r="D99" s="1115"/>
      <c r="E99" s="1115"/>
      <c r="F99" s="1115"/>
      <c r="G99" s="1115"/>
      <c r="H99" s="1115"/>
      <c r="I99" s="1115"/>
      <c r="J99" s="1115"/>
      <c r="K99" s="1115"/>
      <c r="L99" s="1115"/>
      <c r="M99" s="1115"/>
      <c r="N99" s="1115"/>
      <c r="O99" s="1115"/>
      <c r="P99" s="1115"/>
      <c r="Q99" s="1115"/>
      <c r="R99" s="1115"/>
      <c r="S99" s="1115"/>
      <c r="T99" s="1115"/>
      <c r="U99" s="1115"/>
      <c r="V99" s="1115"/>
      <c r="W99" s="1115"/>
      <c r="X99" s="1115"/>
      <c r="Y99" s="1115"/>
      <c r="Z99" s="1115"/>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 customHeight="1">
      <c r="A100" s="1255" t="s">
        <v>855</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6"/>
      <c r="AV100" s="16"/>
      <c r="AW100" s="16"/>
      <c r="AX100" s="16"/>
      <c r="AY100" s="16"/>
      <c r="AZ100" s="16"/>
    </row>
    <row r="101" spans="1:52" ht="13"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6"/>
      <c r="AV101" s="16"/>
      <c r="AW101" s="16"/>
      <c r="AX101" s="16"/>
      <c r="AY101" s="16"/>
      <c r="AZ101" s="16"/>
    </row>
    <row r="102" spans="1:52" ht="13"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6"/>
      <c r="AV102" s="16"/>
      <c r="AW102" s="16"/>
      <c r="AX102" s="16"/>
      <c r="AY102" s="16"/>
      <c r="AZ102" s="16"/>
    </row>
    <row r="103" spans="1:52" ht="13"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6"/>
      <c r="AV103" s="16"/>
      <c r="AW103" s="16"/>
      <c r="AX103" s="16"/>
      <c r="AY103" s="16"/>
    </row>
    <row r="104" spans="1:52" ht="13" customHeight="1">
      <c r="C104" s="1115"/>
      <c r="D104" s="1115"/>
      <c r="E104" s="1115"/>
      <c r="F104" s="1115"/>
      <c r="G104" s="1115"/>
      <c r="H104" s="1115"/>
      <c r="I104" s="1115"/>
      <c r="J104" s="1115"/>
      <c r="K104" s="1115"/>
      <c r="L104" s="1115"/>
      <c r="M104" s="1115"/>
      <c r="N104" s="1115"/>
      <c r="O104" s="1115"/>
      <c r="P104" s="1115"/>
      <c r="Q104" s="1115"/>
      <c r="R104" s="1115"/>
      <c r="S104" s="1115"/>
      <c r="T104" s="1115"/>
      <c r="U104" s="1115"/>
      <c r="V104" s="1115"/>
      <c r="W104" s="1115"/>
      <c r="X104" s="1115"/>
      <c r="Y104" s="1115"/>
      <c r="Z104" s="1115"/>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 customHeight="1">
      <c r="A105" s="1255" t="s">
        <v>856</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6"/>
      <c r="AV105" s="16"/>
      <c r="AW105" s="16"/>
      <c r="AX105" s="16"/>
      <c r="AY105" s="16"/>
    </row>
    <row r="106" spans="1:52" ht="13"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6"/>
      <c r="AV106" s="16"/>
      <c r="AW106" s="16"/>
      <c r="AX106" s="16"/>
      <c r="AY106" s="16"/>
    </row>
    <row r="107" spans="1:52" ht="13" customHeight="1">
      <c r="A107" s="388"/>
      <c r="C107" s="1115"/>
      <c r="D107" s="1115"/>
      <c r="E107" s="1115"/>
      <c r="F107" s="1115"/>
      <c r="G107" s="1115"/>
      <c r="H107" s="1115"/>
      <c r="I107" s="1115"/>
      <c r="J107" s="1115"/>
      <c r="K107" s="1115"/>
      <c r="L107" s="1115"/>
      <c r="M107" s="1115"/>
      <c r="N107" s="1115"/>
      <c r="O107" s="1115"/>
      <c r="P107" s="1115"/>
      <c r="Q107" s="1115"/>
      <c r="R107" s="1115"/>
      <c r="S107" s="1115"/>
      <c r="T107" s="1115"/>
      <c r="U107" s="1115"/>
      <c r="V107" s="1115"/>
      <c r="W107" s="1115"/>
      <c r="X107" s="1115"/>
      <c r="Y107" s="1115"/>
      <c r="Z107" s="1115"/>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 customHeight="1">
      <c r="A108" s="388" t="s">
        <v>857</v>
      </c>
      <c r="C108" s="1115"/>
      <c r="D108" s="1115"/>
      <c r="E108" s="1115"/>
      <c r="F108" s="1115"/>
      <c r="G108" s="1115"/>
      <c r="H108" s="1115"/>
      <c r="I108" s="1115"/>
      <c r="J108" s="1115"/>
      <c r="K108" s="1115"/>
      <c r="L108" s="1115"/>
      <c r="M108" s="1115"/>
      <c r="N108" s="1115"/>
      <c r="O108" s="1115"/>
      <c r="P108" s="1115"/>
      <c r="Q108" s="1115"/>
      <c r="R108" s="1115"/>
      <c r="S108" s="1115"/>
      <c r="T108" s="1115"/>
      <c r="U108" s="1115"/>
      <c r="V108" s="1115"/>
      <c r="W108" s="1115"/>
      <c r="X108" s="1115"/>
      <c r="Y108" s="1115"/>
      <c r="Z108" s="1115"/>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 customHeight="1">
      <c r="C109" s="1115"/>
      <c r="D109" s="1115"/>
      <c r="E109" s="1115"/>
      <c r="F109" s="1115"/>
      <c r="G109" s="1115"/>
      <c r="H109" s="1115"/>
      <c r="I109" s="1115"/>
      <c r="J109" s="1115"/>
      <c r="K109" s="1115"/>
      <c r="L109" s="1115"/>
      <c r="M109" s="1115"/>
      <c r="N109" s="1115"/>
      <c r="O109" s="1115"/>
      <c r="P109" s="1115"/>
      <c r="Q109" s="1115"/>
      <c r="R109" s="1115"/>
      <c r="S109" s="1115"/>
      <c r="T109" s="1115"/>
      <c r="U109" s="1115"/>
      <c r="V109" s="1115"/>
      <c r="W109" s="1115"/>
      <c r="X109" s="1115"/>
      <c r="Y109" s="1115"/>
      <c r="Z109" s="1115"/>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 customHeight="1">
      <c r="A110" s="388"/>
      <c r="C110" s="1115"/>
      <c r="D110" s="1115"/>
      <c r="E110" s="1115"/>
      <c r="F110" s="1115"/>
      <c r="G110" s="1115"/>
      <c r="H110" s="1115"/>
      <c r="I110" s="1115"/>
      <c r="J110" s="1115"/>
      <c r="K110" s="1115"/>
      <c r="L110" s="1115"/>
      <c r="M110" s="1115"/>
      <c r="N110" s="1115"/>
      <c r="O110" s="1115"/>
      <c r="P110" s="1115"/>
      <c r="Q110" s="1115"/>
      <c r="R110" s="1115"/>
      <c r="S110" s="1115"/>
      <c r="T110" s="1115"/>
      <c r="U110" s="1115"/>
      <c r="V110" s="1115"/>
      <c r="W110" s="1115"/>
      <c r="X110" s="1115"/>
      <c r="Y110" s="1115"/>
      <c r="Z110" s="1115"/>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 customHeight="1">
      <c r="A111" s="388"/>
      <c r="C111" s="1115"/>
      <c r="D111" s="1115"/>
      <c r="E111" s="1115"/>
      <c r="F111" s="1115"/>
      <c r="G111" s="1115"/>
      <c r="H111" s="1115"/>
      <c r="I111" s="1115"/>
      <c r="J111" s="1115"/>
      <c r="K111" s="1115"/>
      <c r="L111" s="1115"/>
      <c r="M111" s="1115"/>
      <c r="N111" s="1115"/>
      <c r="O111" s="1115"/>
      <c r="P111" s="1115"/>
      <c r="Q111" s="1115"/>
      <c r="R111" s="1115"/>
      <c r="S111" s="1115"/>
      <c r="T111" s="1115"/>
      <c r="U111" s="1115"/>
      <c r="V111" s="1115"/>
      <c r="W111" s="1115"/>
      <c r="X111" s="1115"/>
      <c r="Y111" s="1115"/>
      <c r="Z111" s="1115"/>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 customHeight="1">
      <c r="A112" s="388"/>
      <c r="C112" s="1115"/>
      <c r="D112" s="1115"/>
      <c r="E112" s="1115"/>
      <c r="F112" s="1115"/>
      <c r="G112" s="1115"/>
      <c r="H112" s="1115"/>
      <c r="I112" s="1115"/>
      <c r="J112" s="1115"/>
      <c r="K112" s="1115"/>
      <c r="L112" s="1115"/>
      <c r="M112" s="1115"/>
      <c r="N112" s="1115"/>
      <c r="O112" s="1115"/>
      <c r="P112" s="1115"/>
      <c r="Q112" s="1115"/>
      <c r="R112" s="1115"/>
      <c r="S112" s="1115"/>
      <c r="T112" s="1115"/>
      <c r="U112" s="1115"/>
      <c r="V112" s="1115"/>
      <c r="W112" s="1115"/>
      <c r="X112" s="1115"/>
      <c r="Y112" s="1115"/>
      <c r="Z112" s="1115"/>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 customHeight="1">
      <c r="A113" s="186"/>
      <c r="C113" s="2" t="s">
        <v>858</v>
      </c>
      <c r="G113" s="1509"/>
      <c r="H113" s="1509"/>
      <c r="I113" s="2" t="s">
        <v>859</v>
      </c>
      <c r="L113" s="1509"/>
      <c r="M113" s="1509"/>
      <c r="N113" s="1509"/>
      <c r="O113" s="1509"/>
      <c r="P113" s="1529" t="s">
        <v>860</v>
      </c>
      <c r="Q113" s="1529"/>
      <c r="R113" s="1529"/>
      <c r="S113" s="1529"/>
      <c r="T113" s="1115"/>
      <c r="U113" s="1115"/>
      <c r="V113" s="1115"/>
      <c r="W113" s="1115"/>
      <c r="X113" s="1115"/>
      <c r="Y113" s="1115"/>
      <c r="Z113" s="1115"/>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 customHeight="1">
      <c r="M114" s="2"/>
      <c r="S114" s="2"/>
      <c r="T114" s="1115"/>
      <c r="U114" s="1115"/>
      <c r="V114" s="1115"/>
      <c r="W114" s="1115"/>
      <c r="X114" s="1115"/>
      <c r="Y114" s="1115"/>
      <c r="Z114" s="1115"/>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 customHeight="1">
      <c r="A115" s="1115"/>
      <c r="C115" s="1510"/>
      <c r="D115" s="1510"/>
      <c r="E115" s="1510"/>
      <c r="F115" s="1510"/>
      <c r="G115" s="1510"/>
      <c r="H115" s="1510"/>
      <c r="I115" s="1510"/>
      <c r="J115" s="1510"/>
      <c r="K115" s="1510"/>
      <c r="L115" s="116" t="s">
        <v>861</v>
      </c>
      <c r="S115" s="2"/>
      <c r="T115" s="1115"/>
      <c r="U115" s="1115"/>
      <c r="V115" s="1115"/>
      <c r="W115" s="1115"/>
      <c r="X115" s="1115"/>
      <c r="Y115" s="1115"/>
      <c r="Z115" s="1115"/>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 customHeight="1">
      <c r="A116" s="1115"/>
      <c r="C116" s="1115"/>
      <c r="D116" s="1115"/>
      <c r="E116" s="1115"/>
      <c r="F116" s="1115"/>
      <c r="G116" s="1115"/>
      <c r="H116" s="1115"/>
      <c r="I116" s="1115"/>
      <c r="J116" s="1115"/>
      <c r="K116" s="1115"/>
      <c r="L116" s="1115"/>
      <c r="M116" s="1115"/>
      <c r="N116" s="1115"/>
      <c r="O116" s="1115"/>
      <c r="P116" s="1115"/>
      <c r="Q116" s="1115"/>
      <c r="R116" s="1115"/>
      <c r="S116" s="1115"/>
      <c r="T116" s="1115"/>
      <c r="U116" s="1115"/>
      <c r="V116" s="1115"/>
      <c r="W116" s="1115"/>
      <c r="X116" s="1115"/>
      <c r="Y116" s="1115"/>
      <c r="Z116" s="1115"/>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 customHeight="1">
      <c r="A117" s="1115"/>
      <c r="B117" s="18"/>
      <c r="C117" s="18"/>
      <c r="X117" s="2" t="s">
        <v>862</v>
      </c>
      <c r="Y117" s="1509"/>
      <c r="Z117" s="1509"/>
      <c r="AA117" s="1509"/>
      <c r="AB117" s="1509"/>
      <c r="AC117" s="1509"/>
      <c r="AD117" s="1509"/>
      <c r="AE117" s="1509"/>
      <c r="AF117" s="1509"/>
      <c r="AG117" s="1509"/>
      <c r="AH117" s="1509"/>
      <c r="AI117" s="1509"/>
      <c r="AJ117" s="1509"/>
      <c r="AK117" s="1509"/>
    </row>
    <row r="118" spans="1:51" ht="13" customHeight="1">
      <c r="X118" s="2"/>
      <c r="Y118" s="2"/>
      <c r="Z118" s="2" t="s">
        <v>863</v>
      </c>
      <c r="AA118" s="2"/>
      <c r="AB118" s="2"/>
      <c r="AC118" s="2"/>
      <c r="AD118" s="2"/>
      <c r="AE118" s="2"/>
      <c r="AF118" s="2"/>
      <c r="AG118" s="2"/>
      <c r="AH118" s="2"/>
      <c r="AI118" s="2"/>
      <c r="AJ118" s="2"/>
      <c r="AK118" s="2"/>
    </row>
    <row r="119" spans="1:51" ht="13" customHeight="1">
      <c r="A119" s="1115"/>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 customHeight="1">
      <c r="A120" s="1115"/>
      <c r="B120" s="2"/>
      <c r="P120" s="2"/>
      <c r="Q120" s="2"/>
      <c r="R120" s="2"/>
      <c r="S120" s="2"/>
      <c r="T120" s="2"/>
      <c r="U120" s="2"/>
      <c r="V120" s="2"/>
      <c r="W120" s="2"/>
      <c r="X120" s="2"/>
      <c r="Y120" s="1509" t="s">
        <v>864</v>
      </c>
      <c r="Z120" s="1509"/>
      <c r="AA120" s="1509"/>
      <c r="AB120" s="1509"/>
      <c r="AC120" s="1509"/>
      <c r="AD120" s="1509"/>
      <c r="AE120" s="1509"/>
      <c r="AF120" s="1509"/>
      <c r="AG120" s="1509"/>
      <c r="AH120" s="1509"/>
      <c r="AI120" s="1509"/>
      <c r="AJ120" s="1509"/>
      <c r="AK120" s="1509"/>
      <c r="AL120" s="2"/>
      <c r="AM120" s="2"/>
      <c r="AN120" s="2"/>
      <c r="AO120" s="2"/>
      <c r="AP120" s="2"/>
      <c r="AQ120" s="2"/>
      <c r="AR120" s="2"/>
      <c r="AS120" s="2"/>
      <c r="AT120" s="2"/>
      <c r="AU120" s="2"/>
      <c r="AV120" s="2"/>
      <c r="AW120" s="2"/>
      <c r="AX120" s="2"/>
      <c r="AY120" s="2"/>
    </row>
    <row r="121" spans="1:51" ht="13" customHeight="1">
      <c r="A121" s="2"/>
      <c r="B121" s="2"/>
      <c r="P121" s="2"/>
      <c r="Q121" s="2"/>
      <c r="R121" s="2"/>
      <c r="S121" s="2"/>
      <c r="T121" s="2"/>
      <c r="U121" s="2"/>
      <c r="V121" s="2"/>
      <c r="W121" s="2"/>
      <c r="X121" s="2"/>
      <c r="Y121" s="2"/>
      <c r="Z121" s="2" t="s">
        <v>865</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 customHeight="1">
      <c r="A122" s="2"/>
      <c r="B122" s="2"/>
      <c r="T122" s="2"/>
      <c r="U122" s="2"/>
      <c r="V122" s="2"/>
      <c r="W122" s="2"/>
      <c r="AL122" s="2"/>
      <c r="AM122" s="2"/>
      <c r="AN122" s="2"/>
      <c r="AO122" s="2"/>
      <c r="AP122" s="2"/>
      <c r="AQ122" s="2"/>
      <c r="AR122" s="2"/>
      <c r="AS122" s="2"/>
      <c r="AT122" s="2"/>
      <c r="AU122" s="2"/>
      <c r="AV122" s="2"/>
      <c r="AW122" s="2"/>
      <c r="AX122" s="2"/>
      <c r="AY122" s="2"/>
    </row>
    <row r="123" spans="1:51" ht="13" customHeight="1">
      <c r="A123" s="2"/>
      <c r="B123" s="2"/>
      <c r="T123" s="2"/>
      <c r="U123" s="2"/>
      <c r="V123" s="2"/>
      <c r="W123" s="2"/>
      <c r="X123" s="2"/>
      <c r="Y123" s="1509" t="s">
        <v>866</v>
      </c>
      <c r="Z123" s="1509"/>
      <c r="AA123" s="1509"/>
      <c r="AB123" s="1509"/>
      <c r="AC123" s="1509"/>
      <c r="AD123" s="1509"/>
      <c r="AE123" s="1509"/>
      <c r="AF123" s="1509"/>
      <c r="AG123" s="1509"/>
      <c r="AH123" s="1509"/>
      <c r="AI123" s="1509"/>
      <c r="AJ123" s="1509"/>
      <c r="AK123" s="1509"/>
      <c r="AL123" s="2"/>
      <c r="AM123" s="2"/>
      <c r="AN123" s="2"/>
      <c r="AO123" s="2"/>
      <c r="AP123" s="2"/>
      <c r="AQ123" s="2"/>
      <c r="AR123" s="2"/>
      <c r="AS123" s="2"/>
      <c r="AT123" s="2"/>
      <c r="AU123" s="2"/>
      <c r="AV123" s="2"/>
      <c r="AW123" s="2"/>
      <c r="AX123" s="2"/>
      <c r="AY123" s="2"/>
    </row>
    <row r="124" spans="1:51" ht="13" customHeight="1">
      <c r="A124" s="2"/>
      <c r="B124" s="2"/>
      <c r="T124" s="2"/>
      <c r="U124" s="2"/>
      <c r="V124" s="2"/>
      <c r="W124" s="2"/>
      <c r="X124" s="2"/>
      <c r="Y124" s="2"/>
      <c r="Z124" s="2" t="s">
        <v>867</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 customHeight="1"/>
    <row r="127" spans="1:51" ht="13"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 hidden="1" customHeight="1">
      <c r="A128" s="1141"/>
      <c r="AL128" s="1141"/>
      <c r="AM128" s="1141"/>
      <c r="AN128" s="1141"/>
      <c r="AO128" s="1141"/>
      <c r="AP128" s="1141"/>
      <c r="AQ128" s="1141"/>
      <c r="AR128" s="1141"/>
      <c r="AS128" s="1141"/>
      <c r="AT128" s="1141"/>
      <c r="AU128" s="1141"/>
      <c r="AV128" s="1141"/>
      <c r="AW128" s="1141"/>
      <c r="AX128" s="1141"/>
      <c r="AY128" s="1141"/>
    </row>
    <row r="129" spans="1:51" ht="13" hidden="1" customHeight="1">
      <c r="A129" s="1141"/>
      <c r="B129" s="2"/>
      <c r="R129" s="1141"/>
      <c r="S129" s="1141"/>
      <c r="T129" s="1141"/>
      <c r="U129" s="1141"/>
      <c r="V129" s="1141"/>
      <c r="W129" s="1141"/>
      <c r="AL129" s="1141"/>
      <c r="AM129" s="1141"/>
      <c r="AN129" s="1141"/>
      <c r="AO129" s="1141"/>
      <c r="AP129" s="1141"/>
      <c r="AQ129" s="1141"/>
      <c r="AR129" s="1141"/>
      <c r="AS129" s="1141"/>
      <c r="AT129" s="1141"/>
      <c r="AU129" s="1141"/>
      <c r="AV129" s="1141"/>
      <c r="AW129" s="1141"/>
      <c r="AX129" s="1141"/>
      <c r="AY129" s="1141"/>
    </row>
    <row r="130" spans="1:51" ht="13" hidden="1" customHeight="1">
      <c r="A130" s="2"/>
      <c r="B130" s="68"/>
      <c r="C130" s="1141"/>
      <c r="R130" s="1141"/>
      <c r="S130" s="1141"/>
      <c r="T130" s="1141"/>
      <c r="U130" s="1141"/>
      <c r="V130" s="1141"/>
      <c r="W130" s="1141"/>
      <c r="AL130" s="2"/>
      <c r="AM130" s="2"/>
      <c r="AN130" s="2"/>
      <c r="AO130" s="2"/>
      <c r="AP130" s="2"/>
      <c r="AQ130" s="2"/>
      <c r="AR130" s="2"/>
      <c r="AS130" s="2"/>
      <c r="AT130" s="2"/>
      <c r="AU130" s="2"/>
      <c r="AV130" s="2"/>
      <c r="AW130" s="2"/>
      <c r="AX130" s="2"/>
      <c r="AY130" s="2"/>
    </row>
    <row r="131" spans="1:51" ht="13" hidden="1" customHeight="1">
      <c r="A131" s="2"/>
      <c r="AL131" s="2"/>
      <c r="AM131" s="2"/>
      <c r="AN131" s="2"/>
      <c r="AO131" s="2"/>
      <c r="AP131" s="2"/>
      <c r="AQ131" s="2"/>
      <c r="AR131" s="2"/>
      <c r="AS131" s="2"/>
      <c r="AT131" s="2"/>
      <c r="AU131" s="2"/>
      <c r="AV131" s="2"/>
      <c r="AW131" s="2"/>
      <c r="AX131" s="2"/>
      <c r="AY131" s="2"/>
    </row>
    <row r="132" spans="1:51" ht="13" hidden="1" customHeight="1">
      <c r="A132" s="2"/>
      <c r="B132" s="2"/>
      <c r="C132" s="2"/>
      <c r="D132" s="2"/>
      <c r="F132" s="116"/>
      <c r="G132" s="116"/>
      <c r="H132" s="116"/>
      <c r="I132" s="116"/>
      <c r="J132" s="116"/>
      <c r="K132" s="116"/>
      <c r="L132" s="116"/>
      <c r="M132" s="116"/>
      <c r="N132" s="2"/>
      <c r="P132" s="2"/>
      <c r="Q132" s="2"/>
      <c r="U132" s="2"/>
      <c r="V132" s="2"/>
      <c r="W132" s="2"/>
      <c r="AL132" s="2"/>
      <c r="AM132" s="2"/>
      <c r="AN132" s="2"/>
      <c r="AO132" s="2"/>
      <c r="AP132" s="2"/>
      <c r="AQ132" s="2"/>
      <c r="AR132" s="2"/>
      <c r="AS132" s="2"/>
      <c r="AT132" s="2"/>
      <c r="AU132" s="2"/>
      <c r="AV132" s="2"/>
      <c r="AW132" s="2"/>
      <c r="AX132" s="2"/>
      <c r="AY132" s="2"/>
    </row>
    <row r="133" spans="1:51" ht="13" hidden="1" customHeight="1">
      <c r="A133" s="2"/>
      <c r="W133" s="2"/>
      <c r="AL133" s="2"/>
      <c r="AM133" s="2"/>
      <c r="AN133" s="2"/>
      <c r="AO133" s="2"/>
      <c r="AP133" s="2"/>
      <c r="AQ133" s="2"/>
      <c r="AR133" s="2"/>
      <c r="AS133" s="2"/>
      <c r="AT133" s="2"/>
      <c r="AU133" s="2"/>
      <c r="AV133" s="2"/>
      <c r="AW133" s="2"/>
      <c r="AX133" s="2"/>
      <c r="AY133" s="2"/>
    </row>
    <row r="134" spans="1:51" ht="13"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 hidden="1" customHeight="1">
      <c r="A135" s="2"/>
      <c r="M135" s="2"/>
      <c r="N135" s="2"/>
      <c r="O135" s="2"/>
      <c r="AK135" s="2"/>
      <c r="AL135" s="2"/>
      <c r="AM135" s="2"/>
      <c r="AN135" s="2"/>
      <c r="AO135" s="2"/>
      <c r="AP135" s="2"/>
      <c r="AQ135" s="2"/>
      <c r="AR135" s="2"/>
      <c r="AS135" s="2"/>
      <c r="AT135" s="2"/>
      <c r="AU135" s="2"/>
      <c r="AV135" s="2"/>
      <c r="AW135" s="2"/>
      <c r="AX135" s="2"/>
      <c r="AY135" s="2"/>
    </row>
    <row r="136" spans="1:51" ht="13"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 hidden="1" customHeight="1">
      <c r="A139" s="2"/>
      <c r="B139" s="2"/>
      <c r="C139" s="2"/>
      <c r="D139" s="2"/>
      <c r="E139" s="2"/>
      <c r="F139" s="2"/>
      <c r="G139" s="2"/>
      <c r="H139" s="2"/>
      <c r="I139" s="2"/>
      <c r="J139" s="2"/>
      <c r="K139" s="2"/>
      <c r="L139" s="2"/>
      <c r="M139" s="2"/>
      <c r="N139" s="2"/>
      <c r="O139" s="2"/>
      <c r="P139" s="2"/>
      <c r="Q139" s="2"/>
      <c r="R139" s="2"/>
      <c r="S139" s="68"/>
      <c r="T139" s="1128"/>
      <c r="U139" s="1128"/>
      <c r="V139" s="1128"/>
      <c r="W139" s="1128"/>
      <c r="X139" s="1128"/>
      <c r="Y139" s="1128"/>
      <c r="Z139" s="1128"/>
      <c r="AA139" s="1128"/>
      <c r="AB139" s="1128"/>
      <c r="AC139" s="1128"/>
      <c r="AD139" s="1128"/>
      <c r="AE139" s="1128"/>
      <c r="AF139" s="1128"/>
      <c r="AG139" s="1128"/>
      <c r="AH139" s="1128"/>
      <c r="AI139" s="1128"/>
      <c r="AJ139" s="1128"/>
      <c r="AK139" s="2"/>
      <c r="AL139" s="2"/>
      <c r="AM139" s="2"/>
      <c r="AN139" s="2"/>
      <c r="AO139" s="2"/>
      <c r="AP139" s="2"/>
      <c r="AQ139" s="2"/>
      <c r="AR139" s="2"/>
      <c r="AS139" s="2"/>
      <c r="AT139" s="2"/>
      <c r="AU139" s="2"/>
      <c r="AV139" s="2"/>
      <c r="AW139" s="2"/>
      <c r="AX139" s="2"/>
      <c r="AY139" s="2"/>
    </row>
    <row r="140" spans="1:51" ht="13" hidden="1" customHeight="1">
      <c r="A140" s="2"/>
      <c r="B140" s="69"/>
      <c r="C140" s="1128"/>
      <c r="D140" s="1128"/>
      <c r="E140" s="1128"/>
      <c r="F140" s="1128"/>
      <c r="G140" s="1128"/>
      <c r="H140" s="1128"/>
      <c r="I140" s="1128"/>
      <c r="J140" s="1128"/>
      <c r="K140" s="1128"/>
      <c r="L140" s="1128"/>
      <c r="M140" s="1128"/>
      <c r="N140" s="1128"/>
      <c r="O140" s="1128"/>
      <c r="P140" s="1128"/>
      <c r="Q140" s="1128"/>
      <c r="R140" s="1128"/>
      <c r="S140" s="1128"/>
      <c r="T140" s="1128"/>
      <c r="U140" s="1128"/>
      <c r="V140" s="1128"/>
      <c r="W140" s="1128"/>
      <c r="X140" s="1128"/>
      <c r="Y140" s="1128"/>
      <c r="Z140" s="1128"/>
      <c r="AA140" s="1128"/>
      <c r="AB140" s="1128"/>
      <c r="AC140" s="1128"/>
      <c r="AD140" s="1128"/>
      <c r="AE140" s="1128"/>
      <c r="AF140" s="1128"/>
      <c r="AG140" s="1128"/>
      <c r="AH140" s="1128"/>
      <c r="AI140" s="1128"/>
      <c r="AJ140" s="1128"/>
      <c r="AK140" s="2"/>
      <c r="AL140" s="2"/>
      <c r="AM140" s="2"/>
      <c r="AN140" s="2"/>
      <c r="AO140" s="2"/>
      <c r="AP140" s="2"/>
      <c r="AQ140" s="2"/>
      <c r="AR140" s="2"/>
      <c r="AS140" s="2"/>
      <c r="AT140" s="2"/>
      <c r="AU140" s="2"/>
      <c r="AV140" s="2"/>
      <c r="AW140" s="2"/>
      <c r="AX140" s="2"/>
      <c r="AY140" s="2"/>
    </row>
    <row r="141" spans="1:51" ht="13" hidden="1" customHeight="1">
      <c r="A141" s="2"/>
      <c r="B141" s="69"/>
      <c r="C141" s="1128"/>
      <c r="D141" s="1128"/>
      <c r="E141" s="1128"/>
      <c r="F141" s="1128"/>
      <c r="G141" s="1128"/>
      <c r="H141" s="1128"/>
      <c r="I141" s="1128"/>
      <c r="J141" s="1128"/>
      <c r="K141" s="1128"/>
      <c r="L141" s="1128"/>
      <c r="M141" s="1128"/>
      <c r="N141" s="1128"/>
      <c r="O141" s="1128"/>
      <c r="P141" s="1128"/>
      <c r="Q141" s="1128"/>
      <c r="R141" s="1128"/>
      <c r="S141" s="1128"/>
      <c r="T141" s="1128"/>
      <c r="U141" s="1128"/>
      <c r="V141" s="1128"/>
      <c r="W141" s="1128"/>
      <c r="X141" s="1128"/>
      <c r="Y141" s="1128"/>
      <c r="Z141" s="1128"/>
      <c r="AA141" s="1128"/>
      <c r="AB141" s="1128"/>
      <c r="AC141" s="1128"/>
      <c r="AD141" s="1128"/>
      <c r="AE141" s="1128"/>
      <c r="AF141" s="1128"/>
      <c r="AG141" s="1128"/>
      <c r="AH141" s="1128"/>
      <c r="AI141" s="1128"/>
      <c r="AJ141" s="1128"/>
      <c r="AK141" s="2"/>
      <c r="AL141" s="2"/>
      <c r="AM141" s="2"/>
      <c r="AN141" s="2"/>
      <c r="AO141" s="2"/>
      <c r="AP141" s="2"/>
      <c r="AQ141" s="2"/>
      <c r="AR141" s="2"/>
      <c r="AS141" s="2"/>
      <c r="AT141" s="2"/>
      <c r="AU141" s="2"/>
      <c r="AV141" s="2"/>
      <c r="AW141" s="2"/>
      <c r="AX141" s="2"/>
      <c r="AY141" s="2"/>
    </row>
    <row r="142" spans="1:51" ht="13" hidden="1" customHeight="1">
      <c r="A142" s="2"/>
      <c r="B142" s="69"/>
      <c r="C142" s="1100"/>
      <c r="D142" s="1100"/>
      <c r="E142" s="1100"/>
      <c r="F142" s="1100"/>
      <c r="G142" s="1100"/>
      <c r="H142" s="1100"/>
      <c r="I142" s="1100"/>
      <c r="J142" s="1100"/>
      <c r="K142" s="1100"/>
      <c r="L142" s="1100"/>
      <c r="M142" s="1100"/>
      <c r="N142" s="1100"/>
      <c r="O142" s="1100"/>
      <c r="P142" s="1100"/>
      <c r="Q142" s="1100"/>
      <c r="R142" s="1100"/>
      <c r="S142" s="1100"/>
      <c r="T142" s="1100"/>
      <c r="U142" s="1100"/>
      <c r="V142" s="1100"/>
      <c r="W142" s="1100"/>
      <c r="X142" s="1100"/>
      <c r="Y142" s="1100"/>
      <c r="Z142" s="1100"/>
      <c r="AA142" s="1100"/>
      <c r="AB142" s="1100"/>
      <c r="AC142" s="1100"/>
      <c r="AD142" s="1100"/>
      <c r="AE142" s="1100"/>
      <c r="AF142" s="1100"/>
      <c r="AG142" s="1100"/>
      <c r="AH142" s="1100"/>
      <c r="AI142" s="1100"/>
      <c r="AJ142" s="1100"/>
      <c r="AK142" s="2"/>
      <c r="AL142" s="2"/>
      <c r="AM142" s="2"/>
      <c r="AN142" s="2"/>
      <c r="AO142" s="2"/>
      <c r="AP142" s="2"/>
      <c r="AQ142" s="2"/>
      <c r="AR142" s="2"/>
      <c r="AS142" s="2"/>
      <c r="AT142" s="2"/>
      <c r="AU142" s="2"/>
      <c r="AV142" s="2"/>
      <c r="AW142" s="2"/>
      <c r="AX142" s="2"/>
      <c r="AY142" s="2"/>
    </row>
    <row r="143" spans="1:51" ht="13" hidden="1" customHeight="1">
      <c r="A143" s="2"/>
      <c r="D143" s="1100"/>
      <c r="E143" s="1100"/>
      <c r="F143" s="1100"/>
      <c r="G143" s="1100"/>
      <c r="H143" s="1100"/>
      <c r="I143" s="1100"/>
      <c r="J143" s="1100"/>
      <c r="K143" s="1100"/>
      <c r="L143" s="1100"/>
      <c r="M143" s="1100"/>
      <c r="N143" s="1100"/>
      <c r="O143" s="1100"/>
      <c r="P143" s="1100"/>
      <c r="Q143" s="1100"/>
      <c r="R143" s="1100"/>
      <c r="S143" s="1100"/>
      <c r="T143" s="1100"/>
      <c r="U143" s="1100"/>
      <c r="V143" s="1100"/>
      <c r="W143" s="1100"/>
      <c r="X143" s="1100"/>
      <c r="Y143" s="1100"/>
      <c r="Z143" s="1100"/>
      <c r="AA143" s="1100"/>
      <c r="AB143" s="1100"/>
      <c r="AC143" s="1100"/>
      <c r="AD143" s="1100"/>
      <c r="AE143" s="1100"/>
      <c r="AF143" s="1100"/>
      <c r="AG143" s="1100"/>
      <c r="AH143" s="1100"/>
      <c r="AI143" s="1100"/>
      <c r="AJ143" s="1100"/>
      <c r="AK143" s="2"/>
      <c r="AL143" s="2"/>
      <c r="AM143" s="2"/>
      <c r="AN143" s="2"/>
      <c r="AO143" s="2"/>
      <c r="AP143" s="2"/>
      <c r="AQ143" s="2"/>
      <c r="AR143" s="2"/>
      <c r="AS143" s="2"/>
      <c r="AT143" s="2"/>
      <c r="AU143" s="2"/>
      <c r="AV143" s="2"/>
      <c r="AW143" s="2"/>
      <c r="AX143" s="2"/>
      <c r="AY143" s="2"/>
    </row>
    <row r="144" spans="1:51" ht="13" hidden="1" customHeight="1">
      <c r="A144" s="2"/>
      <c r="B144" s="1115"/>
      <c r="C144" s="1100"/>
      <c r="D144" s="1100"/>
      <c r="E144" s="1100"/>
      <c r="F144" s="1100"/>
      <c r="G144" s="1100"/>
      <c r="H144" s="1100"/>
      <c r="I144" s="1100"/>
      <c r="J144" s="1100"/>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00"/>
      <c r="AJ144" s="1100"/>
      <c r="AK144" s="2"/>
      <c r="AL144" s="2"/>
      <c r="AM144" s="2"/>
      <c r="AN144" s="2"/>
      <c r="AO144" s="2"/>
      <c r="AP144" s="2"/>
      <c r="AQ144" s="2"/>
      <c r="AR144" s="2"/>
      <c r="AS144" s="2"/>
      <c r="AT144" s="2"/>
      <c r="AU144" s="2"/>
      <c r="AV144" s="2"/>
      <c r="AW144" s="2"/>
      <c r="AX144" s="2"/>
      <c r="AY144" s="2"/>
    </row>
    <row r="145" spans="1:72" ht="13" hidden="1" customHeight="1">
      <c r="A145" s="2"/>
      <c r="B145" s="2"/>
      <c r="C145" s="1100"/>
      <c r="D145" s="1100"/>
      <c r="E145" s="1100"/>
      <c r="F145" s="1100"/>
      <c r="G145" s="1100"/>
      <c r="H145" s="1100"/>
      <c r="I145" s="1100"/>
      <c r="J145" s="1100"/>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00"/>
      <c r="AJ145" s="1100"/>
      <c r="AK145" s="2"/>
      <c r="AL145" s="2"/>
      <c r="AM145" s="2"/>
      <c r="AN145" s="2"/>
      <c r="AO145" s="2"/>
      <c r="AP145" s="2"/>
      <c r="AQ145" s="2"/>
      <c r="AR145" s="2"/>
      <c r="AS145" s="2"/>
      <c r="AT145" s="2"/>
      <c r="AU145" s="2"/>
      <c r="AV145" s="2"/>
      <c r="AW145" s="2"/>
      <c r="AX145" s="2"/>
      <c r="AY145" s="2"/>
    </row>
    <row r="146" spans="1:72" ht="13" hidden="1" customHeight="1">
      <c r="A146" s="2"/>
      <c r="D146" s="1100"/>
      <c r="E146" s="1100"/>
      <c r="F146" s="1100"/>
      <c r="G146" s="1100"/>
      <c r="H146" s="1100"/>
      <c r="I146" s="1100"/>
      <c r="J146" s="1100"/>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00"/>
      <c r="AJ146" s="1100"/>
      <c r="AK146" s="2"/>
      <c r="AL146" s="2"/>
      <c r="AM146" s="2"/>
      <c r="AN146" s="2"/>
      <c r="AO146" s="2"/>
      <c r="AP146" s="2"/>
      <c r="AQ146" s="2"/>
      <c r="AR146" s="2"/>
      <c r="AS146" s="2"/>
      <c r="AT146" s="2"/>
      <c r="AU146" s="2"/>
      <c r="AV146" s="2"/>
      <c r="AW146" s="2"/>
      <c r="AX146" s="2"/>
      <c r="AY146" s="2"/>
    </row>
    <row r="147" spans="1:72" ht="13" hidden="1" customHeight="1">
      <c r="A147" s="2"/>
      <c r="B147" s="1115"/>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 customHeight="1">
      <c r="A150" s="2"/>
      <c r="B150" s="2"/>
      <c r="D150" s="2"/>
      <c r="E150" s="2"/>
      <c r="F150" s="1258"/>
      <c r="G150" s="1258"/>
      <c r="H150" s="1258"/>
      <c r="I150" s="1258"/>
      <c r="J150" s="1258"/>
      <c r="K150" s="1258"/>
      <c r="L150" s="1258"/>
      <c r="M150" s="1258"/>
      <c r="N150" s="1258"/>
      <c r="O150" s="1258"/>
      <c r="P150" s="1258"/>
      <c r="Q150" s="1258"/>
      <c r="R150" s="1258"/>
      <c r="S150" s="1258"/>
      <c r="T150" s="1258"/>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 customHeight="1">
      <c r="A151" s="2"/>
      <c r="B151" s="2"/>
      <c r="D151" s="2"/>
      <c r="E151" s="2"/>
      <c r="F151" s="1117"/>
      <c r="G151" s="1117"/>
      <c r="H151" s="1117"/>
      <c r="I151" s="1117"/>
      <c r="J151" s="1117"/>
      <c r="K151" s="1117"/>
      <c r="L151" s="1117"/>
      <c r="M151" s="1117"/>
      <c r="N151" s="1117"/>
      <c r="O151" s="1117"/>
      <c r="P151" s="1117"/>
      <c r="Q151" s="1117"/>
      <c r="R151" s="1117"/>
      <c r="S151" s="1117"/>
      <c r="T151" s="1117"/>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 customHeight="1"/>
    <row r="153" spans="1:72" ht="13" customHeight="1">
      <c r="D153" t="s">
        <v>868</v>
      </c>
      <c r="O153" s="1432" t="s">
        <v>869</v>
      </c>
      <c r="P153" s="1432"/>
      <c r="Q153" s="1432"/>
      <c r="R153" s="1432"/>
      <c r="S153" s="1432"/>
      <c r="T153" s="1432"/>
      <c r="U153" s="1432"/>
      <c r="V153" s="1432"/>
      <c r="W153" s="1432"/>
      <c r="X153" s="1432"/>
      <c r="Y153" s="1432"/>
      <c r="Z153" s="1432"/>
      <c r="AA153" s="1432"/>
      <c r="AB153" s="1432"/>
      <c r="AC153" s="1432"/>
      <c r="AD153" s="1432"/>
      <c r="AE153" s="1432"/>
      <c r="AF153" s="1432"/>
      <c r="AG153" s="1432"/>
      <c r="AH153" s="1432"/>
    </row>
    <row r="154" spans="1:72" ht="13" customHeight="1">
      <c r="D154" s="197" t="s">
        <v>870</v>
      </c>
      <c r="O154" s="1434" t="s">
        <v>871</v>
      </c>
      <c r="P154" s="1434"/>
      <c r="Q154" s="1434"/>
      <c r="R154" s="1434"/>
      <c r="S154" s="1434"/>
      <c r="T154" s="1434"/>
      <c r="U154" s="1434"/>
      <c r="V154" s="1434"/>
      <c r="W154" s="1434"/>
      <c r="X154" s="1434"/>
      <c r="Y154" s="1434"/>
      <c r="Z154" s="1434"/>
      <c r="AA154" s="1434"/>
      <c r="AB154" s="1434"/>
      <c r="AC154" s="1434"/>
      <c r="AD154" s="1434"/>
      <c r="AE154" s="1434"/>
      <c r="AF154" s="1434"/>
      <c r="AG154" s="1434"/>
      <c r="AH154" s="1434"/>
    </row>
    <row r="155" spans="1:72" ht="13" customHeight="1">
      <c r="D155" s="7" t="s">
        <v>872</v>
      </c>
      <c r="F155" s="7"/>
      <c r="G155" s="7"/>
      <c r="H155" s="7"/>
      <c r="I155" s="7"/>
      <c r="J155" s="7"/>
      <c r="K155" s="7"/>
      <c r="L155" s="7"/>
      <c r="M155" s="7"/>
      <c r="N155" s="7"/>
      <c r="O155" s="1526" t="s">
        <v>873</v>
      </c>
      <c r="P155" s="1526"/>
      <c r="Q155" s="1526"/>
      <c r="R155" s="1526"/>
      <c r="S155" s="1526"/>
      <c r="T155" s="1526"/>
      <c r="U155" s="1526"/>
      <c r="V155" s="1526"/>
      <c r="W155" s="1526"/>
      <c r="X155" s="1526"/>
      <c r="Y155" s="1526"/>
      <c r="Z155" s="1526"/>
      <c r="AA155" s="1526"/>
      <c r="AB155" s="1526"/>
      <c r="AC155" s="1526"/>
      <c r="AD155" s="1526"/>
      <c r="AE155" s="1526"/>
      <c r="AF155" s="1526"/>
      <c r="AG155" s="1526"/>
      <c r="AH155" s="1526"/>
    </row>
    <row r="156" spans="1:72" ht="13" customHeight="1">
      <c r="D156" t="s">
        <v>874</v>
      </c>
      <c r="O156" s="1405" t="s">
        <v>875</v>
      </c>
      <c r="P156" s="1405"/>
      <c r="Q156" s="1405"/>
      <c r="R156" s="1405"/>
      <c r="S156" s="1405"/>
      <c r="T156" s="1405"/>
      <c r="U156" s="1405"/>
      <c r="V156" s="1405"/>
      <c r="W156" s="1405"/>
      <c r="X156" s="1405"/>
      <c r="Y156" s="1405"/>
      <c r="Z156" s="1405"/>
      <c r="AA156" s="1405"/>
      <c r="AB156" s="1405"/>
      <c r="AC156" s="1405"/>
      <c r="AD156" s="1405"/>
      <c r="AE156" s="1405"/>
      <c r="AF156" s="1405"/>
      <c r="AG156" s="1405"/>
      <c r="AH156" s="1405"/>
      <c r="BT156" t="s">
        <v>294</v>
      </c>
    </row>
    <row r="157" spans="1:72" ht="13" customHeight="1">
      <c r="D157" t="s">
        <v>876</v>
      </c>
      <c r="O157" s="1432" t="s">
        <v>877</v>
      </c>
      <c r="P157" s="1432"/>
      <c r="Q157" s="1432"/>
      <c r="R157" s="1432"/>
      <c r="S157" s="1432"/>
      <c r="T157" s="1432"/>
      <c r="U157" s="1432"/>
      <c r="V157" s="1432"/>
      <c r="W157" s="1432"/>
      <c r="X157" s="1432"/>
      <c r="Y157" s="7"/>
      <c r="Z157" s="7"/>
      <c r="AA157" s="7"/>
      <c r="AB157" s="7"/>
      <c r="AC157" s="7"/>
      <c r="AD157" s="7"/>
      <c r="AE157" s="7"/>
      <c r="AF157" s="7"/>
      <c r="BN157" s="115" t="s">
        <v>878</v>
      </c>
      <c r="BT157" t="s">
        <v>879</v>
      </c>
    </row>
    <row r="158" spans="1:72" ht="13" customHeight="1">
      <c r="D158" t="s">
        <v>880</v>
      </c>
      <c r="O158" s="1527">
        <v>94002</v>
      </c>
      <c r="P158" s="1527"/>
      <c r="Q158" s="1527"/>
      <c r="R158" s="1527"/>
      <c r="S158" s="8"/>
      <c r="T158" s="8"/>
      <c r="U158" s="8"/>
      <c r="V158" s="8"/>
      <c r="W158" s="8"/>
      <c r="X158" s="8"/>
      <c r="Y158" s="8"/>
      <c r="Z158" s="8"/>
      <c r="AA158" s="8"/>
      <c r="AB158" s="8"/>
      <c r="AC158" s="8"/>
      <c r="AD158" s="8"/>
      <c r="AE158" s="8"/>
      <c r="AF158" s="8"/>
      <c r="BN158" s="115" t="s">
        <v>881</v>
      </c>
      <c r="BT158" t="s">
        <v>882</v>
      </c>
    </row>
    <row r="159" spans="1:72" ht="13" customHeight="1">
      <c r="D159" t="s">
        <v>883</v>
      </c>
      <c r="O159" s="1521" t="s">
        <v>884</v>
      </c>
      <c r="P159" s="1521"/>
      <c r="Q159" s="1521"/>
      <c r="R159" s="1521"/>
      <c r="S159" s="1521"/>
      <c r="T159" s="1521"/>
      <c r="V159" s="56" t="s">
        <v>885</v>
      </c>
      <c r="W159" s="1528"/>
      <c r="X159" s="1528"/>
      <c r="Y159" s="9"/>
      <c r="Z159" s="9"/>
      <c r="AA159" s="9"/>
      <c r="AB159" s="9"/>
      <c r="AC159" s="9"/>
      <c r="AD159" s="9"/>
      <c r="AE159" s="9"/>
      <c r="AF159" s="9"/>
      <c r="BN159" s="115" t="s">
        <v>886</v>
      </c>
      <c r="BT159" t="s">
        <v>887</v>
      </c>
    </row>
    <row r="160" spans="1:72" ht="13" customHeight="1">
      <c r="D160" t="s">
        <v>888</v>
      </c>
      <c r="O160" s="1521" t="s">
        <v>889</v>
      </c>
      <c r="P160" s="1521"/>
      <c r="Q160" s="1521"/>
      <c r="R160" s="1521"/>
      <c r="S160" s="1521"/>
      <c r="T160" s="1521"/>
      <c r="U160" s="9"/>
      <c r="V160" s="9"/>
      <c r="W160" s="9"/>
      <c r="X160" s="9"/>
      <c r="Y160" s="9"/>
      <c r="Z160" s="9"/>
      <c r="AA160" s="9"/>
      <c r="AB160" s="9"/>
      <c r="AC160" s="9"/>
      <c r="AD160" s="9"/>
      <c r="AE160" s="9"/>
      <c r="AF160" s="9"/>
      <c r="BN160" s="115" t="s">
        <v>890</v>
      </c>
      <c r="BT160" t="s">
        <v>891</v>
      </c>
    </row>
    <row r="161" spans="1:72" ht="13" customHeight="1">
      <c r="D161" t="s">
        <v>892</v>
      </c>
      <c r="O161" s="1494"/>
      <c r="P161" s="1494"/>
      <c r="Q161" s="1494"/>
      <c r="R161" s="1494"/>
      <c r="S161" s="1494"/>
      <c r="T161" s="1494"/>
      <c r="U161" s="1494"/>
      <c r="V161" s="1494"/>
      <c r="W161" s="1494"/>
      <c r="X161" s="1494"/>
      <c r="Y161" s="1494"/>
      <c r="Z161" s="1494"/>
      <c r="AA161" s="1494"/>
      <c r="AB161" s="1494"/>
      <c r="AC161" s="1494"/>
      <c r="AD161" s="1494"/>
      <c r="AE161" s="1494"/>
      <c r="AF161" s="1494"/>
      <c r="AG161" s="1494"/>
      <c r="AH161" s="1494"/>
      <c r="BJ161" t="s">
        <v>893</v>
      </c>
      <c r="BN161" s="115" t="s">
        <v>894</v>
      </c>
      <c r="BT161" t="s">
        <v>895</v>
      </c>
    </row>
    <row r="162" spans="1:72" ht="13" customHeight="1">
      <c r="O162" s="94"/>
      <c r="P162" s="94"/>
      <c r="Q162" s="94"/>
      <c r="R162" s="94"/>
      <c r="S162" s="94"/>
      <c r="T162" s="94"/>
      <c r="U162" s="94"/>
      <c r="V162" s="94"/>
      <c r="W162" s="94"/>
      <c r="X162" s="94"/>
      <c r="Y162" s="94"/>
      <c r="Z162" s="94"/>
      <c r="AA162" s="94"/>
      <c r="AB162" s="94"/>
      <c r="AC162" s="94"/>
      <c r="AD162" s="94"/>
      <c r="AE162" s="94"/>
      <c r="AF162" s="94"/>
      <c r="AG162" s="94"/>
      <c r="AH162" s="94"/>
      <c r="BJ162" t="s">
        <v>837</v>
      </c>
      <c r="BN162" s="115" t="s">
        <v>896</v>
      </c>
      <c r="BT162" t="s">
        <v>897</v>
      </c>
    </row>
    <row r="163" spans="1:72" ht="13" customHeight="1">
      <c r="C163" s="22" t="s">
        <v>898</v>
      </c>
      <c r="D163" s="2" t="s">
        <v>899</v>
      </c>
      <c r="O163" s="94"/>
      <c r="P163" s="94"/>
      <c r="Q163" s="94"/>
      <c r="R163" s="94"/>
      <c r="S163" s="94"/>
      <c r="T163" s="94"/>
      <c r="U163" s="94"/>
      <c r="V163" s="94"/>
      <c r="W163" s="94"/>
      <c r="X163" s="94"/>
      <c r="Y163" s="94"/>
      <c r="Z163" s="94"/>
      <c r="AA163" s="94"/>
      <c r="AB163" s="94"/>
      <c r="AC163" s="94"/>
      <c r="AD163" s="94"/>
      <c r="AE163" s="94"/>
      <c r="AF163" s="94"/>
      <c r="AG163" s="94"/>
      <c r="AH163" s="94"/>
      <c r="BN163" s="115" t="s">
        <v>900</v>
      </c>
      <c r="BT163" t="s">
        <v>901</v>
      </c>
    </row>
    <row r="164" spans="1:72" ht="13" customHeight="1">
      <c r="C164" s="22"/>
      <c r="D164" s="1511" t="s">
        <v>902</v>
      </c>
      <c r="E164" s="1511"/>
      <c r="F164" s="1511"/>
      <c r="G164" s="1511"/>
      <c r="H164" s="1511"/>
      <c r="I164" s="1511"/>
      <c r="J164" s="1511"/>
      <c r="K164" s="1511"/>
      <c r="L164" s="1511"/>
      <c r="M164" s="1511"/>
      <c r="N164" s="1511"/>
      <c r="O164" s="1511"/>
      <c r="P164" s="1511"/>
      <c r="Q164" s="1511"/>
      <c r="R164" s="1511"/>
      <c r="S164" s="1511"/>
      <c r="T164" s="1511"/>
      <c r="U164" s="1511"/>
      <c r="V164" s="1511"/>
      <c r="W164" s="1511"/>
      <c r="X164" s="1511"/>
      <c r="Y164" s="1511"/>
      <c r="Z164" s="1511"/>
      <c r="AA164" s="1511"/>
      <c r="AB164" s="1511"/>
      <c r="AC164" s="1511"/>
      <c r="AD164" s="1511"/>
      <c r="AE164" s="1511"/>
      <c r="AF164" s="1511"/>
      <c r="AG164" s="1511"/>
      <c r="AH164" s="1511"/>
      <c r="BN164" s="115" t="s">
        <v>903</v>
      </c>
      <c r="BT164" t="s">
        <v>904</v>
      </c>
    </row>
    <row r="165" spans="1:72" ht="13" customHeight="1">
      <c r="C165" s="22"/>
      <c r="D165" s="57"/>
      <c r="E165" s="57"/>
      <c r="F165" s="57"/>
      <c r="G165" s="57"/>
      <c r="H165" s="57"/>
      <c r="I165" s="57"/>
      <c r="J165" s="57"/>
      <c r="K165" s="57"/>
      <c r="L165" s="57"/>
      <c r="M165" s="57"/>
      <c r="N165" s="57"/>
      <c r="O165" s="1032"/>
      <c r="P165" s="1032"/>
      <c r="Q165" s="1032"/>
      <c r="R165" s="1032"/>
      <c r="S165" s="1032"/>
      <c r="T165" s="1032"/>
      <c r="U165" s="1032"/>
      <c r="V165" s="1032"/>
      <c r="W165" s="1032"/>
      <c r="X165" s="1032"/>
      <c r="Y165" s="1032"/>
      <c r="Z165" s="1032"/>
      <c r="AA165" s="94"/>
      <c r="AB165" s="94"/>
      <c r="AC165" s="94"/>
      <c r="AD165" s="94"/>
      <c r="AE165" s="94"/>
      <c r="AF165" s="94"/>
      <c r="AG165" s="94"/>
      <c r="AH165" s="94"/>
      <c r="BN165" s="115" t="s">
        <v>905</v>
      </c>
      <c r="BT165" t="s">
        <v>906</v>
      </c>
    </row>
    <row r="166" spans="1:72" ht="13" customHeight="1">
      <c r="B166" s="1"/>
      <c r="C166" s="22"/>
      <c r="D166" s="57"/>
      <c r="E166" s="57"/>
      <c r="F166" s="57"/>
      <c r="G166" s="57"/>
      <c r="H166" s="57"/>
      <c r="I166" s="57"/>
      <c r="J166" s="57"/>
      <c r="K166" s="57"/>
      <c r="L166" s="57"/>
      <c r="M166" s="57"/>
      <c r="N166" s="57"/>
      <c r="O166" s="1032"/>
      <c r="P166" s="1032"/>
      <c r="Q166" s="1032"/>
      <c r="R166" s="1032"/>
      <c r="S166" s="1032"/>
      <c r="T166" s="1032"/>
      <c r="U166" s="1032"/>
      <c r="V166" s="1032"/>
      <c r="W166" s="1032"/>
      <c r="X166" s="1032"/>
      <c r="Y166" s="1032"/>
      <c r="Z166" s="1032"/>
      <c r="AA166" s="94"/>
      <c r="AB166" s="94"/>
      <c r="AC166" s="94"/>
      <c r="AD166" s="94"/>
      <c r="AE166" s="94"/>
      <c r="AF166" s="94"/>
      <c r="AG166" s="94"/>
      <c r="AH166" s="94"/>
      <c r="BN166" s="115" t="s">
        <v>907</v>
      </c>
      <c r="BT166" t="s">
        <v>908</v>
      </c>
    </row>
    <row r="167" spans="1:72" ht="13" customHeight="1">
      <c r="B167" s="1"/>
      <c r="C167" s="22"/>
      <c r="D167" s="57"/>
      <c r="E167" s="57"/>
      <c r="F167" s="57"/>
      <c r="G167" s="57"/>
      <c r="H167" s="57"/>
      <c r="I167" s="57"/>
      <c r="J167" s="57"/>
      <c r="K167" s="57"/>
      <c r="L167" s="57"/>
      <c r="M167" s="57"/>
      <c r="N167" s="57"/>
      <c r="O167" s="1032"/>
      <c r="P167" s="1032"/>
      <c r="Q167" s="1032"/>
      <c r="R167" s="1032"/>
      <c r="S167" s="1032"/>
      <c r="T167" s="1032"/>
      <c r="U167" s="1032"/>
      <c r="V167" s="1032"/>
      <c r="W167" s="1032"/>
      <c r="X167" s="1032"/>
      <c r="Y167" s="1032"/>
      <c r="Z167" s="1032"/>
      <c r="AA167" s="94"/>
      <c r="AB167" s="94"/>
      <c r="AC167" s="94"/>
      <c r="AD167" s="94"/>
      <c r="AE167" s="94"/>
      <c r="AF167" s="94"/>
      <c r="AG167" s="94"/>
      <c r="AH167" s="94"/>
      <c r="BN167" s="115" t="s">
        <v>909</v>
      </c>
      <c r="BT167" t="s">
        <v>910</v>
      </c>
    </row>
    <row r="168" spans="1:72" ht="13" customHeight="1">
      <c r="O168" s="94"/>
      <c r="P168" s="94"/>
      <c r="Q168" s="94"/>
      <c r="R168" s="94"/>
      <c r="S168" s="94"/>
      <c r="T168" s="94"/>
      <c r="U168" s="94"/>
      <c r="V168" s="94"/>
      <c r="W168" s="94"/>
      <c r="X168" s="94"/>
      <c r="Y168" s="94"/>
      <c r="Z168" s="94"/>
      <c r="AA168" s="94"/>
      <c r="AB168" s="94"/>
      <c r="AC168" s="94"/>
      <c r="AD168" s="94"/>
      <c r="AE168" s="94"/>
      <c r="AF168" s="94"/>
      <c r="AG168" s="94"/>
      <c r="AH168" s="94"/>
      <c r="BN168" s="115" t="s">
        <v>911</v>
      </c>
      <c r="BT168" t="s">
        <v>912</v>
      </c>
    </row>
    <row r="169" spans="1:72" ht="13" customHeight="1">
      <c r="A169" s="1427" t="s">
        <v>913</v>
      </c>
      <c r="B169" s="1427"/>
      <c r="C169" s="1427"/>
      <c r="D169" s="1427"/>
      <c r="E169" s="1427"/>
      <c r="F169" s="1427"/>
      <c r="G169" s="1427"/>
      <c r="H169" s="1427"/>
      <c r="I169" s="1427"/>
      <c r="J169" s="1427"/>
      <c r="K169" s="1427"/>
      <c r="L169" s="1427"/>
      <c r="M169" s="1427"/>
      <c r="N169" s="1427"/>
      <c r="O169" s="1427"/>
      <c r="P169" s="1427"/>
      <c r="Q169" s="1427"/>
      <c r="R169" s="1427"/>
      <c r="S169" s="1427"/>
      <c r="T169" s="1427"/>
      <c r="U169" s="1427"/>
      <c r="V169" s="1427"/>
      <c r="W169" s="1427"/>
      <c r="X169" s="1427"/>
      <c r="Y169" s="1427"/>
      <c r="Z169" s="1427"/>
      <c r="AA169" s="1427"/>
      <c r="AB169" s="1427"/>
      <c r="AC169" s="1427"/>
      <c r="AD169" s="1427"/>
      <c r="AE169" s="1427"/>
      <c r="AF169" s="1427"/>
      <c r="AG169" s="1427"/>
      <c r="AH169" s="1427"/>
      <c r="AI169" s="1427"/>
      <c r="AJ169" s="1427"/>
      <c r="AK169" s="1427"/>
      <c r="AL169" s="1427"/>
      <c r="AM169" s="1427"/>
      <c r="AN169" s="1427"/>
      <c r="AO169" s="1427"/>
      <c r="AP169" s="1427"/>
      <c r="AQ169" s="1427"/>
      <c r="AR169" s="1427"/>
      <c r="AS169" s="1427"/>
      <c r="AT169" s="1427"/>
      <c r="AU169" s="54"/>
      <c r="AV169" s="54"/>
      <c r="AW169" s="54"/>
      <c r="AX169" s="54"/>
      <c r="AY169" s="54"/>
      <c r="BN169" s="115" t="s">
        <v>914</v>
      </c>
      <c r="BT169" t="s">
        <v>915</v>
      </c>
    </row>
    <row r="170" spans="1:72" ht="13" customHeight="1">
      <c r="A170" s="1427"/>
      <c r="B170" s="1427"/>
      <c r="C170" s="1427"/>
      <c r="D170" s="1427"/>
      <c r="E170" s="1427"/>
      <c r="F170" s="1427"/>
      <c r="G170" s="1427"/>
      <c r="H170" s="1427"/>
      <c r="I170" s="1427"/>
      <c r="J170" s="1427"/>
      <c r="K170" s="1427"/>
      <c r="L170" s="1427"/>
      <c r="M170" s="1427"/>
      <c r="N170" s="1427"/>
      <c r="O170" s="1427"/>
      <c r="P170" s="1427"/>
      <c r="Q170" s="1427"/>
      <c r="R170" s="1427"/>
      <c r="S170" s="1427"/>
      <c r="T170" s="1427"/>
      <c r="U170" s="1427"/>
      <c r="V170" s="1427"/>
      <c r="W170" s="1427"/>
      <c r="X170" s="1427"/>
      <c r="Y170" s="1427"/>
      <c r="Z170" s="1427"/>
      <c r="AA170" s="1427"/>
      <c r="AB170" s="1427"/>
      <c r="AC170" s="1427"/>
      <c r="AD170" s="1427"/>
      <c r="AE170" s="1427"/>
      <c r="AF170" s="1427"/>
      <c r="AG170" s="1427"/>
      <c r="AH170" s="1427"/>
      <c r="AI170" s="1427"/>
      <c r="AJ170" s="1427"/>
      <c r="AK170" s="1427"/>
      <c r="AL170" s="1427"/>
      <c r="AM170" s="1427"/>
      <c r="AN170" s="1427"/>
      <c r="AO170" s="1427"/>
      <c r="AP170" s="1427"/>
      <c r="AQ170" s="1427"/>
      <c r="AR170" s="1427"/>
      <c r="AS170" s="1427"/>
      <c r="AT170" s="1427"/>
      <c r="AU170" s="54"/>
      <c r="AV170" s="54"/>
      <c r="AW170" s="54"/>
      <c r="AX170" s="54"/>
      <c r="AY170" s="54"/>
      <c r="BN170" s="115" t="s">
        <v>916</v>
      </c>
      <c r="BT170" t="s">
        <v>917</v>
      </c>
    </row>
    <row r="171" spans="1:72" ht="13" customHeight="1">
      <c r="BN171" s="115" t="s">
        <v>918</v>
      </c>
      <c r="BT171" t="s">
        <v>919</v>
      </c>
    </row>
    <row r="172" spans="1:72" ht="13" customHeight="1">
      <c r="A172" s="1" t="s">
        <v>920</v>
      </c>
      <c r="C172" s="1" t="s">
        <v>90</v>
      </c>
      <c r="BN172" s="115" t="s">
        <v>921</v>
      </c>
      <c r="BT172" t="s">
        <v>922</v>
      </c>
    </row>
    <row r="173" spans="1:72" ht="13" customHeight="1">
      <c r="C173" s="19"/>
      <c r="D173" t="s">
        <v>923</v>
      </c>
      <c r="J173" s="1525" t="s">
        <v>924</v>
      </c>
      <c r="K173" s="1525"/>
      <c r="L173" s="1525"/>
      <c r="M173" s="1525"/>
      <c r="N173" s="1525"/>
      <c r="O173" s="1525"/>
      <c r="P173" s="1525"/>
      <c r="Q173" s="1525"/>
      <c r="R173" s="1525"/>
      <c r="S173" s="1525"/>
      <c r="U173" s="20"/>
      <c r="X173" s="20"/>
      <c r="BB173" s="2" t="s">
        <v>294</v>
      </c>
      <c r="BN173" s="115" t="s">
        <v>925</v>
      </c>
      <c r="BT173" t="s">
        <v>926</v>
      </c>
    </row>
    <row r="174" spans="1:72" ht="13" customHeight="1">
      <c r="C174" s="19"/>
      <c r="D174" s="2" t="s">
        <v>927</v>
      </c>
      <c r="J174" s="1405" t="s">
        <v>928</v>
      </c>
      <c r="K174" s="1405"/>
      <c r="L174" s="1405"/>
      <c r="M174" s="1405"/>
      <c r="N174" s="1405"/>
      <c r="O174" s="1405"/>
      <c r="P174" s="1405"/>
      <c r="Q174" s="1405"/>
      <c r="R174" s="1405"/>
      <c r="S174" s="1405"/>
      <c r="T174" s="1405"/>
      <c r="U174" s="1405"/>
      <c r="V174" s="1405"/>
      <c r="W174" s="1405"/>
      <c r="X174" s="1405"/>
      <c r="Y174" s="1405"/>
      <c r="Z174" s="1405"/>
      <c r="AA174" s="1405"/>
      <c r="AB174" s="1405"/>
      <c r="BB174" t="s">
        <v>929</v>
      </c>
      <c r="BN174" s="115" t="s">
        <v>930</v>
      </c>
      <c r="BT174" t="s">
        <v>931</v>
      </c>
    </row>
    <row r="175" spans="1:72" ht="13" customHeight="1">
      <c r="C175" s="7"/>
      <c r="D175" s="2" t="s">
        <v>932</v>
      </c>
      <c r="O175" s="22"/>
      <c r="U175" s="1361" t="s">
        <v>893</v>
      </c>
      <c r="V175" s="1361"/>
      <c r="BB175" t="s">
        <v>933</v>
      </c>
      <c r="BN175" s="115" t="s">
        <v>934</v>
      </c>
      <c r="BT175" t="s">
        <v>935</v>
      </c>
    </row>
    <row r="176" spans="1:72" ht="13" customHeight="1">
      <c r="C176" s="7"/>
      <c r="D176" s="21"/>
      <c r="E176" t="s">
        <v>936</v>
      </c>
      <c r="O176" s="22"/>
      <c r="P176" t="s">
        <v>937</v>
      </c>
      <c r="T176" s="22" t="s">
        <v>938</v>
      </c>
      <c r="U176" s="1514"/>
      <c r="V176" s="1514"/>
      <c r="W176" s="1117" t="s">
        <v>939</v>
      </c>
      <c r="X176" s="1518"/>
      <c r="Y176" s="1518"/>
      <c r="BB176" t="s">
        <v>940</v>
      </c>
      <c r="BN176" s="115" t="s">
        <v>941</v>
      </c>
      <c r="BT176" t="s">
        <v>942</v>
      </c>
    </row>
    <row r="177" spans="1:72" ht="13" customHeight="1">
      <c r="C177" s="19"/>
      <c r="D177" t="s">
        <v>943</v>
      </c>
      <c r="R177" s="1361" t="s">
        <v>893</v>
      </c>
      <c r="S177" s="1361"/>
      <c r="BB177" t="s">
        <v>944</v>
      </c>
      <c r="BN177" s="115" t="s">
        <v>945</v>
      </c>
      <c r="BT177" t="s">
        <v>946</v>
      </c>
    </row>
    <row r="178" spans="1:72" ht="13" customHeight="1">
      <c r="C178" s="19"/>
      <c r="D178" s="2" t="s">
        <v>947</v>
      </c>
      <c r="AA178" t="s">
        <v>937</v>
      </c>
      <c r="AE178" s="22" t="s">
        <v>938</v>
      </c>
      <c r="AF178" s="1530"/>
      <c r="AG178" s="1530"/>
      <c r="AH178" s="1117" t="s">
        <v>939</v>
      </c>
      <c r="AI178" s="1449"/>
      <c r="AJ178" s="1449"/>
      <c r="AK178" s="1449"/>
      <c r="BB178" t="s">
        <v>948</v>
      </c>
      <c r="BN178" s="115" t="s">
        <v>949</v>
      </c>
      <c r="BT178" t="s">
        <v>950</v>
      </c>
    </row>
    <row r="179" spans="1:72" ht="13" customHeight="1">
      <c r="C179" s="19"/>
      <c r="BN179" s="115" t="s">
        <v>951</v>
      </c>
      <c r="BT179" t="s">
        <v>952</v>
      </c>
    </row>
    <row r="180" spans="1:72" ht="13" customHeight="1">
      <c r="C180" s="19"/>
      <c r="D180" t="s">
        <v>953</v>
      </c>
      <c r="X180" s="1361" t="s">
        <v>893</v>
      </c>
      <c r="Y180" s="1361"/>
      <c r="BN180" s="115" t="s">
        <v>954</v>
      </c>
      <c r="BT180" t="s">
        <v>955</v>
      </c>
    </row>
    <row r="181" spans="1:72" ht="13" customHeight="1">
      <c r="C181" s="7"/>
      <c r="E181" s="2" t="s">
        <v>956</v>
      </c>
      <c r="BN181" s="115" t="s">
        <v>957</v>
      </c>
      <c r="BT181" t="s">
        <v>958</v>
      </c>
    </row>
    <row r="182" spans="1:72" ht="13" customHeight="1">
      <c r="C182" s="399"/>
      <c r="BN182" s="115" t="s">
        <v>959</v>
      </c>
      <c r="BT182" t="s">
        <v>960</v>
      </c>
    </row>
    <row r="183" spans="1:72" ht="13" customHeight="1">
      <c r="A183" s="1" t="s">
        <v>961</v>
      </c>
      <c r="C183" s="1" t="s">
        <v>92</v>
      </c>
      <c r="BN183" s="115" t="s">
        <v>962</v>
      </c>
      <c r="BT183" t="s">
        <v>963</v>
      </c>
    </row>
    <row r="184" spans="1:72" ht="13" customHeight="1">
      <c r="C184" s="17"/>
      <c r="D184" t="s">
        <v>964</v>
      </c>
      <c r="I184" s="1460" t="str">
        <f>H18</f>
        <v>The Ridge at Ralston</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965</v>
      </c>
      <c r="BN184" s="115" t="s">
        <v>966</v>
      </c>
      <c r="BT184" t="s">
        <v>967</v>
      </c>
    </row>
    <row r="185" spans="1:72" ht="13" customHeight="1">
      <c r="C185" s="17"/>
      <c r="D185" t="s">
        <v>968</v>
      </c>
      <c r="I185" s="1353" t="s">
        <v>969</v>
      </c>
      <c r="J185" s="1353"/>
      <c r="K185" s="1353"/>
      <c r="L185" s="1353"/>
      <c r="M185" s="1353"/>
      <c r="N185" s="1353"/>
      <c r="O185" s="1353"/>
      <c r="P185" s="1353"/>
      <c r="Q185" s="1353"/>
      <c r="R185" s="1353"/>
      <c r="S185" s="1353"/>
      <c r="T185" s="1353"/>
      <c r="U185" s="1353"/>
      <c r="V185" s="1353"/>
      <c r="W185" s="1353"/>
      <c r="X185" s="1353"/>
      <c r="Y185" s="1353"/>
      <c r="Z185" s="1353"/>
      <c r="AA185" s="1353"/>
      <c r="AB185" s="1353"/>
      <c r="AC185" s="1353"/>
      <c r="AD185" s="1353"/>
      <c r="AE185" s="1353"/>
      <c r="BC185" t="s">
        <v>970</v>
      </c>
      <c r="BN185" s="115" t="s">
        <v>971</v>
      </c>
      <c r="BT185" t="s">
        <v>972</v>
      </c>
    </row>
    <row r="186" spans="1:72" ht="13" customHeight="1">
      <c r="C186" s="17"/>
      <c r="E186" t="s">
        <v>973</v>
      </c>
      <c r="BN186" s="115" t="s">
        <v>974</v>
      </c>
      <c r="BT186" t="s">
        <v>975</v>
      </c>
    </row>
    <row r="187" spans="1:72" ht="13" customHeight="1">
      <c r="C187" s="17"/>
      <c r="E187" s="1422"/>
      <c r="F187" s="1422"/>
      <c r="G187" s="1422"/>
      <c r="H187" s="1422"/>
      <c r="I187" s="1422"/>
      <c r="J187" s="1422"/>
      <c r="K187" s="1422"/>
      <c r="L187" s="1422"/>
      <c r="M187" s="1422"/>
      <c r="N187" s="1422"/>
      <c r="O187" s="1422"/>
      <c r="P187" s="1422"/>
      <c r="Q187" s="1422"/>
      <c r="R187" s="1422"/>
      <c r="S187" s="1422"/>
      <c r="T187" s="1422"/>
      <c r="U187" s="1422"/>
      <c r="V187" s="1422"/>
      <c r="W187" s="1422"/>
      <c r="X187" s="1422"/>
      <c r="Y187" s="1422"/>
      <c r="Z187" s="1422"/>
      <c r="AA187" s="1422"/>
      <c r="AB187" s="1422"/>
      <c r="AC187" s="1422"/>
      <c r="AD187" s="1422"/>
      <c r="AE187" s="1422"/>
      <c r="BN187" s="115" t="s">
        <v>976</v>
      </c>
      <c r="BT187" t="s">
        <v>977</v>
      </c>
    </row>
    <row r="188" spans="1:72" ht="13" customHeight="1">
      <c r="C188" s="17"/>
      <c r="E188" s="1423"/>
      <c r="F188" s="1423"/>
      <c r="G188" s="1423"/>
      <c r="H188" s="1423"/>
      <c r="I188" s="1423"/>
      <c r="J188" s="1423"/>
      <c r="K188" s="1423"/>
      <c r="L188" s="1423"/>
      <c r="M188" s="1423"/>
      <c r="N188" s="1423"/>
      <c r="O188" s="1423"/>
      <c r="P188" s="1423"/>
      <c r="Q188" s="1423"/>
      <c r="R188" s="1423"/>
      <c r="S188" s="1423"/>
      <c r="T188" s="1423"/>
      <c r="U188" s="1423"/>
      <c r="V188" s="1423"/>
      <c r="W188" s="1423"/>
      <c r="X188" s="1423"/>
      <c r="Y188" s="1423"/>
      <c r="Z188" s="1423"/>
      <c r="AA188" s="1423"/>
      <c r="AB188" s="1423"/>
      <c r="AC188" s="1423"/>
      <c r="AD188" s="1423"/>
      <c r="AE188" s="1423"/>
      <c r="BN188" s="115" t="s">
        <v>978</v>
      </c>
      <c r="BT188" t="s">
        <v>979</v>
      </c>
    </row>
    <row r="189" spans="1:72" ht="13" customHeight="1">
      <c r="C189" s="17"/>
      <c r="D189" t="s">
        <v>980</v>
      </c>
      <c r="I189" s="1405" t="s">
        <v>981</v>
      </c>
      <c r="J189" s="1405"/>
      <c r="K189" s="1405"/>
      <c r="L189" s="1405"/>
      <c r="M189" s="1405"/>
      <c r="N189" s="1405"/>
      <c r="O189" s="1405"/>
      <c r="P189" s="1405"/>
      <c r="Q189" t="s">
        <v>982</v>
      </c>
      <c r="T189" s="1405" t="s">
        <v>983</v>
      </c>
      <c r="U189" s="1405"/>
      <c r="V189" s="1405"/>
      <c r="W189" s="1405"/>
      <c r="X189" s="1405"/>
      <c r="Y189" s="1405"/>
      <c r="Z189" s="1405"/>
      <c r="AA189" s="1405"/>
      <c r="AB189" s="1405"/>
      <c r="AC189" s="1405"/>
      <c r="AD189" s="1405"/>
      <c r="AE189" s="1405"/>
      <c r="BC189" t="s">
        <v>294</v>
      </c>
      <c r="BH189" s="2" t="s">
        <v>299</v>
      </c>
      <c r="BN189" s="115" t="s">
        <v>984</v>
      </c>
      <c r="BT189" t="s">
        <v>985</v>
      </c>
    </row>
    <row r="190" spans="1:72" ht="13" customHeight="1">
      <c r="C190" s="17"/>
      <c r="D190" t="s">
        <v>986</v>
      </c>
      <c r="I190" s="1353">
        <v>94002</v>
      </c>
      <c r="J190" s="1353"/>
      <c r="K190" s="1353"/>
      <c r="L190" s="1353"/>
      <c r="M190" s="1353"/>
      <c r="N190" s="1353"/>
      <c r="O190" t="s">
        <v>987</v>
      </c>
      <c r="T190" s="1519">
        <v>6086</v>
      </c>
      <c r="U190" s="1519"/>
      <c r="V190" s="1519"/>
      <c r="W190" s="1519"/>
      <c r="X190" s="1519"/>
      <c r="Y190" s="1519"/>
      <c r="Z190" s="1519"/>
      <c r="AA190" s="1519"/>
      <c r="AB190" s="1519"/>
      <c r="AC190" s="1519"/>
      <c r="AD190" s="1519"/>
      <c r="AE190" s="1519"/>
      <c r="BC190" t="s">
        <v>988</v>
      </c>
      <c r="BH190" t="s">
        <v>988</v>
      </c>
      <c r="BN190" s="115" t="s">
        <v>989</v>
      </c>
      <c r="BT190" t="s">
        <v>990</v>
      </c>
    </row>
    <row r="191" spans="1:72" ht="13" customHeight="1">
      <c r="C191" s="17"/>
      <c r="D191" t="s">
        <v>991</v>
      </c>
      <c r="N191" s="1422" t="s">
        <v>992</v>
      </c>
      <c r="O191" s="1422"/>
      <c r="P191" s="1422"/>
      <c r="Q191" s="1422"/>
      <c r="R191" s="1422"/>
      <c r="S191" s="1422"/>
      <c r="T191" s="1422"/>
      <c r="U191" s="1422"/>
      <c r="V191" s="1422"/>
      <c r="W191" s="1422"/>
      <c r="X191" s="1422"/>
      <c r="Y191" s="1422"/>
      <c r="Z191" s="1422"/>
      <c r="AA191" s="1422"/>
      <c r="AB191" s="1422"/>
      <c r="AC191" s="1422"/>
      <c r="AD191" s="1422"/>
      <c r="AE191" s="1422"/>
      <c r="BC191" t="s">
        <v>993</v>
      </c>
      <c r="BH191" t="s">
        <v>993</v>
      </c>
      <c r="BN191" s="115" t="s">
        <v>994</v>
      </c>
      <c r="BT191" t="s">
        <v>995</v>
      </c>
    </row>
    <row r="192" spans="1:72" ht="13" customHeight="1">
      <c r="C192" s="17"/>
      <c r="M192" s="1177"/>
      <c r="N192" s="1423"/>
      <c r="O192" s="1423"/>
      <c r="P192" s="1423"/>
      <c r="Q192" s="1423"/>
      <c r="R192" s="1423"/>
      <c r="S192" s="1423"/>
      <c r="T192" s="1423"/>
      <c r="U192" s="1423"/>
      <c r="V192" s="1423"/>
      <c r="W192" s="1423"/>
      <c r="X192" s="1423"/>
      <c r="Y192" s="1423"/>
      <c r="Z192" s="1423"/>
      <c r="AA192" s="1423"/>
      <c r="AB192" s="1423"/>
      <c r="AC192" s="1423"/>
      <c r="AD192" s="1423"/>
      <c r="AE192" s="1423"/>
      <c r="BC192" t="s">
        <v>996</v>
      </c>
      <c r="BH192" s="2" t="s">
        <v>997</v>
      </c>
      <c r="BN192" s="115" t="s">
        <v>998</v>
      </c>
      <c r="BT192" t="s">
        <v>999</v>
      </c>
    </row>
    <row r="193" spans="1:74" ht="13" customHeight="1">
      <c r="C193" s="17"/>
      <c r="D193" t="s">
        <v>1000</v>
      </c>
      <c r="M193" s="1177"/>
      <c r="N193" s="726"/>
      <c r="O193" s="726"/>
      <c r="P193" s="726"/>
      <c r="Q193" s="726"/>
      <c r="R193" s="726"/>
      <c r="S193" s="726"/>
      <c r="T193" s="1515" t="s">
        <v>929</v>
      </c>
      <c r="U193" s="1515"/>
      <c r="V193" s="1515"/>
      <c r="W193" s="1515"/>
      <c r="X193" s="1515"/>
      <c r="Y193" s="1515"/>
      <c r="Z193" s="1515"/>
      <c r="AA193" s="1515"/>
      <c r="AB193" s="1515"/>
      <c r="AC193" s="1515"/>
      <c r="AD193" s="1515"/>
      <c r="AE193" s="1515"/>
      <c r="AF193" s="1515"/>
      <c r="AG193" s="1515"/>
      <c r="AH193" s="1515"/>
      <c r="AI193" s="1515"/>
      <c r="BC193" t="s">
        <v>1001</v>
      </c>
      <c r="BH193" s="2" t="s">
        <v>1002</v>
      </c>
      <c r="BN193" s="115" t="s">
        <v>1003</v>
      </c>
      <c r="BT193" t="s">
        <v>1004</v>
      </c>
    </row>
    <row r="194" spans="1:74" ht="13" customHeight="1">
      <c r="C194" s="17"/>
      <c r="D194" s="2" t="s">
        <v>1005</v>
      </c>
      <c r="M194" s="1177"/>
      <c r="N194" s="726"/>
      <c r="O194" s="726"/>
      <c r="P194" s="726"/>
      <c r="Q194" s="726"/>
      <c r="R194" s="726"/>
      <c r="S194" s="726"/>
      <c r="AH194" s="1361" t="s">
        <v>893</v>
      </c>
      <c r="AI194" s="1361"/>
      <c r="BC194" t="s">
        <v>997</v>
      </c>
      <c r="BN194" s="115" t="s">
        <v>1006</v>
      </c>
      <c r="BT194" t="s">
        <v>1007</v>
      </c>
    </row>
    <row r="195" spans="1:74" ht="13" customHeight="1">
      <c r="C195" s="17"/>
      <c r="D195" t="s">
        <v>1008</v>
      </c>
      <c r="T195" s="1361" t="s">
        <v>837</v>
      </c>
      <c r="U195" s="1361"/>
      <c r="W195" t="s">
        <v>1009</v>
      </c>
      <c r="AH195" s="1361">
        <v>15</v>
      </c>
      <c r="AI195" s="1361"/>
      <c r="BC195" t="s">
        <v>1010</v>
      </c>
      <c r="BN195" s="115" t="s">
        <v>1011</v>
      </c>
      <c r="BT195" t="s">
        <v>1012</v>
      </c>
    </row>
    <row r="196" spans="1:74" ht="13" customHeight="1">
      <c r="C196" s="17"/>
      <c r="D196" t="s">
        <v>1013</v>
      </c>
      <c r="T196" s="1348" t="s">
        <v>893</v>
      </c>
      <c r="U196" s="1348"/>
      <c r="W196" t="s">
        <v>1014</v>
      </c>
      <c r="AH196" s="1361">
        <v>21</v>
      </c>
      <c r="AI196" s="1361"/>
      <c r="BN196" s="115" t="s">
        <v>1015</v>
      </c>
      <c r="BT196" t="s">
        <v>1016</v>
      </c>
    </row>
    <row r="197" spans="1:74" ht="13" customHeight="1">
      <c r="C197" s="17"/>
      <c r="D197" s="2" t="s">
        <v>1017</v>
      </c>
      <c r="T197" s="1348" t="s">
        <v>893</v>
      </c>
      <c r="U197" s="1348"/>
      <c r="W197" t="s">
        <v>1018</v>
      </c>
      <c r="AH197" s="1361">
        <v>13</v>
      </c>
      <c r="AI197" s="1361"/>
      <c r="BC197" t="s">
        <v>294</v>
      </c>
      <c r="BN197" s="115" t="s">
        <v>1019</v>
      </c>
      <c r="BT197" t="s">
        <v>983</v>
      </c>
    </row>
    <row r="198" spans="1:74" s="12" customFormat="1" ht="13" customHeight="1">
      <c r="A198"/>
      <c r="B198"/>
      <c r="C198" s="17"/>
      <c r="D198" s="2" t="s">
        <v>1020</v>
      </c>
      <c r="E198"/>
      <c r="F198"/>
      <c r="G198"/>
      <c r="H198"/>
      <c r="I198"/>
      <c r="J198"/>
      <c r="K198"/>
      <c r="L198"/>
      <c r="M198"/>
      <c r="N198"/>
      <c r="O198"/>
      <c r="P198"/>
      <c r="Q198"/>
      <c r="R198"/>
      <c r="S198"/>
      <c r="T198" s="1348">
        <v>0</v>
      </c>
      <c r="U198" s="1348"/>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1021</v>
      </c>
      <c r="BD198"/>
      <c r="BN198" s="115" t="s">
        <v>1022</v>
      </c>
      <c r="BO198"/>
      <c r="BP198"/>
      <c r="BQ198"/>
      <c r="BR198"/>
      <c r="BS198"/>
      <c r="BT198" t="s">
        <v>1023</v>
      </c>
      <c r="BU198"/>
      <c r="BV198" s="25"/>
    </row>
    <row r="199" spans="1:74" s="12" customFormat="1" ht="13" customHeight="1">
      <c r="A199"/>
      <c r="B199"/>
      <c r="C199" s="17"/>
      <c r="D199" s="68" t="s">
        <v>1024</v>
      </c>
      <c r="E199"/>
      <c r="F199"/>
      <c r="G199"/>
      <c r="H199"/>
      <c r="I199"/>
      <c r="J199"/>
      <c r="K199"/>
      <c r="L199"/>
      <c r="M199"/>
      <c r="N199"/>
      <c r="O199"/>
      <c r="P199"/>
      <c r="Q199"/>
      <c r="R199"/>
      <c r="S199"/>
      <c r="T199"/>
      <c r="U199"/>
      <c r="V199"/>
      <c r="W199"/>
      <c r="Z199" s="1361" t="s">
        <v>837</v>
      </c>
      <c r="AA199" s="1361"/>
      <c r="AC199"/>
      <c r="AD199"/>
      <c r="AE199"/>
      <c r="AF199"/>
      <c r="AG199"/>
      <c r="AJ199"/>
      <c r="AK199"/>
      <c r="AL199"/>
      <c r="AM199"/>
      <c r="AN199"/>
      <c r="AO199"/>
      <c r="AP199"/>
      <c r="AQ199"/>
      <c r="AR199"/>
      <c r="AS199"/>
      <c r="AT199"/>
      <c r="AU199"/>
      <c r="AV199"/>
      <c r="AW199"/>
      <c r="AX199"/>
      <c r="AY199"/>
      <c r="AZ199" s="24"/>
      <c r="BA199" s="24"/>
      <c r="BC199" s="2" t="s">
        <v>1025</v>
      </c>
      <c r="BD199"/>
      <c r="BN199" s="115" t="s">
        <v>1026</v>
      </c>
      <c r="BO199"/>
      <c r="BP199"/>
      <c r="BQ199"/>
      <c r="BR199"/>
      <c r="BS199"/>
      <c r="BT199" s="26" t="s">
        <v>1027</v>
      </c>
      <c r="BU199"/>
      <c r="BV199" s="25"/>
    </row>
    <row r="200" spans="1:74" s="12" customFormat="1" ht="13" customHeight="1">
      <c r="A200"/>
      <c r="B200"/>
      <c r="C200" s="17"/>
      <c r="D200" t="s">
        <v>1028</v>
      </c>
      <c r="E200"/>
      <c r="F200"/>
      <c r="G200"/>
      <c r="H200"/>
      <c r="I200"/>
      <c r="J200"/>
      <c r="K200"/>
      <c r="L200"/>
      <c r="M200"/>
      <c r="N200"/>
      <c r="O200"/>
      <c r="P200"/>
      <c r="Q200"/>
      <c r="R200"/>
      <c r="S200"/>
      <c r="T200" s="1117"/>
      <c r="U200" s="1117"/>
      <c r="V200"/>
      <c r="W200"/>
      <c r="X200"/>
      <c r="Y200"/>
      <c r="Z200"/>
      <c r="AA200"/>
      <c r="AB200"/>
      <c r="AC200"/>
      <c r="AD200"/>
      <c r="AE200"/>
      <c r="AF200"/>
      <c r="AG200"/>
      <c r="AH200" s="1117"/>
      <c r="AI200" s="1117"/>
      <c r="AJ200"/>
      <c r="AK200"/>
      <c r="AL200"/>
      <c r="AM200"/>
      <c r="AN200"/>
      <c r="AO200"/>
      <c r="AP200"/>
      <c r="AQ200"/>
      <c r="AR200"/>
      <c r="AS200"/>
      <c r="AT200"/>
      <c r="AU200"/>
      <c r="AV200"/>
      <c r="AW200"/>
      <c r="AX200"/>
      <c r="AY200"/>
      <c r="AZ200" s="24"/>
      <c r="BA200" s="24"/>
      <c r="BC200" s="2" t="s">
        <v>1029</v>
      </c>
      <c r="BD200" s="324"/>
      <c r="BN200" s="115" t="s">
        <v>1030</v>
      </c>
      <c r="BO200"/>
      <c r="BP200"/>
      <c r="BQ200"/>
      <c r="BR200"/>
      <c r="BS200"/>
      <c r="BT200" s="26" t="s">
        <v>1031</v>
      </c>
      <c r="BU200"/>
    </row>
    <row r="201" spans="1:74" s="12" customFormat="1" ht="13" customHeight="1">
      <c r="A201"/>
      <c r="B201"/>
      <c r="C201" s="17"/>
      <c r="D201" s="121" t="s">
        <v>1032</v>
      </c>
      <c r="E201"/>
      <c r="F201"/>
      <c r="G201"/>
      <c r="H201"/>
      <c r="I201"/>
      <c r="J201"/>
      <c r="K201"/>
      <c r="L201"/>
      <c r="M201"/>
      <c r="N201"/>
      <c r="O201"/>
      <c r="P201"/>
      <c r="Q201"/>
      <c r="R201"/>
      <c r="S201"/>
      <c r="T201" s="1117"/>
      <c r="U201" s="1117"/>
      <c r="V201"/>
      <c r="W201" s="121" t="s">
        <v>1033</v>
      </c>
      <c r="X201"/>
      <c r="Y201"/>
      <c r="Z201"/>
      <c r="AA201"/>
      <c r="AB201"/>
      <c r="AC201"/>
      <c r="AD201"/>
      <c r="AE201"/>
      <c r="AF201"/>
      <c r="AG201"/>
      <c r="AH201" s="1117"/>
      <c r="AI201" s="1117"/>
      <c r="AJ201"/>
      <c r="AK201"/>
      <c r="AL201"/>
      <c r="AM201"/>
      <c r="AN201"/>
      <c r="AO201"/>
      <c r="AP201"/>
      <c r="AQ201"/>
      <c r="AR201"/>
      <c r="AS201"/>
      <c r="AT201"/>
      <c r="AU201"/>
      <c r="AV201"/>
      <c r="AW201"/>
      <c r="AX201"/>
      <c r="AY201"/>
      <c r="AZ201" s="24"/>
      <c r="BA201" s="24"/>
      <c r="BC201" t="s">
        <v>1034</v>
      </c>
      <c r="BD201" s="324"/>
      <c r="BN201" s="115" t="s">
        <v>1035</v>
      </c>
      <c r="BO201" s="25"/>
      <c r="BP201" s="26"/>
      <c r="BQ201" s="26"/>
      <c r="BR201" s="26"/>
      <c r="BS201" s="26"/>
      <c r="BT201" s="26" t="s">
        <v>1036</v>
      </c>
      <c r="BU201"/>
    </row>
    <row r="202" spans="1:74" ht="13" customHeight="1">
      <c r="C202" s="17"/>
      <c r="D202" s="383"/>
      <c r="BC202" t="s">
        <v>1037</v>
      </c>
      <c r="BD202" s="324"/>
      <c r="BN202" s="115" t="s">
        <v>1038</v>
      </c>
      <c r="BO202" s="12"/>
      <c r="BP202" s="26"/>
      <c r="BQ202" s="26"/>
      <c r="BR202" s="26"/>
      <c r="BS202" s="26"/>
      <c r="BT202" s="26" t="s">
        <v>1039</v>
      </c>
    </row>
    <row r="203" spans="1:74" ht="13" customHeight="1">
      <c r="A203" s="1" t="s">
        <v>1040</v>
      </c>
      <c r="C203" s="1" t="s">
        <v>1041</v>
      </c>
      <c r="BC203" t="s">
        <v>1042</v>
      </c>
      <c r="BN203" s="115" t="s">
        <v>1043</v>
      </c>
      <c r="BO203" s="12"/>
      <c r="BP203" s="26"/>
      <c r="BQ203" s="26"/>
      <c r="BR203" s="26"/>
      <c r="BS203" s="26"/>
      <c r="BT203" s="26" t="s">
        <v>1044</v>
      </c>
    </row>
    <row r="204" spans="1:74" ht="13" customHeight="1">
      <c r="D204" s="1460" t="s">
        <v>1045</v>
      </c>
      <c r="E204" s="1460"/>
      <c r="F204" s="1460"/>
      <c r="G204" s="1460"/>
      <c r="H204" s="1460"/>
      <c r="I204" s="1460"/>
      <c r="J204" s="1460"/>
      <c r="K204" s="1460"/>
      <c r="L204" s="1460"/>
      <c r="M204" s="1460"/>
      <c r="P204" s="1512">
        <f>M26</f>
        <v>2534058</v>
      </c>
      <c r="Q204" s="1513"/>
      <c r="R204" s="1513"/>
      <c r="S204" s="1513"/>
      <c r="T204" s="1513"/>
      <c r="U204" s="1513"/>
      <c r="BC204" t="s">
        <v>1046</v>
      </c>
      <c r="BN204" s="115" t="s">
        <v>1047</v>
      </c>
      <c r="BT204" s="26" t="s">
        <v>1048</v>
      </c>
      <c r="BU204" s="12"/>
    </row>
    <row r="205" spans="1:74" ht="13" customHeight="1">
      <c r="C205" s="17"/>
      <c r="D205" s="1505" t="s">
        <v>1049</v>
      </c>
      <c r="E205" s="1460"/>
      <c r="F205" s="1460"/>
      <c r="G205" s="1460"/>
      <c r="H205" s="1460"/>
      <c r="I205" s="1460"/>
      <c r="J205" s="1460"/>
      <c r="K205" s="1460"/>
      <c r="L205" s="1460"/>
      <c r="M205" s="1460"/>
      <c r="P205" s="1513">
        <f>M27</f>
        <v>13000000</v>
      </c>
      <c r="Q205" s="1513"/>
      <c r="R205" s="1513"/>
      <c r="S205" s="1513"/>
      <c r="T205" s="1513"/>
      <c r="U205" s="1513"/>
      <c r="V205" s="18"/>
      <c r="W205" s="2" t="s">
        <v>1050</v>
      </c>
      <c r="Z205" s="1516" t="s">
        <v>1051</v>
      </c>
      <c r="AA205" s="1516"/>
      <c r="AB205" s="1516"/>
      <c r="AC205" s="1516"/>
      <c r="AD205" s="1516"/>
      <c r="AE205" s="1516"/>
      <c r="AF205" s="1516"/>
      <c r="AG205" s="1516"/>
      <c r="AH205" s="1516"/>
      <c r="AI205" s="1516"/>
      <c r="AJ205" s="1516"/>
      <c r="AK205" s="1516"/>
      <c r="AL205" s="1516"/>
      <c r="AM205" s="1516"/>
      <c r="AN205" s="1516"/>
      <c r="AP205" s="1258"/>
      <c r="AQ205" s="1258"/>
      <c r="BC205" t="s">
        <v>1052</v>
      </c>
      <c r="BN205" s="115" t="s">
        <v>1053</v>
      </c>
      <c r="BT205" s="26" t="s">
        <v>1054</v>
      </c>
      <c r="BU205" s="12"/>
    </row>
    <row r="206" spans="1:74" ht="13" customHeight="1">
      <c r="D206" s="23"/>
      <c r="E206" s="23"/>
      <c r="F206" s="23"/>
      <c r="G206" s="23"/>
      <c r="H206" s="23"/>
      <c r="I206" s="23"/>
      <c r="J206" s="23"/>
      <c r="K206" s="23"/>
      <c r="L206" s="23"/>
      <c r="M206" s="23"/>
      <c r="N206" s="23"/>
      <c r="O206" s="23"/>
      <c r="P206" s="23"/>
      <c r="BC206" s="325" t="s">
        <v>1055</v>
      </c>
      <c r="BN206" s="115" t="s">
        <v>1056</v>
      </c>
      <c r="BT206" s="26" t="s">
        <v>1057</v>
      </c>
      <c r="BU206" s="12"/>
    </row>
    <row r="207" spans="1:74" ht="13" customHeight="1">
      <c r="A207" s="1" t="s">
        <v>1058</v>
      </c>
      <c r="C207" s="1" t="s">
        <v>1059</v>
      </c>
      <c r="BC207" s="2" t="s">
        <v>1060</v>
      </c>
      <c r="BN207" s="115" t="s">
        <v>1061</v>
      </c>
      <c r="BT207" s="26" t="s">
        <v>1062</v>
      </c>
    </row>
    <row r="208" spans="1:74" ht="13" customHeight="1">
      <c r="C208" s="17"/>
      <c r="D208" s="1432" t="s">
        <v>1063</v>
      </c>
      <c r="E208" s="1432"/>
      <c r="F208" s="1432"/>
      <c r="G208" s="1432"/>
      <c r="H208" s="1432"/>
      <c r="I208" s="1432"/>
      <c r="J208" s="1432"/>
      <c r="K208" s="1432"/>
      <c r="L208" s="1432"/>
      <c r="M208" s="1432"/>
      <c r="BC208" t="s">
        <v>1064</v>
      </c>
      <c r="BN208" s="115" t="s">
        <v>1065</v>
      </c>
      <c r="BT208" s="26" t="s">
        <v>1066</v>
      </c>
    </row>
    <row r="209" spans="1:72" ht="13" customHeight="1">
      <c r="BC209" t="s">
        <v>1067</v>
      </c>
      <c r="BN209" s="115" t="s">
        <v>1068</v>
      </c>
      <c r="BT209" s="26" t="s">
        <v>1069</v>
      </c>
    </row>
    <row r="210" spans="1:72" ht="13" customHeight="1">
      <c r="A210" s="1" t="s">
        <v>1070</v>
      </c>
      <c r="C210" s="1" t="s">
        <v>1071</v>
      </c>
      <c r="BN210" s="115" t="s">
        <v>1072</v>
      </c>
      <c r="BT210" s="26" t="s">
        <v>1073</v>
      </c>
    </row>
    <row r="211" spans="1:72" ht="13" customHeight="1">
      <c r="C211" s="17"/>
      <c r="D211" s="1432" t="s">
        <v>988</v>
      </c>
      <c r="E211" s="1432"/>
      <c r="F211" s="1432"/>
      <c r="G211" s="1432"/>
      <c r="H211" s="1432"/>
      <c r="I211" s="1432"/>
      <c r="J211" s="1432"/>
      <c r="K211" s="1432"/>
      <c r="L211" s="1432"/>
      <c r="M211" s="1432"/>
      <c r="BN211" s="115" t="s">
        <v>1074</v>
      </c>
      <c r="BT211" s="26" t="s">
        <v>1075</v>
      </c>
    </row>
    <row r="212" spans="1:72" ht="13" customHeight="1">
      <c r="C212" s="17"/>
      <c r="D212" t="s">
        <v>1076</v>
      </c>
      <c r="Y212" s="1361"/>
      <c r="Z212" s="1361"/>
      <c r="AB212" s="1522">
        <f>IFERROR(Y212/AG440,"")</f>
        <v>0</v>
      </c>
      <c r="AC212" s="1523"/>
      <c r="BC212" t="s">
        <v>294</v>
      </c>
      <c r="BI212" t="s">
        <v>1077</v>
      </c>
      <c r="BN212" s="115" t="s">
        <v>1078</v>
      </c>
      <c r="BT212" s="26" t="s">
        <v>1079</v>
      </c>
    </row>
    <row r="213" spans="1:72" ht="13" customHeight="1">
      <c r="D213" s="957" t="s">
        <v>1080</v>
      </c>
      <c r="BC213" t="s">
        <v>1081</v>
      </c>
      <c r="BI213" t="s">
        <v>1051</v>
      </c>
      <c r="BN213" s="115" t="s">
        <v>1082</v>
      </c>
      <c r="BT213" s="26" t="s">
        <v>1083</v>
      </c>
    </row>
    <row r="214" spans="1:72" ht="13" customHeight="1">
      <c r="D214" s="1508" t="s">
        <v>299</v>
      </c>
      <c r="E214" s="1508"/>
      <c r="F214" s="1508"/>
      <c r="G214" s="1508"/>
      <c r="H214" s="1508"/>
      <c r="I214" s="1508"/>
      <c r="J214" s="1508"/>
      <c r="K214" s="1508"/>
      <c r="L214" s="1508"/>
      <c r="M214" s="1508"/>
      <c r="N214" s="1508"/>
      <c r="O214" s="1508"/>
      <c r="P214" s="1508"/>
      <c r="Q214" s="1508"/>
      <c r="R214" s="1508"/>
      <c r="S214" s="1508"/>
      <c r="T214" s="1508"/>
      <c r="U214" s="1508"/>
      <c r="V214" s="1508"/>
      <c r="W214" s="1508"/>
      <c r="X214" s="1508"/>
      <c r="Y214" s="1508"/>
      <c r="Z214" s="1508"/>
      <c r="AU214" s="17"/>
      <c r="AV214" s="17"/>
      <c r="AW214" s="17"/>
      <c r="AX214" s="17"/>
      <c r="AY214" s="17"/>
      <c r="BC214" t="s">
        <v>1084</v>
      </c>
      <c r="BI214" t="s">
        <v>1085</v>
      </c>
      <c r="BN214" s="115" t="s">
        <v>1086</v>
      </c>
      <c r="BT214" s="26" t="s">
        <v>1087</v>
      </c>
    </row>
    <row r="215" spans="1:72" ht="13" customHeight="1">
      <c r="D215" s="2" t="s">
        <v>1088</v>
      </c>
      <c r="Z215" s="1177"/>
      <c r="AB215" s="1447"/>
      <c r="AC215" s="1447"/>
      <c r="AD215" s="1447"/>
      <c r="AE215" s="1447"/>
      <c r="AF215" s="1447"/>
      <c r="AG215" s="1447"/>
      <c r="AH215" s="1447"/>
      <c r="AI215" s="1447"/>
      <c r="AJ215" s="1447"/>
      <c r="AK215" s="1447"/>
      <c r="AL215" s="1447"/>
      <c r="AM215" s="17"/>
      <c r="AN215" s="17"/>
      <c r="AO215" s="17"/>
      <c r="AP215" s="17"/>
      <c r="AQ215" s="17"/>
      <c r="AR215" s="17"/>
      <c r="AS215" s="17"/>
      <c r="AT215" s="17"/>
      <c r="AU215" s="17"/>
      <c r="AV215" s="17"/>
      <c r="AW215" s="17"/>
      <c r="AX215" s="17"/>
      <c r="AY215" s="17"/>
      <c r="BC215" t="s">
        <v>1089</v>
      </c>
      <c r="BI215" s="2" t="s">
        <v>1090</v>
      </c>
    </row>
    <row r="216" spans="1:72" ht="13" customHeight="1">
      <c r="D216" s="2" t="s">
        <v>1091</v>
      </c>
      <c r="Z216" s="1177"/>
      <c r="AB216" s="1447"/>
      <c r="AC216" s="1447"/>
      <c r="AD216" s="1447"/>
      <c r="AE216" s="1447"/>
      <c r="AF216" s="1447"/>
      <c r="AG216" s="1447"/>
      <c r="AH216" s="1447"/>
      <c r="AI216" s="1447"/>
      <c r="AJ216" s="1447"/>
      <c r="AK216" s="1447"/>
      <c r="AL216" s="1447"/>
      <c r="AM216" s="17"/>
      <c r="AN216" s="17"/>
      <c r="AO216" s="17"/>
      <c r="AP216" s="17"/>
      <c r="AQ216" s="17"/>
      <c r="AR216" s="17"/>
      <c r="AS216" s="17"/>
      <c r="AT216" s="17"/>
      <c r="AU216" s="17"/>
      <c r="AV216" s="17"/>
      <c r="AW216" s="17"/>
      <c r="AX216" s="17"/>
      <c r="AY216" s="17"/>
      <c r="BC216" t="s">
        <v>1092</v>
      </c>
      <c r="BI216" s="2" t="s">
        <v>1093</v>
      </c>
    </row>
    <row r="217" spans="1:72" ht="13" customHeight="1">
      <c r="D217" s="2"/>
      <c r="Z217" s="1177"/>
      <c r="AB217" s="17"/>
      <c r="AC217" s="17"/>
      <c r="AD217" s="17"/>
      <c r="AE217" s="17"/>
      <c r="AF217" s="17"/>
      <c r="AG217" s="17"/>
      <c r="AH217" s="17"/>
      <c r="AI217" s="17"/>
      <c r="AJ217" s="17"/>
      <c r="AK217" s="17"/>
      <c r="AL217" s="17"/>
      <c r="AM217" s="17"/>
      <c r="AN217" s="17"/>
      <c r="AO217" s="17"/>
      <c r="AP217" s="17"/>
      <c r="AQ217" s="17"/>
      <c r="AR217" s="17"/>
      <c r="AS217" s="17"/>
      <c r="AT217" s="17"/>
      <c r="BC217" t="s">
        <v>1094</v>
      </c>
      <c r="BI217" s="2" t="s">
        <v>1095</v>
      </c>
    </row>
    <row r="218" spans="1:72" ht="13" customHeight="1">
      <c r="A218" s="1" t="s">
        <v>1096</v>
      </c>
      <c r="C218" s="1" t="s">
        <v>1097</v>
      </c>
      <c r="D218" s="18"/>
      <c r="BC218" t="s">
        <v>1098</v>
      </c>
    </row>
    <row r="219" spans="1:72" ht="13" customHeight="1">
      <c r="A219" s="1"/>
      <c r="C219" s="1"/>
      <c r="D219" s="2" t="s">
        <v>1099</v>
      </c>
      <c r="AZ219" s="2"/>
      <c r="BA219" s="2"/>
      <c r="BC219" t="s">
        <v>1100</v>
      </c>
    </row>
    <row r="220" spans="1:72" ht="13" customHeight="1">
      <c r="A220" s="1"/>
      <c r="C220" s="1"/>
      <c r="D220" s="1432" t="s">
        <v>1052</v>
      </c>
      <c r="E220" s="1432"/>
      <c r="F220" s="1432"/>
      <c r="G220" s="1432"/>
      <c r="H220" s="1432"/>
      <c r="I220" s="1432"/>
      <c r="J220" s="1432"/>
      <c r="K220" s="1432"/>
      <c r="L220" s="1432"/>
      <c r="M220" s="1432"/>
      <c r="N220" s="1432"/>
      <c r="O220" s="1432"/>
      <c r="P220" s="1432"/>
      <c r="Q220" s="1432"/>
      <c r="R220" s="1432"/>
      <c r="S220" s="1432"/>
      <c r="T220" s="1432"/>
      <c r="U220" s="1432"/>
      <c r="V220" s="1432"/>
      <c r="W220" s="1432"/>
      <c r="X220" s="1432"/>
      <c r="Y220" s="1432"/>
      <c r="Z220" s="1432"/>
      <c r="BA220" s="2"/>
      <c r="BC220" t="s">
        <v>1101</v>
      </c>
    </row>
    <row r="221" spans="1:72" ht="13" customHeight="1">
      <c r="A221" s="1"/>
      <c r="B221" s="12"/>
      <c r="C221" s="1"/>
      <c r="AU221" s="54"/>
      <c r="AV221" s="54"/>
      <c r="AW221" s="54"/>
      <c r="AX221" s="54"/>
      <c r="AY221" s="54"/>
      <c r="BA221" s="2"/>
    </row>
    <row r="222" spans="1:72" ht="13" customHeight="1">
      <c r="A222" s="1427" t="s">
        <v>1102</v>
      </c>
      <c r="B222" s="1427"/>
      <c r="C222" s="1427"/>
      <c r="D222" s="1427"/>
      <c r="E222" s="1427"/>
      <c r="F222" s="1427"/>
      <c r="G222" s="1427"/>
      <c r="H222" s="1427"/>
      <c r="I222" s="1427"/>
      <c r="J222" s="1427"/>
      <c r="K222" s="1427"/>
      <c r="L222" s="1427"/>
      <c r="M222" s="1427"/>
      <c r="N222" s="1427"/>
      <c r="O222" s="1427"/>
      <c r="P222" s="1427"/>
      <c r="Q222" s="1427"/>
      <c r="R222" s="1427"/>
      <c r="S222" s="1427"/>
      <c r="T222" s="1427"/>
      <c r="U222" s="1427"/>
      <c r="V222" s="1427"/>
      <c r="W222" s="1427"/>
      <c r="X222" s="1427"/>
      <c r="Y222" s="1427"/>
      <c r="Z222" s="1427"/>
      <c r="AA222" s="1427"/>
      <c r="AB222" s="1427"/>
      <c r="AC222" s="1427"/>
      <c r="AD222" s="1427"/>
      <c r="AE222" s="1427"/>
      <c r="AF222" s="1427"/>
      <c r="AG222" s="1427"/>
      <c r="AH222" s="1427"/>
      <c r="AI222" s="1427"/>
      <c r="AJ222" s="1427"/>
      <c r="AK222" s="1427"/>
      <c r="AL222" s="1427"/>
      <c r="AM222" s="1427"/>
      <c r="AN222" s="1427"/>
      <c r="AO222" s="1427"/>
      <c r="AP222" s="1427"/>
      <c r="AQ222" s="1427"/>
      <c r="AR222" s="1427"/>
      <c r="AS222" s="1427"/>
      <c r="AT222" s="1427"/>
      <c r="AU222" s="54"/>
      <c r="AV222" s="54"/>
      <c r="AW222" s="54"/>
      <c r="AX222" s="54"/>
      <c r="AY222" s="54"/>
      <c r="AZ222" s="2"/>
      <c r="BA222" s="2"/>
      <c r="BP222" s="2"/>
    </row>
    <row r="223" spans="1:72" ht="13" customHeight="1">
      <c r="A223" s="1427"/>
      <c r="B223" s="1427"/>
      <c r="C223" s="1427"/>
      <c r="D223" s="1427"/>
      <c r="E223" s="1427"/>
      <c r="F223" s="1427"/>
      <c r="G223" s="1427"/>
      <c r="H223" s="1427"/>
      <c r="I223" s="1427"/>
      <c r="J223" s="1427"/>
      <c r="K223" s="1427"/>
      <c r="L223" s="1427"/>
      <c r="M223" s="1427"/>
      <c r="N223" s="1427"/>
      <c r="O223" s="1427"/>
      <c r="P223" s="1427"/>
      <c r="Q223" s="1427"/>
      <c r="R223" s="1427"/>
      <c r="S223" s="1427"/>
      <c r="T223" s="1427"/>
      <c r="U223" s="1427"/>
      <c r="V223" s="1427"/>
      <c r="W223" s="1427"/>
      <c r="X223" s="1427"/>
      <c r="Y223" s="1427"/>
      <c r="Z223" s="1427"/>
      <c r="AA223" s="1427"/>
      <c r="AB223" s="1427"/>
      <c r="AC223" s="1427"/>
      <c r="AD223" s="1427"/>
      <c r="AE223" s="1427"/>
      <c r="AF223" s="1427"/>
      <c r="AG223" s="1427"/>
      <c r="AH223" s="1427"/>
      <c r="AI223" s="1427"/>
      <c r="AJ223" s="1427"/>
      <c r="AK223" s="1427"/>
      <c r="AL223" s="1427"/>
      <c r="AM223" s="1427"/>
      <c r="AN223" s="1427"/>
      <c r="AO223" s="1427"/>
      <c r="AP223" s="1427"/>
      <c r="AQ223" s="1427"/>
      <c r="AR223" s="1427"/>
      <c r="AS223" s="1427"/>
      <c r="AT223" s="1427"/>
      <c r="BA223" s="2"/>
      <c r="BB223" s="2"/>
      <c r="BQ223" s="2"/>
    </row>
    <row r="224" spans="1:72" ht="13" customHeight="1">
      <c r="AZ224" s="2"/>
      <c r="BA224" s="2"/>
      <c r="BB224" s="2"/>
      <c r="BQ224" s="2"/>
    </row>
    <row r="225" spans="1:69" ht="13" customHeight="1">
      <c r="A225" s="1" t="s">
        <v>920</v>
      </c>
      <c r="B225" s="1"/>
      <c r="C225" s="1" t="s">
        <v>1103</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 customHeight="1">
      <c r="B226" s="2"/>
      <c r="D226" s="2" t="s">
        <v>1104</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61" t="s">
        <v>837</v>
      </c>
      <c r="AJ226" s="1361"/>
      <c r="AL226" s="2"/>
      <c r="AM226" s="2"/>
      <c r="AN226" s="2"/>
      <c r="AO226" s="2"/>
      <c r="AP226" s="2"/>
      <c r="AQ226" s="2"/>
      <c r="AR226" s="2"/>
      <c r="AS226" s="2"/>
      <c r="AT226" s="2"/>
      <c r="AU226" s="2"/>
      <c r="AV226" s="2"/>
      <c r="AW226" s="2"/>
      <c r="AX226" s="2"/>
      <c r="AY226" s="2"/>
      <c r="AZ226" s="2"/>
      <c r="BB226" s="118" t="s">
        <v>1105</v>
      </c>
      <c r="BG226" s="152">
        <f>IF(AND(AND($M$249="for profit",$M$257="for profit",$M$265="nonprofit")),2,0)</f>
        <v>0</v>
      </c>
      <c r="BO226" s="2"/>
    </row>
    <row r="227" spans="1:69" ht="13" customHeight="1">
      <c r="B227" s="2"/>
      <c r="D227" s="2" t="s">
        <v>1106</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61" t="s">
        <v>299</v>
      </c>
      <c r="AJ227" s="1361"/>
      <c r="AL227" s="2"/>
      <c r="AM227" s="2"/>
      <c r="AN227" s="2"/>
      <c r="AO227" s="2"/>
      <c r="AP227" s="2"/>
      <c r="AQ227" s="2"/>
      <c r="AR227" s="2"/>
      <c r="AS227" s="2"/>
      <c r="AT227" s="2"/>
      <c r="AU227" s="2"/>
      <c r="AV227" s="2"/>
      <c r="AW227" s="2"/>
      <c r="AX227" s="2"/>
      <c r="AY227" s="2"/>
      <c r="BA227" s="2"/>
      <c r="BB227" s="118" t="s">
        <v>1105</v>
      </c>
      <c r="BG227" s="152">
        <f>IF(AND(AND($M$249="for profit",$M$257="nonprofit",$M$265="for profit")),2,0)</f>
        <v>0</v>
      </c>
      <c r="BQ227" s="2"/>
    </row>
    <row r="228" spans="1:69" ht="13" customHeight="1">
      <c r="B228" s="2"/>
      <c r="D228" s="2" t="s">
        <v>1107</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61" t="s">
        <v>299</v>
      </c>
      <c r="AJ228" s="1361"/>
      <c r="AL228" s="2"/>
      <c r="AM228" s="2"/>
      <c r="AN228" s="2"/>
      <c r="AO228" s="2"/>
      <c r="AP228" s="2"/>
      <c r="AQ228" s="2"/>
      <c r="AR228" s="2"/>
      <c r="AS228" s="2"/>
      <c r="AT228" s="2"/>
      <c r="AU228" s="2"/>
      <c r="AV228" s="2"/>
      <c r="AW228" s="2"/>
      <c r="AX228" s="2"/>
      <c r="AY228" s="2"/>
      <c r="AZ228" s="2"/>
      <c r="BA228" s="2"/>
      <c r="BB228" s="118" t="s">
        <v>1105</v>
      </c>
      <c r="BG228" s="152">
        <f>IF(AND(AND($M$249="nonprofit",$M$257="for profit",$M$265="for profit")),2,0)</f>
        <v>0</v>
      </c>
      <c r="BQ228" s="2"/>
    </row>
    <row r="229" spans="1:69" ht="13" customHeight="1">
      <c r="B229" s="2"/>
      <c r="D229" s="2" t="s">
        <v>1108</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61" t="s">
        <v>299</v>
      </c>
      <c r="AJ229" s="1361"/>
      <c r="AL229" s="2"/>
      <c r="AM229" s="2"/>
      <c r="AN229" s="2"/>
      <c r="AO229" s="2"/>
      <c r="AP229" s="2"/>
      <c r="AQ229" s="2"/>
      <c r="AR229" s="2"/>
      <c r="AS229" s="2"/>
      <c r="AT229" s="2"/>
      <c r="AU229" s="2"/>
      <c r="AV229" s="2"/>
      <c r="AW229" s="2"/>
      <c r="AX229" s="2"/>
      <c r="AY229" s="2"/>
      <c r="BA229" s="2"/>
      <c r="BB229" s="118" t="s">
        <v>1105</v>
      </c>
      <c r="BG229" s="152">
        <f>IF(AND(AND($M$249="for profit",$M$257="nonprofit",$M$265="(select one)")),2,0)</f>
        <v>0</v>
      </c>
      <c r="BO229" s="2"/>
    </row>
    <row r="230" spans="1:69" ht="13"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8" t="s">
        <v>1105</v>
      </c>
      <c r="BG230" s="151">
        <f>IF(AND(AND($M$249="nonprofit",$M$257="for profit",$M$265="(select one)")),2,0)</f>
        <v>2</v>
      </c>
      <c r="BO230" s="2"/>
    </row>
    <row r="231" spans="1:69" ht="13" customHeight="1">
      <c r="A231" s="1" t="s">
        <v>961</v>
      </c>
      <c r="B231" s="2"/>
      <c r="C231" s="1" t="s">
        <v>1109</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8"/>
      <c r="BG231" s="118"/>
      <c r="BQ231" s="2"/>
    </row>
    <row r="232" spans="1:69" ht="13" customHeight="1">
      <c r="D232" s="2" t="s">
        <v>1110</v>
      </c>
      <c r="E232" s="2"/>
      <c r="F232" s="2"/>
      <c r="G232" s="2"/>
      <c r="H232" s="2"/>
      <c r="I232" s="2"/>
      <c r="J232" s="2"/>
      <c r="K232" s="2"/>
      <c r="M232" s="1520" t="str">
        <f>H16</f>
        <v>The Ridge at Ralston LP</v>
      </c>
      <c r="N232" s="1520"/>
      <c r="O232" s="1520"/>
      <c r="P232" s="1520"/>
      <c r="Q232" s="1520"/>
      <c r="R232" s="1520"/>
      <c r="S232" s="1520"/>
      <c r="T232" s="1520"/>
      <c r="U232" s="1520"/>
      <c r="V232" s="1520"/>
      <c r="W232" s="1520"/>
      <c r="X232" s="1520"/>
      <c r="Y232" s="1520"/>
      <c r="Z232" s="1520"/>
      <c r="AA232" s="1520"/>
      <c r="AB232" s="1520"/>
      <c r="AC232" s="1520"/>
      <c r="AD232" s="1520"/>
      <c r="AE232" s="1520"/>
      <c r="AF232" s="1520"/>
      <c r="AG232" s="1520"/>
      <c r="AH232" s="1520"/>
      <c r="AI232" s="1520"/>
      <c r="AJ232" s="1520"/>
      <c r="AK232" s="1520"/>
      <c r="AZ232" s="2"/>
      <c r="BA232" s="2"/>
      <c r="BB232" s="119" t="s">
        <v>1105</v>
      </c>
      <c r="BG232" s="152">
        <f>IF(AND(AND($M$249="nonprofit",$M$257="nonprofit",$M$265="for profit")),2,0)</f>
        <v>0</v>
      </c>
      <c r="BQ232" s="2"/>
    </row>
    <row r="233" spans="1:69" ht="13" customHeight="1">
      <c r="D233" s="2" t="s">
        <v>1111</v>
      </c>
      <c r="E233" s="2"/>
      <c r="F233" s="2"/>
      <c r="G233" s="2"/>
      <c r="H233" s="2"/>
      <c r="I233" s="2"/>
      <c r="J233" s="2"/>
      <c r="K233" s="2"/>
      <c r="M233" s="1432" t="s">
        <v>1112</v>
      </c>
      <c r="N233" s="1432"/>
      <c r="O233" s="1432"/>
      <c r="P233" s="1432"/>
      <c r="Q233" s="1432"/>
      <c r="R233" s="1432"/>
      <c r="S233" s="1432"/>
      <c r="T233" s="1432"/>
      <c r="U233" s="1432"/>
      <c r="V233" s="1432"/>
      <c r="W233" s="1432"/>
      <c r="X233" s="1432"/>
      <c r="Y233" s="1432"/>
      <c r="Z233" s="1432"/>
      <c r="AA233" s="1432"/>
      <c r="AB233" s="1432"/>
      <c r="AC233" s="1432"/>
      <c r="AD233" s="1432"/>
      <c r="AE233" s="1432"/>
      <c r="BB233" s="119" t="s">
        <v>1105</v>
      </c>
      <c r="BG233" s="152">
        <f>IF(AND(AND($M$249="nonprofit",$M$257="for profit",$M$265="nonprofit")),2,0)</f>
        <v>0</v>
      </c>
    </row>
    <row r="234" spans="1:69" ht="13" customHeight="1">
      <c r="D234" s="2" t="s">
        <v>980</v>
      </c>
      <c r="E234" s="2"/>
      <c r="M234" s="1432" t="s">
        <v>1113</v>
      </c>
      <c r="N234" s="1432"/>
      <c r="O234" s="1432"/>
      <c r="P234" s="1432"/>
      <c r="Q234" s="1432"/>
      <c r="R234" s="1432"/>
      <c r="S234" s="1432"/>
      <c r="T234" s="1432"/>
      <c r="V234" s="840" t="s">
        <v>1114</v>
      </c>
      <c r="W234" s="1434" t="s">
        <v>1115</v>
      </c>
      <c r="X234" s="1434"/>
      <c r="Y234" s="2" t="s">
        <v>986</v>
      </c>
      <c r="AC234" s="1432">
        <v>10168</v>
      </c>
      <c r="AD234" s="1432"/>
      <c r="AE234" s="1432"/>
      <c r="AU234" s="2"/>
      <c r="AV234" s="2"/>
      <c r="AW234" s="2"/>
      <c r="AX234" s="2"/>
      <c r="AY234" s="2"/>
      <c r="AZ234" s="2"/>
      <c r="BB234" s="119" t="s">
        <v>1105</v>
      </c>
      <c r="BG234" s="151">
        <f>IF(AND(AND($M$249="for profit",$M$257="nonprofit",$M$265="nonprofit")),2,0)</f>
        <v>0</v>
      </c>
      <c r="BO234" s="2"/>
    </row>
    <row r="235" spans="1:69" ht="13" customHeight="1">
      <c r="D235" s="2" t="s">
        <v>1116</v>
      </c>
      <c r="E235" s="2"/>
      <c r="F235" s="2"/>
      <c r="G235" s="2"/>
      <c r="H235" s="2"/>
      <c r="I235" s="2"/>
      <c r="J235" s="2"/>
      <c r="K235" s="1031"/>
      <c r="M235" s="1432" t="s">
        <v>1117</v>
      </c>
      <c r="N235" s="1432"/>
      <c r="O235" s="1432"/>
      <c r="P235" s="1432"/>
      <c r="Q235" s="1432"/>
      <c r="R235" s="1432"/>
      <c r="S235" s="1432"/>
      <c r="T235" s="1432"/>
      <c r="U235" s="1432"/>
      <c r="V235" s="1432"/>
      <c r="W235" s="1432"/>
      <c r="X235" s="1432"/>
      <c r="Y235" s="1432"/>
      <c r="Z235" s="1432"/>
      <c r="AA235" s="1432"/>
      <c r="AB235" s="1432"/>
      <c r="AC235" s="1432"/>
      <c r="AD235" s="1432"/>
      <c r="AE235" s="1432"/>
      <c r="AI235" s="2"/>
      <c r="AJ235" s="2"/>
      <c r="AK235" s="2"/>
      <c r="AL235" s="2"/>
      <c r="AM235" s="2"/>
      <c r="AN235" s="2"/>
      <c r="AO235" s="2"/>
      <c r="AP235" s="2"/>
      <c r="AQ235" s="2"/>
      <c r="AR235" s="2"/>
      <c r="AS235" s="2"/>
      <c r="AT235" s="2"/>
      <c r="BB235" s="119"/>
      <c r="BG235" s="118"/>
    </row>
    <row r="236" spans="1:69" ht="13" customHeight="1">
      <c r="D236" s="2" t="s">
        <v>1118</v>
      </c>
      <c r="E236" s="2"/>
      <c r="F236" s="2"/>
      <c r="M236" s="1418" t="s">
        <v>1119</v>
      </c>
      <c r="N236" s="1418"/>
      <c r="O236" s="1418"/>
      <c r="P236" s="1418"/>
      <c r="Q236" s="1418"/>
      <c r="R236" s="1418"/>
      <c r="S236" s="2" t="s">
        <v>1120</v>
      </c>
      <c r="T236" s="2"/>
      <c r="U236" s="1434"/>
      <c r="V236" s="1434"/>
      <c r="W236" s="1434"/>
      <c r="X236" s="2" t="s">
        <v>1121</v>
      </c>
      <c r="Z236" s="1418"/>
      <c r="AA236" s="1418"/>
      <c r="AB236" s="1418"/>
      <c r="AC236" s="1418"/>
      <c r="AD236" s="1418"/>
      <c r="AE236" s="1418"/>
      <c r="AU236" s="2"/>
      <c r="AV236" s="2"/>
      <c r="AW236" s="2"/>
      <c r="AX236" s="2"/>
      <c r="AY236" s="2"/>
      <c r="AZ236" s="2"/>
      <c r="BB236" s="118" t="s">
        <v>1122</v>
      </c>
      <c r="BG236" s="152">
        <f>IF(AND(AND($M$249="nonprofit",$M$257="nonprofit",$M$265="(select one)")),1,0)</f>
        <v>0</v>
      </c>
    </row>
    <row r="237" spans="1:69" ht="13" customHeight="1">
      <c r="D237" s="2" t="s">
        <v>1123</v>
      </c>
      <c r="E237" s="2"/>
      <c r="F237" s="2"/>
      <c r="M237" s="1494" t="s">
        <v>1124</v>
      </c>
      <c r="N237" s="1494"/>
      <c r="O237" s="1494"/>
      <c r="P237" s="1494"/>
      <c r="Q237" s="1494"/>
      <c r="R237" s="1494"/>
      <c r="S237" s="1494"/>
      <c r="T237" s="1494"/>
      <c r="U237" s="1494"/>
      <c r="V237" s="1494"/>
      <c r="W237" s="1494"/>
      <c r="X237" s="1494"/>
      <c r="Y237" s="1494"/>
      <c r="Z237" s="1494"/>
      <c r="AA237" s="1494"/>
      <c r="AB237" s="1494"/>
      <c r="AC237" s="1494"/>
      <c r="AD237" s="1494"/>
      <c r="AE237" s="1494"/>
      <c r="AF237" s="2"/>
      <c r="AG237" s="2"/>
      <c r="AH237" s="2"/>
      <c r="AI237" s="2"/>
      <c r="AJ237" s="2"/>
      <c r="AK237" s="2"/>
      <c r="AL237" s="2"/>
      <c r="AM237" s="2"/>
      <c r="AN237" s="2"/>
      <c r="AO237" s="2"/>
      <c r="AP237" s="2"/>
      <c r="AQ237" s="2"/>
      <c r="AR237" s="2"/>
      <c r="AS237" s="2"/>
      <c r="AT237" s="2"/>
      <c r="AU237" s="2"/>
      <c r="AV237" s="2"/>
      <c r="AW237" s="2"/>
      <c r="AX237" s="2"/>
      <c r="AY237" s="2"/>
      <c r="BB237" s="118" t="s">
        <v>1122</v>
      </c>
      <c r="BG237" s="152">
        <f>IF(AND(AND($M$249="nonprofit",$M$257="nonprofit",$M$265="nonprofit")),1,0)</f>
        <v>0</v>
      </c>
    </row>
    <row r="238" spans="1:69" ht="13" customHeight="1">
      <c r="A238" s="1" t="s">
        <v>1040</v>
      </c>
      <c r="C238" s="1" t="s">
        <v>1125</v>
      </c>
      <c r="M238" s="1353" t="s">
        <v>1094</v>
      </c>
      <c r="N238" s="1353"/>
      <c r="O238" s="1353"/>
      <c r="P238" s="1353"/>
      <c r="Q238" s="1353"/>
      <c r="R238" s="1353"/>
      <c r="S238" s="1353"/>
      <c r="T238" s="1353"/>
      <c r="U238" s="118" t="s">
        <v>1126</v>
      </c>
      <c r="V238" s="118"/>
      <c r="W238" s="118"/>
      <c r="X238" s="118"/>
      <c r="Y238" s="118"/>
      <c r="Z238" s="118"/>
      <c r="AA238" s="1504"/>
      <c r="AB238" s="1504"/>
      <c r="AC238" s="1504"/>
      <c r="AD238" s="1504"/>
      <c r="AE238" s="1504"/>
      <c r="AF238" s="1504"/>
      <c r="AG238" s="1504"/>
      <c r="AH238" s="1504"/>
      <c r="AI238" s="1504"/>
      <c r="AJ238" s="1504"/>
      <c r="AK238" s="1504"/>
      <c r="AL238" s="2"/>
      <c r="AM238" s="2"/>
      <c r="AN238" s="2"/>
      <c r="AO238" s="2"/>
      <c r="AP238" s="2"/>
      <c r="AQ238" s="2"/>
      <c r="AR238" s="2"/>
      <c r="AS238" s="2"/>
      <c r="AT238" s="2"/>
      <c r="AU238" s="2"/>
      <c r="AV238" s="2"/>
      <c r="AW238" s="2"/>
      <c r="AX238" s="2"/>
      <c r="AY238" s="2"/>
      <c r="BB238" s="118" t="s">
        <v>1122</v>
      </c>
      <c r="BG238" s="152">
        <f>IF(AND(AND($M$249="nonprofit",$M$257="(select one)",$M$265="(select one)")),1,0)</f>
        <v>0</v>
      </c>
      <c r="BN238" s="2"/>
    </row>
    <row r="239" spans="1:69" ht="13" customHeight="1">
      <c r="D239" t="s">
        <v>1127</v>
      </c>
      <c r="M239" s="1405"/>
      <c r="N239" s="1405"/>
      <c r="O239" s="1405"/>
      <c r="P239" s="1405"/>
      <c r="Q239" s="1405"/>
      <c r="R239" s="1405"/>
      <c r="S239" s="1405"/>
      <c r="T239" s="1405"/>
      <c r="U239" s="1405"/>
      <c r="V239" s="1405"/>
      <c r="W239" s="1405"/>
      <c r="X239" s="1405"/>
      <c r="Y239" s="1405"/>
      <c r="Z239" s="1405"/>
      <c r="AA239" s="1405"/>
      <c r="AB239" s="1405"/>
      <c r="AC239" s="1405"/>
      <c r="AD239" s="1405"/>
      <c r="AE239" s="1405"/>
      <c r="AF239" s="2"/>
      <c r="AG239" s="2"/>
      <c r="AH239" s="2"/>
      <c r="AI239" s="2"/>
      <c r="AJ239" s="2"/>
      <c r="AK239" s="2"/>
      <c r="AL239" s="2"/>
      <c r="AM239" s="2"/>
      <c r="AN239" s="2"/>
      <c r="AO239" s="2"/>
      <c r="AP239" s="2"/>
      <c r="AQ239" s="2"/>
      <c r="AR239" s="2"/>
      <c r="AS239" s="2"/>
      <c r="AT239" s="2"/>
      <c r="BB239" s="118" t="s">
        <v>1128</v>
      </c>
      <c r="BG239" s="152">
        <f>IF(AND(AND($M$249="for profit",$M$257="for profit",$M$265="(select one)")),3,0)</f>
        <v>0</v>
      </c>
    </row>
    <row r="240" spans="1:69" ht="13" customHeight="1">
      <c r="D240" s="2"/>
      <c r="BB240" s="118" t="s">
        <v>1128</v>
      </c>
      <c r="BG240" s="152">
        <f>IF(AND(AND($M$249="for profit",$M$257="for profit",$M$265="for profit")),3,0)</f>
        <v>0</v>
      </c>
    </row>
    <row r="241" spans="1:71" ht="13" customHeight="1">
      <c r="A241" s="1" t="s">
        <v>1058</v>
      </c>
      <c r="C241" s="1" t="s">
        <v>1129</v>
      </c>
      <c r="D241" s="2"/>
      <c r="L241" s="7"/>
      <c r="M241" s="7"/>
      <c r="N241" s="7"/>
      <c r="AU241" s="2"/>
      <c r="AV241" s="2"/>
      <c r="AW241" s="2"/>
      <c r="AX241" s="2"/>
      <c r="AY241" s="2"/>
      <c r="BB241" s="118" t="s">
        <v>1128</v>
      </c>
      <c r="BG241" s="152">
        <f>IF(AND(AND($M$249="for profit",$M$257="(select one)",$M$265="(select one)")),3,0)</f>
        <v>0</v>
      </c>
    </row>
    <row r="242" spans="1:71" ht="13"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 customHeight="1">
      <c r="A243" s="1031"/>
      <c r="B243" s="2"/>
      <c r="C243" s="38" t="s">
        <v>1130</v>
      </c>
      <c r="D243" s="2" t="s">
        <v>1131</v>
      </c>
      <c r="E243" s="2"/>
      <c r="F243" s="2"/>
      <c r="G243" s="2"/>
      <c r="H243" s="2"/>
      <c r="I243" s="2"/>
      <c r="J243" s="2"/>
      <c r="K243" s="2"/>
      <c r="L243" s="2"/>
      <c r="M243" s="1496" t="s">
        <v>1132</v>
      </c>
      <c r="N243" s="1496"/>
      <c r="O243" s="1496"/>
      <c r="P243" s="1496"/>
      <c r="Q243" s="1496"/>
      <c r="R243" s="1496"/>
      <c r="S243" s="1496"/>
      <c r="T243" s="1496"/>
      <c r="U243" s="1496"/>
      <c r="V243" s="1496"/>
      <c r="W243" s="1496"/>
      <c r="X243" s="1496"/>
      <c r="Y243" s="1496"/>
      <c r="Z243" s="1496"/>
      <c r="AA243" s="1496"/>
      <c r="AB243" s="1496"/>
      <c r="AC243" s="1496"/>
      <c r="AD243" s="1496"/>
      <c r="AE243" s="1496"/>
      <c r="AF243" s="1496" t="s">
        <v>1133</v>
      </c>
      <c r="AG243" s="1496"/>
      <c r="AH243" s="1496"/>
      <c r="AI243" s="1496"/>
      <c r="AJ243" s="1496"/>
      <c r="AK243" s="1496"/>
      <c r="AU243" s="2"/>
      <c r="AV243" s="2"/>
      <c r="AW243" s="2"/>
      <c r="AX243" s="2"/>
      <c r="AY243" s="2"/>
      <c r="BG243">
        <f>SUM(BG226:BG241)</f>
        <v>2</v>
      </c>
    </row>
    <row r="244" spans="1:71" ht="13" customHeight="1">
      <c r="A244" s="1031"/>
      <c r="B244" s="2"/>
      <c r="C244" s="2"/>
      <c r="D244" s="2" t="s">
        <v>1111</v>
      </c>
      <c r="E244" s="2"/>
      <c r="F244" s="2"/>
      <c r="G244" s="2"/>
      <c r="H244" s="2"/>
      <c r="I244" s="2"/>
      <c r="J244" s="2"/>
      <c r="K244" s="2"/>
      <c r="L244" s="2"/>
      <c r="M244" s="1432" t="s">
        <v>1134</v>
      </c>
      <c r="N244" s="1432"/>
      <c r="O244" s="1432"/>
      <c r="P244" s="1432"/>
      <c r="Q244" s="1432"/>
      <c r="R244" s="1432"/>
      <c r="S244" s="1432"/>
      <c r="T244" s="1432"/>
      <c r="U244" s="1432"/>
      <c r="V244" s="1432"/>
      <c r="W244" s="1432"/>
      <c r="X244" s="1432"/>
      <c r="Y244" s="1432"/>
      <c r="Z244" s="1432"/>
      <c r="AA244" s="1432"/>
      <c r="AB244" s="1432"/>
      <c r="AC244" s="1432"/>
      <c r="AD244" s="1432"/>
      <c r="AE244" s="1432"/>
      <c r="AF244" s="2" t="s">
        <v>1135</v>
      </c>
      <c r="AL244" s="2"/>
      <c r="AM244" s="2"/>
      <c r="AN244" s="2"/>
      <c r="AO244" s="2"/>
      <c r="AP244" s="2"/>
      <c r="AQ244" s="2"/>
      <c r="AR244" s="2"/>
      <c r="AS244" s="2"/>
      <c r="AT244" s="2"/>
      <c r="BB244" t="s">
        <v>294</v>
      </c>
      <c r="BG244">
        <v>1</v>
      </c>
      <c r="BH244" t="s">
        <v>1136</v>
      </c>
    </row>
    <row r="245" spans="1:71" ht="13" customHeight="1">
      <c r="A245" s="1031"/>
      <c r="B245" s="2"/>
      <c r="C245" s="2"/>
      <c r="D245" s="2" t="s">
        <v>980</v>
      </c>
      <c r="E245" s="2"/>
      <c r="M245" s="1432" t="s">
        <v>1137</v>
      </c>
      <c r="N245" s="1432"/>
      <c r="O245" s="1432"/>
      <c r="P245" s="1432"/>
      <c r="Q245" s="1432"/>
      <c r="R245" s="1432"/>
      <c r="S245" s="1432"/>
      <c r="T245" s="1432"/>
      <c r="V245" s="840" t="s">
        <v>1114</v>
      </c>
      <c r="W245" s="1434" t="s">
        <v>1138</v>
      </c>
      <c r="X245" s="1434"/>
      <c r="Y245" s="2" t="s">
        <v>986</v>
      </c>
      <c r="AC245" s="1432">
        <v>94538</v>
      </c>
      <c r="AD245" s="1432"/>
      <c r="AE245" s="1432"/>
      <c r="AF245" s="2" t="s">
        <v>1139</v>
      </c>
      <c r="AU245" s="2"/>
      <c r="AV245" s="2"/>
      <c r="AW245" s="2"/>
      <c r="AX245" s="2"/>
      <c r="AY245" s="2"/>
      <c r="BB245" s="2" t="s">
        <v>1140</v>
      </c>
      <c r="BG245">
        <v>2</v>
      </c>
      <c r="BH245" t="s">
        <v>1092</v>
      </c>
      <c r="BO245" s="1033" t="str">
        <f>VLOOKUP(BG243,BG244:BH247,2,FALSE)</f>
        <v>Joint Venture</v>
      </c>
    </row>
    <row r="246" spans="1:71" ht="13" customHeight="1">
      <c r="A246" s="1031"/>
      <c r="B246" s="2"/>
      <c r="C246" s="2"/>
      <c r="D246" s="2" t="s">
        <v>1116</v>
      </c>
      <c r="E246" s="2"/>
      <c r="F246" s="2"/>
      <c r="G246" s="2"/>
      <c r="H246" s="2"/>
      <c r="I246" s="2"/>
      <c r="J246" s="2"/>
      <c r="K246" s="2"/>
      <c r="L246" s="1031"/>
      <c r="M246" s="1432" t="s">
        <v>864</v>
      </c>
      <c r="N246" s="1432"/>
      <c r="O246" s="1432"/>
      <c r="P246" s="1432"/>
      <c r="Q246" s="1432"/>
      <c r="R246" s="1432"/>
      <c r="S246" s="1432"/>
      <c r="T246" s="1432"/>
      <c r="U246" s="1432"/>
      <c r="V246" s="1432"/>
      <c r="W246" s="1432"/>
      <c r="X246" s="1432"/>
      <c r="Y246" s="1432"/>
      <c r="Z246" s="1432"/>
      <c r="AA246" s="1432"/>
      <c r="AB246" s="1432"/>
      <c r="AC246" s="1432"/>
      <c r="AD246" s="1432"/>
      <c r="AE246" s="1432"/>
      <c r="AH246" s="1431">
        <v>4.8999999999999998E-4</v>
      </c>
      <c r="AI246" s="1431"/>
      <c r="AJ246" s="1431"/>
      <c r="AK246" s="1431"/>
      <c r="AL246" s="2"/>
      <c r="AM246" s="2"/>
      <c r="AN246" s="2"/>
      <c r="AO246" s="2"/>
      <c r="AP246" s="2"/>
      <c r="AQ246" s="2"/>
      <c r="AR246" s="2"/>
      <c r="AS246" s="2"/>
      <c r="AT246" s="2"/>
      <c r="BB246" s="2" t="s">
        <v>1141</v>
      </c>
      <c r="BG246">
        <v>3</v>
      </c>
      <c r="BH246" t="s">
        <v>1142</v>
      </c>
      <c r="BN246" s="2"/>
    </row>
    <row r="247" spans="1:71" ht="13" customHeight="1">
      <c r="A247" s="1031"/>
      <c r="B247" s="2"/>
      <c r="C247" s="2"/>
      <c r="D247" s="2" t="s">
        <v>1118</v>
      </c>
      <c r="E247" s="2"/>
      <c r="F247" s="2"/>
      <c r="M247" s="1418" t="s">
        <v>1143</v>
      </c>
      <c r="N247" s="1418"/>
      <c r="O247" s="1418"/>
      <c r="P247" s="1418"/>
      <c r="Q247" s="1418"/>
      <c r="R247" s="1418"/>
      <c r="S247" s="2" t="s">
        <v>1120</v>
      </c>
      <c r="T247" s="2"/>
      <c r="U247" s="1434"/>
      <c r="V247" s="1434"/>
      <c r="W247" s="1434"/>
      <c r="X247" s="2" t="s">
        <v>1121</v>
      </c>
      <c r="Z247" s="1418"/>
      <c r="AA247" s="1418"/>
      <c r="AB247" s="1418"/>
      <c r="AC247" s="1418"/>
      <c r="AD247" s="1418"/>
      <c r="AE247" s="1418"/>
      <c r="AU247" s="2"/>
      <c r="AV247" s="2"/>
      <c r="AW247" s="2"/>
      <c r="AX247" s="2"/>
      <c r="AY247" s="2"/>
      <c r="BG247">
        <v>0</v>
      </c>
      <c r="BH247" s="2"/>
      <c r="BN247" s="2"/>
    </row>
    <row r="248" spans="1:71" ht="13" customHeight="1">
      <c r="A248" s="1031"/>
      <c r="B248" s="2"/>
      <c r="C248" s="2"/>
      <c r="D248" s="2" t="s">
        <v>1123</v>
      </c>
      <c r="E248" s="2"/>
      <c r="F248" s="2"/>
      <c r="M248" s="1494" t="s">
        <v>1144</v>
      </c>
      <c r="N248" s="1494"/>
      <c r="O248" s="1494"/>
      <c r="P248" s="1494"/>
      <c r="Q248" s="1494"/>
      <c r="R248" s="1494"/>
      <c r="S248" s="1494"/>
      <c r="T248" s="1494"/>
      <c r="U248" s="1494"/>
      <c r="V248" s="1494"/>
      <c r="W248" s="1494"/>
      <c r="X248" s="1494"/>
      <c r="Y248" s="1494"/>
      <c r="Z248" s="1494"/>
      <c r="AA248" s="1494"/>
      <c r="AB248" s="1494"/>
      <c r="AC248" s="1494"/>
      <c r="AD248" s="1494"/>
      <c r="AE248" s="1494"/>
      <c r="AG248" s="2"/>
      <c r="AH248" s="2"/>
      <c r="AI248" s="2"/>
      <c r="AJ248" s="2"/>
      <c r="AK248" s="2"/>
      <c r="AL248" s="2"/>
      <c r="AM248" s="2"/>
      <c r="AN248" s="2"/>
      <c r="AO248" s="2"/>
      <c r="AP248" s="2"/>
      <c r="AQ248" s="2"/>
      <c r="AR248" s="2"/>
      <c r="AS248" s="2"/>
      <c r="AT248" s="2"/>
      <c r="BN248" s="2"/>
    </row>
    <row r="249" spans="1:71" ht="13" customHeight="1">
      <c r="A249" s="1118"/>
      <c r="B249" s="2"/>
      <c r="C249" s="38"/>
      <c r="D249" s="2" t="s">
        <v>1145</v>
      </c>
      <c r="E249" s="2"/>
      <c r="F249" s="2"/>
      <c r="G249" s="2"/>
      <c r="H249" s="2"/>
      <c r="I249" s="2"/>
      <c r="J249" s="2"/>
      <c r="K249" s="2"/>
      <c r="L249" s="2"/>
      <c r="M249" s="1353" t="s">
        <v>1136</v>
      </c>
      <c r="N249" s="1353"/>
      <c r="O249" s="1353"/>
      <c r="P249" s="1353"/>
      <c r="Q249" s="1353"/>
      <c r="R249" s="1353"/>
      <c r="S249" s="1353"/>
      <c r="T249" s="1353"/>
      <c r="U249" s="118" t="s">
        <v>1126</v>
      </c>
      <c r="V249" s="118"/>
      <c r="W249" s="118"/>
      <c r="X249" s="118"/>
      <c r="Y249" s="118"/>
      <c r="Z249" s="118"/>
      <c r="AA249" s="1503" t="s">
        <v>1146</v>
      </c>
      <c r="AB249" s="1504"/>
      <c r="AC249" s="1504"/>
      <c r="AD249" s="1504"/>
      <c r="AE249" s="1504"/>
      <c r="AF249" s="1504"/>
      <c r="AG249" s="1504"/>
      <c r="AH249" s="1504"/>
      <c r="AI249" s="1504"/>
      <c r="AJ249" s="1504"/>
      <c r="AK249" s="1504"/>
      <c r="BN249" s="2"/>
    </row>
    <row r="250" spans="1:71" ht="13" customHeight="1">
      <c r="A250" s="1031"/>
      <c r="B250" s="2"/>
      <c r="C250" s="2"/>
      <c r="D250" s="2"/>
      <c r="E250" s="2"/>
      <c r="F250" s="2"/>
      <c r="G250" s="2"/>
      <c r="H250" s="2"/>
      <c r="I250" s="2"/>
      <c r="J250" s="2"/>
      <c r="K250" s="2"/>
      <c r="L250" s="2"/>
      <c r="AG250" s="2"/>
      <c r="AH250" s="2"/>
      <c r="AI250" s="2"/>
      <c r="AJ250" s="2"/>
      <c r="BN250" s="2"/>
    </row>
    <row r="251" spans="1:71" ht="13" customHeight="1">
      <c r="A251" s="1"/>
      <c r="B251" s="2"/>
      <c r="C251" s="38" t="s">
        <v>1147</v>
      </c>
      <c r="D251" s="2" t="s">
        <v>1148</v>
      </c>
      <c r="E251" s="2"/>
      <c r="F251" s="2"/>
      <c r="G251" s="2"/>
      <c r="H251" s="2"/>
      <c r="I251" s="2"/>
      <c r="J251" s="2"/>
      <c r="K251" s="2"/>
      <c r="L251" s="2"/>
      <c r="M251" s="1496" t="s">
        <v>1149</v>
      </c>
      <c r="N251" s="1496"/>
      <c r="O251" s="1496"/>
      <c r="P251" s="1496"/>
      <c r="Q251" s="1496"/>
      <c r="R251" s="1496"/>
      <c r="S251" s="1496"/>
      <c r="T251" s="1496"/>
      <c r="U251" s="1496"/>
      <c r="V251" s="1496"/>
      <c r="W251" s="1496"/>
      <c r="X251" s="1496"/>
      <c r="Y251" s="1496"/>
      <c r="Z251" s="1496"/>
      <c r="AA251" s="1496"/>
      <c r="AB251" s="1496"/>
      <c r="AC251" s="1496"/>
      <c r="AD251" s="1496"/>
      <c r="AE251" s="1496"/>
      <c r="AF251" s="1496" t="s">
        <v>1150</v>
      </c>
      <c r="AG251" s="1496"/>
      <c r="AH251" s="1496"/>
      <c r="AI251" s="1496"/>
      <c r="AJ251" s="1496"/>
      <c r="AK251" s="1496"/>
      <c r="AU251" s="2"/>
      <c r="AV251" s="2"/>
      <c r="AW251" s="2"/>
      <c r="AX251" s="2"/>
      <c r="AY251" s="2"/>
      <c r="BN251" s="2"/>
    </row>
    <row r="252" spans="1:71" ht="13" customHeight="1">
      <c r="A252" s="1031"/>
      <c r="B252" s="2"/>
      <c r="C252" s="2"/>
      <c r="D252" s="2" t="s">
        <v>1111</v>
      </c>
      <c r="E252" s="2"/>
      <c r="F252" s="2"/>
      <c r="G252" s="2"/>
      <c r="H252" s="2"/>
      <c r="I252" s="2"/>
      <c r="J252" s="2"/>
      <c r="K252" s="2"/>
      <c r="L252" s="2"/>
      <c r="M252" s="1432" t="s">
        <v>1112</v>
      </c>
      <c r="N252" s="1432"/>
      <c r="O252" s="1432"/>
      <c r="P252" s="1432"/>
      <c r="Q252" s="1432"/>
      <c r="R252" s="1432"/>
      <c r="S252" s="1432"/>
      <c r="T252" s="1432"/>
      <c r="U252" s="1432"/>
      <c r="V252" s="1432"/>
      <c r="W252" s="1432"/>
      <c r="X252" s="1432"/>
      <c r="Y252" s="1432"/>
      <c r="Z252" s="1432"/>
      <c r="AA252" s="1432"/>
      <c r="AB252" s="1432"/>
      <c r="AC252" s="1432"/>
      <c r="AD252" s="1432"/>
      <c r="AE252" s="1432"/>
      <c r="AF252" s="2" t="s">
        <v>1135</v>
      </c>
      <c r="AL252" s="2"/>
      <c r="AM252" s="2"/>
      <c r="AN252" s="2"/>
      <c r="AO252" s="2"/>
      <c r="AP252" s="2"/>
      <c r="AQ252" s="2"/>
      <c r="AR252" s="2"/>
      <c r="AS252" s="2"/>
      <c r="AT252" s="2"/>
      <c r="BN252" s="2"/>
    </row>
    <row r="253" spans="1:71" ht="13" customHeight="1">
      <c r="A253" s="1031"/>
      <c r="B253" s="2"/>
      <c r="C253" s="2"/>
      <c r="D253" s="2" t="s">
        <v>980</v>
      </c>
      <c r="E253" s="2"/>
      <c r="M253" s="1432" t="s">
        <v>1113</v>
      </c>
      <c r="N253" s="1432"/>
      <c r="O253" s="1432"/>
      <c r="P253" s="1432"/>
      <c r="Q253" s="1432"/>
      <c r="R253" s="1432"/>
      <c r="S253" s="1432"/>
      <c r="T253" s="1432"/>
      <c r="V253" s="840" t="s">
        <v>1114</v>
      </c>
      <c r="W253" s="1434" t="s">
        <v>1115</v>
      </c>
      <c r="X253" s="1434"/>
      <c r="Y253" s="2" t="s">
        <v>986</v>
      </c>
      <c r="AC253" s="1432">
        <v>10168</v>
      </c>
      <c r="AD253" s="1432"/>
      <c r="AE253" s="1432"/>
      <c r="AF253" s="2" t="s">
        <v>1139</v>
      </c>
      <c r="AU253" s="2"/>
      <c r="AV253" s="2"/>
      <c r="AW253" s="2"/>
      <c r="AX253" s="2"/>
      <c r="AY253" s="2"/>
      <c r="BN253" s="2"/>
    </row>
    <row r="254" spans="1:71" ht="13" customHeight="1">
      <c r="A254" s="1031"/>
      <c r="B254" s="2"/>
      <c r="C254" s="2"/>
      <c r="D254" s="2" t="s">
        <v>1116</v>
      </c>
      <c r="E254" s="2"/>
      <c r="F254" s="2"/>
      <c r="G254" s="2"/>
      <c r="H254" s="2"/>
      <c r="I254" s="2"/>
      <c r="J254" s="2"/>
      <c r="K254" s="2"/>
      <c r="L254" s="1031"/>
      <c r="M254" s="1432" t="s">
        <v>1117</v>
      </c>
      <c r="N254" s="1432"/>
      <c r="O254" s="1432"/>
      <c r="P254" s="1432"/>
      <c r="Q254" s="1432"/>
      <c r="R254" s="1432"/>
      <c r="S254" s="1432"/>
      <c r="T254" s="1432"/>
      <c r="U254" s="1432"/>
      <c r="V254" s="1432"/>
      <c r="W254" s="1432"/>
      <c r="X254" s="1432"/>
      <c r="Y254" s="1432"/>
      <c r="Z254" s="1432"/>
      <c r="AA254" s="1432"/>
      <c r="AB254" s="1432"/>
      <c r="AC254" s="1432"/>
      <c r="AD254" s="1432"/>
      <c r="AE254" s="1432"/>
      <c r="AH254" s="1431">
        <v>5.1000000000000004E-4</v>
      </c>
      <c r="AI254" s="1431"/>
      <c r="AJ254" s="1431"/>
      <c r="AK254" s="1431"/>
      <c r="AL254" s="2"/>
      <c r="AM254" s="2"/>
      <c r="AN254" s="2"/>
      <c r="AO254" s="2"/>
      <c r="AP254" s="2"/>
      <c r="AQ254" s="2"/>
      <c r="AR254" s="2"/>
      <c r="AS254" s="2"/>
      <c r="AT254" s="2"/>
    </row>
    <row r="255" spans="1:71" ht="13" customHeight="1">
      <c r="A255" s="1031"/>
      <c r="B255" s="2"/>
      <c r="C255" s="2"/>
      <c r="D255" s="2" t="s">
        <v>1118</v>
      </c>
      <c r="E255" s="2"/>
      <c r="F255" s="2"/>
      <c r="M255" s="1418" t="s">
        <v>1119</v>
      </c>
      <c r="N255" s="1418"/>
      <c r="O255" s="1418"/>
      <c r="P255" s="1418"/>
      <c r="Q255" s="1418"/>
      <c r="R255" s="1418"/>
      <c r="S255" s="2" t="s">
        <v>1120</v>
      </c>
      <c r="T255" s="2"/>
      <c r="U255" s="1434"/>
      <c r="V255" s="1434"/>
      <c r="W255" s="1434"/>
      <c r="X255" s="2" t="s">
        <v>1121</v>
      </c>
      <c r="Z255" s="1418"/>
      <c r="AA255" s="1418"/>
      <c r="AB255" s="1418"/>
      <c r="AC255" s="1418"/>
      <c r="AD255" s="1418"/>
      <c r="AE255" s="1418"/>
      <c r="AU255" s="2"/>
      <c r="AV255" s="2"/>
      <c r="AW255" s="2"/>
      <c r="AX255" s="2"/>
      <c r="AY255" s="2"/>
      <c r="BN255" s="2"/>
    </row>
    <row r="256" spans="1:71" ht="13" customHeight="1">
      <c r="A256" s="1031"/>
      <c r="B256" s="2"/>
      <c r="C256" s="2"/>
      <c r="D256" s="2" t="s">
        <v>1123</v>
      </c>
      <c r="E256" s="2"/>
      <c r="F256" s="2"/>
      <c r="M256" s="1494" t="s">
        <v>1124</v>
      </c>
      <c r="N256" s="1494"/>
      <c r="O256" s="1494"/>
      <c r="P256" s="1494"/>
      <c r="Q256" s="1494"/>
      <c r="R256" s="1494"/>
      <c r="S256" s="1494"/>
      <c r="T256" s="1494"/>
      <c r="U256" s="1494"/>
      <c r="V256" s="1494"/>
      <c r="W256" s="1494"/>
      <c r="X256" s="1494"/>
      <c r="Y256" s="1494"/>
      <c r="Z256" s="1494"/>
      <c r="AA256" s="1494"/>
      <c r="AB256" s="1494"/>
      <c r="AC256" s="1494"/>
      <c r="AD256" s="1494"/>
      <c r="AE256" s="1494"/>
      <c r="AG256" s="2"/>
      <c r="AH256" s="2"/>
      <c r="AI256" s="2"/>
      <c r="AJ256" s="2"/>
      <c r="AK256" s="2"/>
      <c r="AL256" s="2"/>
      <c r="AM256" s="2"/>
      <c r="AN256" s="2"/>
      <c r="AO256" s="2"/>
      <c r="AP256" s="2"/>
      <c r="AQ256" s="2"/>
      <c r="AR256" s="2"/>
      <c r="AS256" s="2"/>
      <c r="AT256" s="2"/>
      <c r="AU256" s="2"/>
      <c r="AV256" s="2"/>
      <c r="AW256" s="2"/>
      <c r="AX256" s="2"/>
      <c r="AY256" s="2"/>
      <c r="BN256" s="2"/>
    </row>
    <row r="257" spans="1:66" ht="13" customHeight="1">
      <c r="A257" s="1118"/>
      <c r="B257" s="2"/>
      <c r="C257" s="38"/>
      <c r="D257" s="2" t="s">
        <v>1145</v>
      </c>
      <c r="E257" s="2"/>
      <c r="F257" s="2"/>
      <c r="G257" s="2"/>
      <c r="H257" s="2"/>
      <c r="I257" s="2"/>
      <c r="J257" s="2"/>
      <c r="K257" s="2"/>
      <c r="L257" s="2"/>
      <c r="M257" s="1353" t="s">
        <v>1142</v>
      </c>
      <c r="N257" s="1353"/>
      <c r="O257" s="1353"/>
      <c r="P257" s="1353"/>
      <c r="Q257" s="1353"/>
      <c r="R257" s="1353"/>
      <c r="S257" s="1353"/>
      <c r="T257" s="1353"/>
      <c r="U257" s="118" t="s">
        <v>1126</v>
      </c>
      <c r="V257" s="118"/>
      <c r="W257" s="118"/>
      <c r="X257" s="118"/>
      <c r="Y257" s="118"/>
      <c r="Z257" s="118"/>
      <c r="AA257" s="1504"/>
      <c r="AB257" s="1504"/>
      <c r="AC257" s="1504"/>
      <c r="AD257" s="1504"/>
      <c r="AE257" s="1504"/>
      <c r="AF257" s="1504"/>
      <c r="AG257" s="1504"/>
      <c r="AH257" s="1504"/>
      <c r="AI257" s="1504"/>
      <c r="AJ257" s="1504"/>
      <c r="AK257" s="1504"/>
      <c r="AL257" s="2"/>
      <c r="AM257" s="2"/>
      <c r="AN257" s="2"/>
      <c r="AO257" s="2"/>
      <c r="AP257" s="2"/>
      <c r="AQ257" s="2"/>
      <c r="AR257" s="2"/>
      <c r="AS257" s="2"/>
      <c r="AT257" s="2"/>
      <c r="AU257" s="2"/>
      <c r="AV257" s="2"/>
      <c r="AW257" s="2"/>
      <c r="AX257" s="2"/>
      <c r="AY257" s="2"/>
      <c r="BN257" s="2"/>
    </row>
    <row r="258" spans="1:66" ht="13" customHeight="1">
      <c r="A258" s="1118"/>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 customHeight="1">
      <c r="A259" s="1118"/>
      <c r="B259" s="2"/>
      <c r="C259" s="38" t="s">
        <v>1151</v>
      </c>
      <c r="D259" s="2" t="s">
        <v>1131</v>
      </c>
      <c r="E259" s="2"/>
      <c r="F259" s="2"/>
      <c r="G259" s="2"/>
      <c r="H259" s="2"/>
      <c r="I259" s="2"/>
      <c r="J259" s="2"/>
      <c r="K259" s="2"/>
      <c r="L259" s="2"/>
      <c r="M259" s="1496"/>
      <c r="N259" s="1496"/>
      <c r="O259" s="1496"/>
      <c r="P259" s="1496"/>
      <c r="Q259" s="1496"/>
      <c r="R259" s="1496"/>
      <c r="S259" s="1496"/>
      <c r="T259" s="1496"/>
      <c r="U259" s="1496"/>
      <c r="V259" s="1496"/>
      <c r="W259" s="1496"/>
      <c r="X259" s="1496"/>
      <c r="Y259" s="1496"/>
      <c r="Z259" s="1496"/>
      <c r="AA259" s="1496"/>
      <c r="AB259" s="1496"/>
      <c r="AC259" s="1496"/>
      <c r="AD259" s="1496"/>
      <c r="AE259" s="1496"/>
      <c r="AF259" s="1496" t="s">
        <v>294</v>
      </c>
      <c r="AG259" s="1496"/>
      <c r="AH259" s="1496"/>
      <c r="AI259" s="1496"/>
      <c r="AJ259" s="1496"/>
      <c r="AK259" s="1496"/>
      <c r="AL259" s="2"/>
      <c r="AM259" s="2"/>
      <c r="AN259" s="2"/>
      <c r="AO259" s="2"/>
      <c r="AP259" s="2"/>
      <c r="AQ259" s="2"/>
      <c r="AR259" s="2"/>
      <c r="AS259" s="2"/>
      <c r="AT259" s="2"/>
      <c r="AU259" s="2"/>
      <c r="AV259" s="2"/>
      <c r="AW259" s="2"/>
      <c r="AX259" s="2"/>
      <c r="AY259" s="2"/>
      <c r="BN259" s="2"/>
    </row>
    <row r="260" spans="1:66" ht="13" customHeight="1">
      <c r="A260" s="1118"/>
      <c r="B260" s="2"/>
      <c r="C260" s="2"/>
      <c r="D260" s="2" t="s">
        <v>1111</v>
      </c>
      <c r="E260" s="2"/>
      <c r="F260" s="2"/>
      <c r="G260" s="2"/>
      <c r="H260" s="2"/>
      <c r="I260" s="2"/>
      <c r="J260" s="2"/>
      <c r="K260" s="2"/>
      <c r="L260" s="2"/>
      <c r="M260" s="1432"/>
      <c r="N260" s="1432"/>
      <c r="O260" s="1432"/>
      <c r="P260" s="1432"/>
      <c r="Q260" s="1432"/>
      <c r="R260" s="1432"/>
      <c r="S260" s="1432"/>
      <c r="T260" s="1432"/>
      <c r="U260" s="1432"/>
      <c r="V260" s="1432"/>
      <c r="W260" s="1432"/>
      <c r="X260" s="1432"/>
      <c r="Y260" s="1432"/>
      <c r="Z260" s="1432"/>
      <c r="AA260" s="1432"/>
      <c r="AB260" s="1432"/>
      <c r="AC260" s="1432"/>
      <c r="AD260" s="1432"/>
      <c r="AE260" s="1432"/>
      <c r="AF260" s="2" t="s">
        <v>1135</v>
      </c>
      <c r="AL260" s="2"/>
      <c r="AM260" s="2"/>
      <c r="AN260" s="2"/>
      <c r="AO260" s="2"/>
      <c r="AP260" s="2"/>
      <c r="AQ260" s="2"/>
      <c r="AR260" s="2"/>
      <c r="AS260" s="2"/>
      <c r="AT260" s="2"/>
      <c r="AU260" s="2"/>
      <c r="AV260" s="2"/>
      <c r="AW260" s="2"/>
      <c r="AX260" s="2"/>
      <c r="AY260" s="2"/>
      <c r="BN260" s="2"/>
    </row>
    <row r="261" spans="1:66" ht="13" customHeight="1">
      <c r="A261" s="1118"/>
      <c r="B261" s="2"/>
      <c r="C261" s="2"/>
      <c r="D261" s="2" t="s">
        <v>980</v>
      </c>
      <c r="E261" s="2"/>
      <c r="M261" s="1432"/>
      <c r="N261" s="1432"/>
      <c r="O261" s="1432"/>
      <c r="P261" s="1432"/>
      <c r="Q261" s="1432"/>
      <c r="R261" s="1432"/>
      <c r="S261" s="1432"/>
      <c r="T261" s="1432"/>
      <c r="V261" s="840" t="s">
        <v>1114</v>
      </c>
      <c r="W261" s="1434"/>
      <c r="X261" s="1434"/>
      <c r="Y261" s="2" t="s">
        <v>986</v>
      </c>
      <c r="AC261" s="1432"/>
      <c r="AD261" s="1432"/>
      <c r="AE261" s="1432"/>
      <c r="AF261" s="2" t="s">
        <v>1139</v>
      </c>
      <c r="AL261" s="2"/>
      <c r="AM261" s="2"/>
      <c r="AN261" s="2"/>
      <c r="AO261" s="2"/>
      <c r="AP261" s="2"/>
      <c r="AQ261" s="2"/>
      <c r="AR261" s="2"/>
      <c r="AS261" s="2"/>
      <c r="AT261" s="2"/>
      <c r="AU261" s="2"/>
      <c r="AV261" s="2"/>
      <c r="AW261" s="2"/>
      <c r="AX261" s="2"/>
      <c r="AY261" s="2"/>
      <c r="BN261" s="2"/>
    </row>
    <row r="262" spans="1:66" ht="13" customHeight="1">
      <c r="A262" s="1118"/>
      <c r="B262" s="2"/>
      <c r="C262" s="2"/>
      <c r="D262" s="2" t="s">
        <v>1116</v>
      </c>
      <c r="E262" s="2"/>
      <c r="F262" s="2"/>
      <c r="G262" s="2"/>
      <c r="H262" s="2"/>
      <c r="I262" s="2"/>
      <c r="J262" s="2"/>
      <c r="K262" s="2"/>
      <c r="L262" s="1031"/>
      <c r="M262" s="1432"/>
      <c r="N262" s="1432"/>
      <c r="O262" s="1432"/>
      <c r="P262" s="1432"/>
      <c r="Q262" s="1432"/>
      <c r="R262" s="1432"/>
      <c r="S262" s="1432"/>
      <c r="T262" s="1432"/>
      <c r="U262" s="1432"/>
      <c r="V262" s="1432"/>
      <c r="W262" s="1432"/>
      <c r="X262" s="1432"/>
      <c r="Y262" s="1432"/>
      <c r="Z262" s="1432"/>
      <c r="AA262" s="1432"/>
      <c r="AB262" s="1432"/>
      <c r="AC262" s="1432"/>
      <c r="AD262" s="1432"/>
      <c r="AE262" s="1432"/>
      <c r="AH262" s="1431"/>
      <c r="AI262" s="1431"/>
      <c r="AJ262" s="1431"/>
      <c r="AK262" s="1431"/>
      <c r="AL262" s="2"/>
      <c r="AM262" s="2"/>
      <c r="AN262" s="2"/>
      <c r="AO262" s="2"/>
      <c r="AP262" s="2"/>
      <c r="AQ262" s="2"/>
      <c r="AR262" s="2"/>
      <c r="AS262" s="2"/>
      <c r="AT262" s="2"/>
      <c r="AU262" s="2"/>
      <c r="AV262" s="2"/>
      <c r="AW262" s="2"/>
      <c r="AX262" s="2"/>
      <c r="AY262" s="2"/>
      <c r="BN262" s="2"/>
    </row>
    <row r="263" spans="1:66" ht="13" customHeight="1">
      <c r="A263" s="1118"/>
      <c r="B263" s="2"/>
      <c r="C263" s="2"/>
      <c r="D263" s="2" t="s">
        <v>1118</v>
      </c>
      <c r="E263" s="2"/>
      <c r="F263" s="2"/>
      <c r="M263" s="1418"/>
      <c r="N263" s="1418"/>
      <c r="O263" s="1418"/>
      <c r="P263" s="1418"/>
      <c r="Q263" s="1418"/>
      <c r="R263" s="1418"/>
      <c r="S263" s="2" t="s">
        <v>1120</v>
      </c>
      <c r="T263" s="2"/>
      <c r="U263" s="1434"/>
      <c r="V263" s="1434"/>
      <c r="W263" s="1434"/>
      <c r="X263" s="2" t="s">
        <v>1121</v>
      </c>
      <c r="Z263" s="1418"/>
      <c r="AA263" s="1418"/>
      <c r="AB263" s="1418"/>
      <c r="AC263" s="1418"/>
      <c r="AD263" s="1418"/>
      <c r="AE263" s="1418"/>
      <c r="AL263" s="2"/>
      <c r="AM263" s="2"/>
      <c r="AN263" s="2"/>
      <c r="AO263" s="2"/>
      <c r="AP263" s="2"/>
      <c r="AQ263" s="2"/>
      <c r="AR263" s="2"/>
      <c r="AS263" s="2"/>
      <c r="AT263" s="2"/>
      <c r="AU263" s="2"/>
      <c r="AV263" s="2"/>
      <c r="AW263" s="2"/>
      <c r="AX263" s="2"/>
      <c r="AY263" s="2"/>
      <c r="BN263" s="2"/>
    </row>
    <row r="264" spans="1:66" ht="13" customHeight="1">
      <c r="A264" s="1118"/>
      <c r="B264" s="2"/>
      <c r="C264" s="2"/>
      <c r="D264" s="2" t="s">
        <v>1123</v>
      </c>
      <c r="E264" s="2"/>
      <c r="F264" s="2"/>
      <c r="M264" s="1494"/>
      <c r="N264" s="1494"/>
      <c r="O264" s="1494"/>
      <c r="P264" s="1494"/>
      <c r="Q264" s="1494"/>
      <c r="R264" s="1494"/>
      <c r="S264" s="1494"/>
      <c r="T264" s="1494"/>
      <c r="U264" s="1494"/>
      <c r="V264" s="1494"/>
      <c r="W264" s="1494"/>
      <c r="X264" s="1494"/>
      <c r="Y264" s="1494"/>
      <c r="Z264" s="1494"/>
      <c r="AA264" s="1495"/>
      <c r="AB264" s="1495"/>
      <c r="AC264" s="1495"/>
      <c r="AD264" s="1495"/>
      <c r="AE264" s="1495"/>
      <c r="AG264" s="2"/>
      <c r="AH264" s="2"/>
      <c r="AI264" s="2"/>
      <c r="AJ264" s="2"/>
      <c r="AK264" s="2"/>
      <c r="AL264" s="2"/>
      <c r="AM264" s="2"/>
      <c r="AN264" s="2"/>
      <c r="AO264" s="2"/>
      <c r="AP264" s="2"/>
      <c r="AQ264" s="2"/>
      <c r="AR264" s="2"/>
      <c r="AS264" s="2"/>
      <c r="AT264" s="2"/>
      <c r="AU264" s="2"/>
      <c r="AV264" s="2"/>
      <c r="AW264" s="2"/>
      <c r="AX264" s="2"/>
      <c r="AY264" s="2"/>
      <c r="BN264" s="2"/>
    </row>
    <row r="265" spans="1:66" ht="13" customHeight="1">
      <c r="A265" s="1118"/>
      <c r="B265" s="2"/>
      <c r="C265" s="38"/>
      <c r="D265" s="2" t="s">
        <v>1145</v>
      </c>
      <c r="E265" s="2"/>
      <c r="F265" s="2"/>
      <c r="G265" s="2"/>
      <c r="H265" s="2"/>
      <c r="I265" s="2"/>
      <c r="J265" s="2"/>
      <c r="K265" s="2"/>
      <c r="L265" s="2"/>
      <c r="M265" s="1353" t="s">
        <v>294</v>
      </c>
      <c r="N265" s="1353"/>
      <c r="O265" s="1353"/>
      <c r="P265" s="1353"/>
      <c r="Q265" s="1353"/>
      <c r="R265" s="1353"/>
      <c r="S265" s="1353"/>
      <c r="T265" s="1353"/>
      <c r="U265" s="118" t="s">
        <v>1126</v>
      </c>
      <c r="V265" s="118"/>
      <c r="W265" s="118"/>
      <c r="X265" s="118"/>
      <c r="Y265" s="118"/>
      <c r="Z265" s="118"/>
      <c r="AA265" s="1506"/>
      <c r="AB265" s="1506"/>
      <c r="AC265" s="1506"/>
      <c r="AD265" s="1506"/>
      <c r="AE265" s="1506"/>
      <c r="AF265" s="1506"/>
      <c r="AG265" s="1506"/>
      <c r="AH265" s="1506"/>
      <c r="AI265" s="1506"/>
      <c r="AJ265" s="1506"/>
      <c r="AK265" s="1506"/>
      <c r="AL265" s="2"/>
      <c r="AM265" s="2"/>
      <c r="AN265" s="2"/>
      <c r="AO265" s="2"/>
      <c r="AP265" s="2"/>
      <c r="AQ265" s="2"/>
      <c r="AR265" s="2"/>
      <c r="AS265" s="2"/>
      <c r="AT265" s="2"/>
      <c r="BN265" s="2"/>
    </row>
    <row r="266" spans="1:66" ht="13" customHeight="1">
      <c r="A266" s="1031"/>
      <c r="B266" s="2"/>
      <c r="C266" s="2"/>
      <c r="D266" s="2"/>
      <c r="E266" s="2"/>
      <c r="F266" s="2"/>
      <c r="J266" s="94"/>
      <c r="K266" s="68"/>
      <c r="L266" s="68"/>
      <c r="M266" s="68"/>
      <c r="N266" s="68"/>
      <c r="O266" s="68"/>
      <c r="P266" s="68"/>
      <c r="Q266" s="68"/>
      <c r="R266" s="68"/>
      <c r="S266" s="68"/>
      <c r="T266" s="68"/>
      <c r="U266" s="68"/>
      <c r="V266" s="68"/>
      <c r="W266" s="68"/>
      <c r="X266" s="68"/>
      <c r="Y266" s="68"/>
      <c r="AD266" s="33"/>
      <c r="AE266" s="33"/>
      <c r="BN266" s="2"/>
    </row>
    <row r="267" spans="1:66" ht="13" customHeight="1">
      <c r="A267" s="1109" t="s">
        <v>1070</v>
      </c>
      <c r="B267" s="2"/>
      <c r="C267" s="1" t="s">
        <v>1152</v>
      </c>
      <c r="D267" s="2"/>
      <c r="E267" s="2"/>
      <c r="F267" s="2"/>
      <c r="G267" s="2"/>
      <c r="H267" s="2"/>
      <c r="I267" s="2"/>
      <c r="J267" s="2"/>
      <c r="K267" s="2"/>
      <c r="L267" s="2"/>
      <c r="M267" s="68"/>
      <c r="N267" s="68"/>
      <c r="O267" s="68"/>
      <c r="P267" s="68"/>
      <c r="Q267" s="68"/>
      <c r="T267" s="1505" t="str">
        <f>IFERROR(BO245,"")</f>
        <v>Joint Venture</v>
      </c>
      <c r="U267" s="1505"/>
      <c r="V267" s="1505"/>
      <c r="W267" s="1505"/>
      <c r="X267" s="1505"/>
      <c r="Z267" s="203" t="s">
        <v>1153</v>
      </c>
      <c r="AA267" s="204"/>
      <c r="AB267" s="204"/>
      <c r="AC267" s="204"/>
      <c r="AD267" s="205"/>
      <c r="AE267" s="205"/>
      <c r="AF267" s="205"/>
      <c r="AG267" s="205"/>
      <c r="AH267" s="205"/>
      <c r="AI267" s="205"/>
      <c r="AJ267" s="205"/>
      <c r="AK267" s="205"/>
      <c r="AL267" s="39"/>
      <c r="BN267" s="2"/>
    </row>
    <row r="268" spans="1:66" ht="13" customHeight="1">
      <c r="A268" s="1"/>
      <c r="B268" s="2"/>
      <c r="C268" s="1"/>
      <c r="I268" s="2"/>
      <c r="J268" s="2"/>
      <c r="K268" s="2"/>
      <c r="L268" s="2"/>
      <c r="M268" s="68"/>
      <c r="N268" s="68"/>
      <c r="O268" s="68"/>
      <c r="P268" s="68"/>
      <c r="Q268" s="68"/>
      <c r="T268" s="2"/>
      <c r="U268" s="2"/>
      <c r="V268" s="2"/>
      <c r="W268" s="68"/>
      <c r="Z268" s="206" t="s">
        <v>1154</v>
      </c>
      <c r="AF268" s="2"/>
      <c r="AG268" s="2"/>
      <c r="AH268" s="2"/>
      <c r="AI268" s="2"/>
      <c r="AJ268" s="2"/>
      <c r="AL268" s="42"/>
      <c r="BN268" s="2"/>
    </row>
    <row r="269" spans="1:66" ht="13" customHeight="1">
      <c r="A269" s="1" t="s">
        <v>1096</v>
      </c>
      <c r="B269" s="2"/>
      <c r="C269" s="1" t="s">
        <v>123</v>
      </c>
      <c r="D269" s="2"/>
      <c r="E269" s="2"/>
      <c r="F269" s="2"/>
      <c r="G269" s="2"/>
      <c r="H269" s="2"/>
      <c r="I269" s="2"/>
      <c r="J269" s="2"/>
      <c r="K269" s="2"/>
      <c r="L269" s="2"/>
      <c r="M269" s="2"/>
      <c r="N269" s="2"/>
      <c r="O269" s="2"/>
      <c r="P269" s="2"/>
      <c r="Q269" s="2"/>
      <c r="R269" s="2"/>
      <c r="S269" s="2"/>
      <c r="T269" s="2"/>
      <c r="U269" s="2"/>
      <c r="V269" s="2"/>
      <c r="W269" s="2"/>
      <c r="Z269" s="207" t="s">
        <v>1155</v>
      </c>
      <c r="AA269" s="33"/>
      <c r="AB269" s="33"/>
      <c r="AC269" s="33"/>
      <c r="AD269" s="33"/>
      <c r="AE269" s="33"/>
      <c r="AF269" s="729"/>
      <c r="AG269" s="729"/>
      <c r="AH269" s="729"/>
      <c r="AI269" s="729"/>
      <c r="AJ269" s="729"/>
      <c r="AK269" s="33"/>
      <c r="AL269" s="34"/>
      <c r="BN269" s="2"/>
    </row>
    <row r="270" spans="1:66" ht="13" customHeight="1">
      <c r="A270" s="2"/>
      <c r="B270" s="27">
        <v>0</v>
      </c>
      <c r="D270" s="1432" t="s">
        <v>1140</v>
      </c>
      <c r="E270" s="1432"/>
      <c r="F270" s="1432"/>
      <c r="G270" s="1432"/>
      <c r="H270" s="1432"/>
      <c r="J270" t="s">
        <v>1156</v>
      </c>
      <c r="X270" s="1433"/>
      <c r="Y270" s="1433"/>
      <c r="Z270" s="1433"/>
      <c r="AA270" s="1433"/>
      <c r="AB270" s="1433"/>
      <c r="AC270" s="1433"/>
      <c r="AU270" s="2"/>
      <c r="AV270" s="2"/>
      <c r="AW270" s="2"/>
      <c r="AX270" s="2"/>
      <c r="AY270" s="2"/>
      <c r="BN270" s="2"/>
    </row>
    <row r="271" spans="1:66" ht="13" customHeight="1">
      <c r="A271" s="2"/>
      <c r="B271" s="1031"/>
      <c r="D271" s="28" t="s">
        <v>1157</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41"/>
      <c r="AA272" s="1141"/>
      <c r="AB272" s="1141"/>
      <c r="AC272" s="1141"/>
      <c r="AD272" s="1141"/>
      <c r="AE272" s="2"/>
      <c r="AK272" s="2"/>
      <c r="AL272" s="2"/>
      <c r="AM272" s="2"/>
      <c r="AN272" s="2"/>
      <c r="AO272" s="2"/>
      <c r="AP272" s="2"/>
      <c r="AQ272" s="2"/>
      <c r="AR272" s="2"/>
      <c r="AS272" s="2"/>
      <c r="AT272" s="2"/>
      <c r="BN272" s="2"/>
    </row>
    <row r="273" spans="1:66" ht="13" customHeight="1">
      <c r="A273" s="1" t="s">
        <v>1158</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 customHeight="1">
      <c r="D274" s="2" t="s">
        <v>1159</v>
      </c>
      <c r="E274" s="2"/>
      <c r="F274" s="2"/>
      <c r="G274" s="2"/>
      <c r="H274" s="2"/>
      <c r="I274" s="2"/>
      <c r="J274" s="2"/>
      <c r="K274" s="2"/>
      <c r="L274" s="1496" t="s">
        <v>1160</v>
      </c>
      <c r="M274" s="1496"/>
      <c r="N274" s="1496"/>
      <c r="O274" s="1496"/>
      <c r="P274" s="1496"/>
      <c r="Q274" s="1496"/>
      <c r="R274" s="1496"/>
      <c r="S274" s="1496"/>
      <c r="T274" s="1496"/>
      <c r="U274" s="1496"/>
      <c r="V274" s="1496"/>
      <c r="W274" s="1496"/>
      <c r="X274" s="1496"/>
      <c r="Y274" s="1496"/>
      <c r="Z274" s="1496"/>
      <c r="AA274" s="1496"/>
      <c r="AB274" s="1496"/>
      <c r="AC274" s="1496"/>
      <c r="AD274" s="1496"/>
      <c r="AE274" s="1496"/>
      <c r="AF274" s="1496"/>
      <c r="AG274" s="1496"/>
      <c r="AH274" s="1496"/>
      <c r="AI274" s="1496"/>
      <c r="AJ274" s="1496"/>
      <c r="AK274" s="2"/>
      <c r="AL274" s="2"/>
      <c r="AM274" s="2"/>
      <c r="AN274" s="2"/>
      <c r="AO274" s="2"/>
      <c r="AP274" s="2"/>
      <c r="AQ274" s="2"/>
      <c r="AR274" s="2"/>
      <c r="AS274" s="2"/>
      <c r="AT274" s="2"/>
      <c r="AU274" s="2"/>
      <c r="AV274" s="2"/>
      <c r="AW274" s="2"/>
      <c r="AX274" s="2"/>
      <c r="AY274" s="2"/>
      <c r="BN274" s="2"/>
    </row>
    <row r="275" spans="1:66" ht="13" customHeight="1">
      <c r="D275" s="2" t="s">
        <v>1111</v>
      </c>
      <c r="E275" s="2"/>
      <c r="F275" s="2"/>
      <c r="G275" s="2"/>
      <c r="H275" s="2"/>
      <c r="I275" s="2"/>
      <c r="J275" s="2"/>
      <c r="K275" s="2"/>
      <c r="L275" s="1432" t="s">
        <v>1112</v>
      </c>
      <c r="M275" s="1432"/>
      <c r="N275" s="1432"/>
      <c r="O275" s="1432"/>
      <c r="P275" s="1432"/>
      <c r="Q275" s="1432"/>
      <c r="R275" s="1432"/>
      <c r="S275" s="1432"/>
      <c r="T275" s="1432"/>
      <c r="U275" s="1432"/>
      <c r="V275" s="1432"/>
      <c r="W275" s="1432"/>
      <c r="X275" s="1432"/>
      <c r="Y275" s="1432"/>
      <c r="Z275" s="1432"/>
      <c r="AA275" s="1432"/>
      <c r="AB275" s="1432"/>
      <c r="AC275" s="1432"/>
      <c r="AD275" s="1432"/>
      <c r="AK275" s="2"/>
      <c r="AL275" s="2"/>
      <c r="AM275" s="2"/>
      <c r="AN275" s="2"/>
      <c r="AO275" s="2"/>
      <c r="AP275" s="2"/>
      <c r="AQ275" s="2"/>
      <c r="AR275" s="2"/>
      <c r="AS275" s="2"/>
      <c r="AT275" s="2"/>
      <c r="AU275" s="2"/>
      <c r="AV275" s="2"/>
      <c r="AW275" s="2"/>
      <c r="AX275" s="2"/>
      <c r="AY275" s="2"/>
      <c r="BN275" s="2"/>
    </row>
    <row r="276" spans="1:66" ht="13" customHeight="1">
      <c r="D276" s="2" t="s">
        <v>980</v>
      </c>
      <c r="E276" s="2"/>
      <c r="L276" s="1432" t="s">
        <v>1113</v>
      </c>
      <c r="M276" s="1432"/>
      <c r="N276" s="1432"/>
      <c r="O276" s="1432"/>
      <c r="P276" s="1432"/>
      <c r="Q276" s="1432"/>
      <c r="R276" s="1432"/>
      <c r="S276" s="1432"/>
      <c r="U276" s="840" t="s">
        <v>1114</v>
      </c>
      <c r="V276" s="1434" t="s">
        <v>1115</v>
      </c>
      <c r="W276" s="1434"/>
      <c r="X276" s="2" t="s">
        <v>986</v>
      </c>
      <c r="AB276" s="1432">
        <v>10168</v>
      </c>
      <c r="AC276" s="1432"/>
      <c r="AD276" s="1432"/>
      <c r="AK276" s="2"/>
      <c r="AL276" s="2"/>
      <c r="AM276" s="2"/>
      <c r="AN276" s="2"/>
      <c r="AO276" s="2"/>
      <c r="AP276" s="2"/>
      <c r="AQ276" s="2"/>
      <c r="AR276" s="2"/>
      <c r="AS276" s="2"/>
      <c r="AT276" s="2"/>
      <c r="AU276" s="2"/>
      <c r="AV276" s="2"/>
      <c r="AW276" s="2"/>
      <c r="AX276" s="2"/>
      <c r="AY276" s="2"/>
      <c r="BN276" s="2"/>
    </row>
    <row r="277" spans="1:66" ht="13" customHeight="1">
      <c r="D277" s="2" t="s">
        <v>1116</v>
      </c>
      <c r="E277" s="2"/>
      <c r="F277" s="2"/>
      <c r="G277" s="2"/>
      <c r="H277" s="2"/>
      <c r="I277" s="2"/>
      <c r="J277" s="2"/>
      <c r="K277" s="1031"/>
      <c r="L277" s="1432" t="s">
        <v>1161</v>
      </c>
      <c r="M277" s="1432"/>
      <c r="N277" s="1432"/>
      <c r="O277" s="1432"/>
      <c r="P277" s="1432"/>
      <c r="Q277" s="1432"/>
      <c r="R277" s="1432"/>
      <c r="S277" s="1432"/>
      <c r="T277" s="1432"/>
      <c r="U277" s="1432"/>
      <c r="V277" s="1432"/>
      <c r="W277" s="1432"/>
      <c r="X277" s="1432"/>
      <c r="Y277" s="1432"/>
      <c r="Z277" s="1432"/>
      <c r="AA277" s="1432"/>
      <c r="AB277" s="1432"/>
      <c r="AC277" s="1432"/>
      <c r="AD277" s="1432"/>
      <c r="AI277" s="2"/>
      <c r="AJ277" s="2"/>
      <c r="AK277" s="2"/>
      <c r="AL277" s="2"/>
      <c r="AM277" s="2"/>
      <c r="AN277" s="2"/>
      <c r="AO277" s="2"/>
      <c r="AP277" s="2"/>
      <c r="AQ277" s="2"/>
      <c r="AR277" s="2"/>
      <c r="AS277" s="2"/>
      <c r="AT277" s="2"/>
      <c r="BN277" s="2"/>
    </row>
    <row r="278" spans="1:66" ht="13" customHeight="1">
      <c r="D278" s="2" t="s">
        <v>1118</v>
      </c>
      <c r="E278" s="2"/>
      <c r="F278" s="2"/>
      <c r="L278" s="1418" t="s">
        <v>1162</v>
      </c>
      <c r="M278" s="1418"/>
      <c r="N278" s="1418"/>
      <c r="O278" s="1418"/>
      <c r="P278" s="1418"/>
      <c r="Q278" s="1418"/>
      <c r="R278" s="2" t="s">
        <v>1120</v>
      </c>
      <c r="S278" s="2"/>
      <c r="T278" s="1434"/>
      <c r="U278" s="1434"/>
      <c r="V278" s="1434"/>
      <c r="W278" s="2" t="s">
        <v>1121</v>
      </c>
      <c r="Y278" s="1418"/>
      <c r="Z278" s="1418"/>
      <c r="AA278" s="1418"/>
      <c r="AB278" s="1418"/>
      <c r="AC278" s="1418"/>
      <c r="AD278" s="1418"/>
      <c r="BN278" s="2"/>
    </row>
    <row r="279" spans="1:66" ht="13" customHeight="1">
      <c r="D279" s="2" t="s">
        <v>1123</v>
      </c>
      <c r="E279" s="2"/>
      <c r="F279" s="2"/>
      <c r="L279" s="1494" t="s">
        <v>1163</v>
      </c>
      <c r="M279" s="1494"/>
      <c r="N279" s="1494"/>
      <c r="O279" s="1494"/>
      <c r="P279" s="1494"/>
      <c r="Q279" s="1494"/>
      <c r="R279" s="1494"/>
      <c r="S279" s="1494"/>
      <c r="T279" s="1494"/>
      <c r="U279" s="1494"/>
      <c r="V279" s="1494"/>
      <c r="W279" s="1494"/>
      <c r="X279" s="1494"/>
      <c r="Y279" s="1494"/>
      <c r="Z279" s="1494"/>
      <c r="AA279" s="1494"/>
      <c r="AB279" s="1494"/>
      <c r="AC279" s="1494"/>
      <c r="AD279" s="1494"/>
      <c r="AF279" s="2"/>
      <c r="AG279" s="2"/>
      <c r="AH279" s="2"/>
      <c r="AI279" s="2"/>
      <c r="AJ279" s="2"/>
      <c r="AU279" s="2"/>
      <c r="AV279" s="2"/>
      <c r="AW279" s="2"/>
      <c r="AX279" s="2"/>
      <c r="AY279" s="2"/>
      <c r="BN279" s="2"/>
    </row>
    <row r="280" spans="1:66" ht="13" customHeight="1">
      <c r="D280" s="2" t="s">
        <v>1164</v>
      </c>
      <c r="E280" s="2"/>
      <c r="F280" s="2"/>
      <c r="G280" s="2"/>
      <c r="H280" s="2"/>
      <c r="I280" s="2"/>
      <c r="L280" s="1434" t="s">
        <v>1165</v>
      </c>
      <c r="M280" s="1434"/>
      <c r="N280" s="1434"/>
      <c r="O280" s="1434"/>
      <c r="P280" s="1434"/>
      <c r="Q280" s="1434"/>
      <c r="R280" s="1434"/>
      <c r="S280" s="1434"/>
      <c r="T280" s="1434"/>
      <c r="U280" s="1434"/>
      <c r="V280" s="1434"/>
      <c r="W280" s="1434"/>
      <c r="X280" s="1434"/>
      <c r="Y280" s="1434"/>
      <c r="Z280" s="1434"/>
      <c r="AA280" s="1434"/>
      <c r="AB280" s="1434"/>
      <c r="AC280" s="1434"/>
      <c r="AD280" s="1434"/>
      <c r="AK280" s="2"/>
      <c r="AL280" s="2"/>
      <c r="AM280" s="2"/>
      <c r="AN280" s="2"/>
      <c r="AO280" s="2"/>
      <c r="AP280" s="2"/>
      <c r="AQ280" s="2"/>
      <c r="AR280" s="2"/>
      <c r="AS280" s="2"/>
      <c r="AT280" s="2"/>
      <c r="BN280" s="2"/>
    </row>
    <row r="281" spans="1:66" ht="13" customHeight="1">
      <c r="L281" s="18" t="s">
        <v>1166</v>
      </c>
      <c r="AU281" s="54"/>
      <c r="AV281" s="54"/>
      <c r="AW281" s="54"/>
      <c r="AX281" s="54"/>
      <c r="AY281" s="54"/>
      <c r="BN281" s="2"/>
    </row>
    <row r="282" spans="1:66" ht="13" customHeight="1">
      <c r="A282" s="1427" t="s">
        <v>1167</v>
      </c>
      <c r="B282" s="1427"/>
      <c r="C282" s="1427"/>
      <c r="D282" s="1427"/>
      <c r="E282" s="1427"/>
      <c r="F282" s="1427"/>
      <c r="G282" s="1427"/>
      <c r="H282" s="1427"/>
      <c r="I282" s="1427"/>
      <c r="J282" s="1427"/>
      <c r="K282" s="1427"/>
      <c r="L282" s="1427"/>
      <c r="M282" s="1427"/>
      <c r="N282" s="1427"/>
      <c r="O282" s="1427"/>
      <c r="P282" s="1427"/>
      <c r="Q282" s="1427"/>
      <c r="R282" s="1427"/>
      <c r="S282" s="1427"/>
      <c r="T282" s="1427"/>
      <c r="U282" s="1427"/>
      <c r="V282" s="1427"/>
      <c r="W282" s="1427"/>
      <c r="X282" s="1427"/>
      <c r="Y282" s="1427"/>
      <c r="Z282" s="1427"/>
      <c r="AA282" s="1427"/>
      <c r="AB282" s="1427"/>
      <c r="AC282" s="1427"/>
      <c r="AD282" s="1427"/>
      <c r="AE282" s="1427"/>
      <c r="AF282" s="1427"/>
      <c r="AG282" s="1427"/>
      <c r="AH282" s="1427"/>
      <c r="AI282" s="1427"/>
      <c r="AJ282" s="1427"/>
      <c r="AK282" s="1427"/>
      <c r="AL282" s="1427"/>
      <c r="AM282" s="1427"/>
      <c r="AN282" s="1427"/>
      <c r="AO282" s="1427"/>
      <c r="AP282" s="1427"/>
      <c r="AQ282" s="1427"/>
      <c r="AR282" s="1427"/>
      <c r="AS282" s="1427"/>
      <c r="AT282" s="1427"/>
      <c r="AU282" s="54"/>
      <c r="AV282" s="54"/>
      <c r="AW282" s="54"/>
      <c r="AX282" s="54"/>
      <c r="AY282" s="54"/>
      <c r="BN282" s="2"/>
    </row>
    <row r="283" spans="1:66" ht="13" customHeight="1">
      <c r="A283" s="1427"/>
      <c r="B283" s="1427"/>
      <c r="C283" s="1427"/>
      <c r="D283" s="1427"/>
      <c r="E283" s="1427"/>
      <c r="F283" s="1427"/>
      <c r="G283" s="1427"/>
      <c r="H283" s="1427"/>
      <c r="I283" s="1427"/>
      <c r="J283" s="1427"/>
      <c r="K283" s="1427"/>
      <c r="L283" s="1427"/>
      <c r="M283" s="1427"/>
      <c r="N283" s="1427"/>
      <c r="O283" s="1427"/>
      <c r="P283" s="1427"/>
      <c r="Q283" s="1427"/>
      <c r="R283" s="1427"/>
      <c r="S283" s="1427"/>
      <c r="T283" s="1427"/>
      <c r="U283" s="1427"/>
      <c r="V283" s="1427"/>
      <c r="W283" s="1427"/>
      <c r="X283" s="1427"/>
      <c r="Y283" s="1427"/>
      <c r="Z283" s="1427"/>
      <c r="AA283" s="1427"/>
      <c r="AB283" s="1427"/>
      <c r="AC283" s="1427"/>
      <c r="AD283" s="1427"/>
      <c r="AE283" s="1427"/>
      <c r="AF283" s="1427"/>
      <c r="AG283" s="1427"/>
      <c r="AH283" s="1427"/>
      <c r="AI283" s="1427"/>
      <c r="AJ283" s="1427"/>
      <c r="AK283" s="1427"/>
      <c r="AL283" s="1427"/>
      <c r="AM283" s="1427"/>
      <c r="AN283" s="1427"/>
      <c r="AO283" s="1427"/>
      <c r="AP283" s="1427"/>
      <c r="AQ283" s="1427"/>
      <c r="AR283" s="1427"/>
      <c r="AS283" s="1427"/>
      <c r="AT283" s="1427"/>
      <c r="AU283" s="20"/>
      <c r="AV283" s="20"/>
      <c r="AW283" s="20"/>
      <c r="AX283" s="20"/>
      <c r="AY283" s="20"/>
      <c r="BN283" s="2"/>
    </row>
    <row r="284" spans="1:66" ht="13"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 customHeight="1">
      <c r="A285" s="1" t="s">
        <v>920</v>
      </c>
      <c r="C285" s="1" t="s">
        <v>1168</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 customHeight="1">
      <c r="B287" s="2" t="s">
        <v>1169</v>
      </c>
      <c r="C287" s="2"/>
      <c r="D287" s="2"/>
      <c r="E287" s="2"/>
      <c r="F287" s="2"/>
      <c r="H287" s="1405" t="s">
        <v>1160</v>
      </c>
      <c r="I287" s="1405"/>
      <c r="J287" s="1405"/>
      <c r="K287" s="1405"/>
      <c r="L287" s="1405"/>
      <c r="M287" s="1405"/>
      <c r="N287" s="1405"/>
      <c r="O287" s="1405"/>
      <c r="P287" s="1405"/>
      <c r="Q287" s="1405"/>
      <c r="R287" s="1405"/>
      <c r="T287" s="2" t="s">
        <v>1170</v>
      </c>
      <c r="V287" s="2"/>
      <c r="W287" s="2"/>
      <c r="X287" s="2"/>
      <c r="Y287" s="2"/>
      <c r="AA287" s="1405" t="s">
        <v>1171</v>
      </c>
      <c r="AB287" s="1405"/>
      <c r="AC287" s="1405"/>
      <c r="AD287" s="1405"/>
      <c r="AE287" s="1405"/>
      <c r="AF287" s="1405"/>
      <c r="AG287" s="1405"/>
      <c r="AH287" s="1405"/>
      <c r="AI287" s="1405"/>
      <c r="AJ287" s="1405"/>
      <c r="AK287" s="1405"/>
      <c r="BN287" s="2"/>
    </row>
    <row r="288" spans="1:66" ht="13" customHeight="1">
      <c r="B288" s="2" t="s">
        <v>1172</v>
      </c>
      <c r="C288" s="2"/>
      <c r="D288" s="2"/>
      <c r="E288" s="2"/>
      <c r="F288" s="2"/>
      <c r="H288" s="1353" t="s">
        <v>1112</v>
      </c>
      <c r="I288" s="1353"/>
      <c r="J288" s="1353"/>
      <c r="K288" s="1353"/>
      <c r="L288" s="1353"/>
      <c r="M288" s="1353"/>
      <c r="N288" s="1353"/>
      <c r="O288" s="1353"/>
      <c r="P288" s="1353"/>
      <c r="Q288" s="1353"/>
      <c r="R288" s="1353"/>
      <c r="T288" s="2" t="s">
        <v>1172</v>
      </c>
      <c r="V288" s="2"/>
      <c r="W288" s="2"/>
      <c r="X288" s="2"/>
      <c r="Y288" s="2"/>
      <c r="AA288" s="1353" t="s">
        <v>1173</v>
      </c>
      <c r="AB288" s="1353"/>
      <c r="AC288" s="1353"/>
      <c r="AD288" s="1353"/>
      <c r="AE288" s="1353"/>
      <c r="AF288" s="1353"/>
      <c r="AG288" s="1353"/>
      <c r="AH288" s="1353"/>
      <c r="AI288" s="1353"/>
      <c r="AJ288" s="1353"/>
      <c r="AK288" s="1353"/>
      <c r="BN288" s="2"/>
    </row>
    <row r="289" spans="2:66" ht="13" customHeight="1">
      <c r="B289" s="2" t="s">
        <v>1174</v>
      </c>
      <c r="C289" s="2"/>
      <c r="D289" s="2"/>
      <c r="E289" s="2"/>
      <c r="F289" s="2"/>
      <c r="H289" s="1353" t="s">
        <v>1175</v>
      </c>
      <c r="I289" s="1353"/>
      <c r="J289" s="1353"/>
      <c r="K289" s="1353"/>
      <c r="L289" s="1353"/>
      <c r="M289" s="1353"/>
      <c r="N289" s="1353"/>
      <c r="O289" s="1353"/>
      <c r="P289" s="1353"/>
      <c r="Q289" s="1353"/>
      <c r="R289" s="1353"/>
      <c r="T289" s="2" t="s">
        <v>1176</v>
      </c>
      <c r="V289" s="2"/>
      <c r="W289" s="2"/>
      <c r="X289" s="2"/>
      <c r="Y289" s="2"/>
      <c r="AA289" s="1353" t="s">
        <v>1177</v>
      </c>
      <c r="AB289" s="1353"/>
      <c r="AC289" s="1353"/>
      <c r="AD289" s="1353"/>
      <c r="AE289" s="1353"/>
      <c r="AF289" s="1353"/>
      <c r="AG289" s="1353"/>
      <c r="AH289" s="1353"/>
      <c r="AI289" s="1353"/>
      <c r="AJ289" s="1353"/>
      <c r="AK289" s="1353"/>
      <c r="BN289" s="2"/>
    </row>
    <row r="290" spans="2:66" ht="13" customHeight="1">
      <c r="B290" s="2" t="s">
        <v>1116</v>
      </c>
      <c r="C290" s="2"/>
      <c r="D290" s="2"/>
      <c r="E290" s="2"/>
      <c r="F290" s="2"/>
      <c r="H290" s="1353" t="s">
        <v>1117</v>
      </c>
      <c r="I290" s="1353"/>
      <c r="J290" s="1353"/>
      <c r="K290" s="1353"/>
      <c r="L290" s="1353"/>
      <c r="M290" s="1353"/>
      <c r="N290" s="1353"/>
      <c r="O290" s="1353"/>
      <c r="P290" s="1353"/>
      <c r="Q290" s="1353"/>
      <c r="R290" s="1353"/>
      <c r="T290" s="2" t="s">
        <v>1116</v>
      </c>
      <c r="V290" s="2"/>
      <c r="W290" s="2"/>
      <c r="X290" s="2"/>
      <c r="Y290" s="2"/>
      <c r="AA290" s="1353" t="s">
        <v>1178</v>
      </c>
      <c r="AB290" s="1353"/>
      <c r="AC290" s="1353"/>
      <c r="AD290" s="1353"/>
      <c r="AE290" s="1353"/>
      <c r="AF290" s="1353"/>
      <c r="AG290" s="1353"/>
      <c r="AH290" s="1353"/>
      <c r="AI290" s="1353"/>
      <c r="AJ290" s="1353"/>
      <c r="AK290" s="1353"/>
      <c r="BN290" s="2"/>
    </row>
    <row r="291" spans="2:66" ht="13" customHeight="1">
      <c r="B291" s="2" t="s">
        <v>1118</v>
      </c>
      <c r="C291" s="2"/>
      <c r="D291" s="2"/>
      <c r="E291" s="2"/>
      <c r="F291" s="2"/>
      <c r="G291" s="2"/>
      <c r="H291" s="1497" t="s">
        <v>1119</v>
      </c>
      <c r="I291" s="1497"/>
      <c r="J291" s="1497"/>
      <c r="K291" s="1497"/>
      <c r="L291" s="1497"/>
      <c r="M291" s="1497"/>
      <c r="N291" s="2" t="s">
        <v>1120</v>
      </c>
      <c r="O291" s="2"/>
      <c r="P291" s="1432"/>
      <c r="Q291" s="1432"/>
      <c r="R291" s="1432"/>
      <c r="S291" s="2"/>
      <c r="T291" s="2" t="s">
        <v>1118</v>
      </c>
      <c r="V291" s="2"/>
      <c r="W291" s="2"/>
      <c r="X291" s="2"/>
      <c r="Y291" s="2"/>
      <c r="AA291" s="1497" t="s">
        <v>1179</v>
      </c>
      <c r="AB291" s="1497"/>
      <c r="AC291" s="1497"/>
      <c r="AD291" s="1497"/>
      <c r="AE291" s="1497"/>
      <c r="AF291" s="1497"/>
      <c r="AG291" s="2" t="s">
        <v>1120</v>
      </c>
      <c r="AH291" s="2"/>
      <c r="AI291" s="1432"/>
      <c r="AJ291" s="1432"/>
      <c r="AK291" s="1432"/>
      <c r="BN291" s="2"/>
    </row>
    <row r="292" spans="2:66" ht="13" customHeight="1">
      <c r="B292" s="2" t="s">
        <v>1121</v>
      </c>
      <c r="C292" s="2"/>
      <c r="D292" s="2"/>
      <c r="E292" s="2"/>
      <c r="F292" s="2"/>
      <c r="G292" s="2"/>
      <c r="H292" s="1418"/>
      <c r="I292" s="1418"/>
      <c r="J292" s="1418"/>
      <c r="K292" s="1418"/>
      <c r="L292" s="1418"/>
      <c r="M292" s="1418"/>
      <c r="N292" s="2"/>
      <c r="O292" s="2"/>
      <c r="P292" s="68"/>
      <c r="Q292" s="68"/>
      <c r="R292" s="68"/>
      <c r="S292" s="2"/>
      <c r="T292" s="2" t="s">
        <v>1121</v>
      </c>
      <c r="V292" s="2"/>
      <c r="W292" s="2"/>
      <c r="X292" s="2"/>
      <c r="Y292" s="2"/>
      <c r="AA292" s="1418"/>
      <c r="AB292" s="1418"/>
      <c r="AC292" s="1418"/>
      <c r="AD292" s="1418"/>
      <c r="AE292" s="1418"/>
      <c r="AF292" s="1418"/>
      <c r="AG292" s="2"/>
      <c r="AH292" s="2"/>
      <c r="AI292" s="68"/>
      <c r="AJ292" s="68"/>
      <c r="AK292" s="68"/>
      <c r="BN292" s="2"/>
    </row>
    <row r="293" spans="2:66" ht="13" customHeight="1">
      <c r="B293" s="2" t="s">
        <v>1180</v>
      </c>
      <c r="C293" s="2"/>
      <c r="D293" s="2"/>
      <c r="E293" s="2"/>
      <c r="F293" s="2"/>
      <c r="G293" s="2"/>
      <c r="H293" s="1353" t="s">
        <v>1124</v>
      </c>
      <c r="I293" s="1353"/>
      <c r="J293" s="1353"/>
      <c r="K293" s="1353"/>
      <c r="L293" s="1353"/>
      <c r="M293" s="1353"/>
      <c r="N293" s="1405"/>
      <c r="O293" s="1405"/>
      <c r="P293" s="1405"/>
      <c r="Q293" s="1405"/>
      <c r="R293" s="1405"/>
      <c r="S293" s="2"/>
      <c r="T293" s="2" t="s">
        <v>1180</v>
      </c>
      <c r="V293" s="2"/>
      <c r="W293" s="2"/>
      <c r="X293" s="2"/>
      <c r="Y293" s="2"/>
      <c r="AA293" s="1353" t="s">
        <v>1181</v>
      </c>
      <c r="AB293" s="1353"/>
      <c r="AC293" s="1353"/>
      <c r="AD293" s="1353"/>
      <c r="AE293" s="1353"/>
      <c r="AF293" s="1353"/>
      <c r="AG293" s="1405"/>
      <c r="AH293" s="1405"/>
      <c r="AI293" s="1405"/>
      <c r="AJ293" s="1405"/>
      <c r="AK293" s="1405"/>
      <c r="BN293" s="2"/>
    </row>
    <row r="294" spans="2:66" ht="13"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 customHeight="1">
      <c r="B295" s="2" t="s">
        <v>1182</v>
      </c>
      <c r="C295" s="2"/>
      <c r="D295" s="2"/>
      <c r="E295" s="2"/>
      <c r="F295" s="2"/>
      <c r="H295" s="1405" t="s">
        <v>1183</v>
      </c>
      <c r="I295" s="1405"/>
      <c r="J295" s="1405"/>
      <c r="K295" s="1405"/>
      <c r="L295" s="1405"/>
      <c r="M295" s="1405"/>
      <c r="N295" s="1405"/>
      <c r="O295" s="1405"/>
      <c r="P295" s="1405"/>
      <c r="Q295" s="1405"/>
      <c r="R295" s="1405"/>
      <c r="T295" s="2" t="s">
        <v>1184</v>
      </c>
      <c r="V295" s="2"/>
      <c r="W295" s="2"/>
      <c r="X295" s="2"/>
      <c r="Y295" s="2"/>
      <c r="AA295" s="1405" t="s">
        <v>1185</v>
      </c>
      <c r="AB295" s="1405"/>
      <c r="AC295" s="1405"/>
      <c r="AD295" s="1405"/>
      <c r="AE295" s="1405"/>
      <c r="AF295" s="1405"/>
      <c r="AG295" s="1405"/>
      <c r="AH295" s="1405"/>
      <c r="AI295" s="1405"/>
      <c r="AJ295" s="1405"/>
      <c r="AK295" s="1405"/>
      <c r="BN295" s="2"/>
    </row>
    <row r="296" spans="2:66" ht="13" customHeight="1">
      <c r="B296" s="2" t="s">
        <v>1172</v>
      </c>
      <c r="C296" s="2"/>
      <c r="D296" s="2"/>
      <c r="E296" s="2"/>
      <c r="F296" s="2"/>
      <c r="H296" s="1353" t="s">
        <v>1186</v>
      </c>
      <c r="I296" s="1353"/>
      <c r="J296" s="1353"/>
      <c r="K296" s="1353"/>
      <c r="L296" s="1353"/>
      <c r="M296" s="1353"/>
      <c r="N296" s="1353"/>
      <c r="O296" s="1353"/>
      <c r="P296" s="1353"/>
      <c r="Q296" s="1353"/>
      <c r="R296" s="1353"/>
      <c r="T296" s="2" t="s">
        <v>1172</v>
      </c>
      <c r="V296" s="2"/>
      <c r="W296" s="2"/>
      <c r="X296" s="2"/>
      <c r="Y296" s="2"/>
      <c r="AA296" s="1353" t="s">
        <v>1187</v>
      </c>
      <c r="AB296" s="1353"/>
      <c r="AC296" s="1353"/>
      <c r="AD296" s="1353"/>
      <c r="AE296" s="1353"/>
      <c r="AF296" s="1353"/>
      <c r="AG296" s="1353"/>
      <c r="AH296" s="1353"/>
      <c r="AI296" s="1353"/>
      <c r="AJ296" s="1353"/>
      <c r="AK296" s="1353"/>
      <c r="BN296" s="2"/>
    </row>
    <row r="297" spans="2:66" ht="13" customHeight="1">
      <c r="B297" s="2" t="s">
        <v>1174</v>
      </c>
      <c r="C297" s="2"/>
      <c r="D297" s="2"/>
      <c r="E297" s="2"/>
      <c r="F297" s="2"/>
      <c r="H297" s="1353" t="s">
        <v>1188</v>
      </c>
      <c r="I297" s="1353"/>
      <c r="J297" s="1353"/>
      <c r="K297" s="1353"/>
      <c r="L297" s="1353"/>
      <c r="M297" s="1353"/>
      <c r="N297" s="1353"/>
      <c r="O297" s="1353"/>
      <c r="P297" s="1353"/>
      <c r="Q297" s="1353"/>
      <c r="R297" s="1353"/>
      <c r="T297" s="2" t="s">
        <v>1176</v>
      </c>
      <c r="V297" s="2"/>
      <c r="W297" s="2"/>
      <c r="X297" s="2"/>
      <c r="Y297" s="2"/>
      <c r="AA297" s="1353" t="s">
        <v>1189</v>
      </c>
      <c r="AB297" s="1353"/>
      <c r="AC297" s="1353"/>
      <c r="AD297" s="1353"/>
      <c r="AE297" s="1353"/>
      <c r="AF297" s="1353"/>
      <c r="AG297" s="1353"/>
      <c r="AH297" s="1353"/>
      <c r="AI297" s="1353"/>
      <c r="AJ297" s="1353"/>
      <c r="AK297" s="1353"/>
      <c r="BN297" s="2"/>
    </row>
    <row r="298" spans="2:66" ht="13" customHeight="1">
      <c r="B298" s="2" t="s">
        <v>1116</v>
      </c>
      <c r="C298" s="2"/>
      <c r="D298" s="2"/>
      <c r="E298" s="2"/>
      <c r="F298" s="2"/>
      <c r="H298" s="1353" t="s">
        <v>1190</v>
      </c>
      <c r="I298" s="1353"/>
      <c r="J298" s="1353"/>
      <c r="K298" s="1353"/>
      <c r="L298" s="1353"/>
      <c r="M298" s="1353"/>
      <c r="N298" s="1353"/>
      <c r="O298" s="1353"/>
      <c r="P298" s="1353"/>
      <c r="Q298" s="1353"/>
      <c r="R298" s="1353"/>
      <c r="T298" s="2" t="s">
        <v>1116</v>
      </c>
      <c r="V298" s="2"/>
      <c r="W298" s="2"/>
      <c r="X298" s="2"/>
      <c r="Y298" s="2"/>
      <c r="AA298" s="1353" t="s">
        <v>1191</v>
      </c>
      <c r="AB298" s="1353"/>
      <c r="AC298" s="1353"/>
      <c r="AD298" s="1353"/>
      <c r="AE298" s="1353"/>
      <c r="AF298" s="1353"/>
      <c r="AG298" s="1353"/>
      <c r="AH298" s="1353"/>
      <c r="AI298" s="1353"/>
      <c r="AJ298" s="1353"/>
      <c r="AK298" s="1353"/>
      <c r="BN298" s="2"/>
    </row>
    <row r="299" spans="2:66" ht="13" customHeight="1">
      <c r="B299" s="2" t="s">
        <v>1118</v>
      </c>
      <c r="C299" s="2"/>
      <c r="D299" s="2"/>
      <c r="E299" s="2"/>
      <c r="F299" s="2"/>
      <c r="G299" s="2"/>
      <c r="H299" s="1497" t="s">
        <v>1192</v>
      </c>
      <c r="I299" s="1497"/>
      <c r="J299" s="1497"/>
      <c r="K299" s="1497"/>
      <c r="L299" s="1497"/>
      <c r="M299" s="1497"/>
      <c r="N299" s="2" t="s">
        <v>1120</v>
      </c>
      <c r="O299" s="2"/>
      <c r="P299" s="1432"/>
      <c r="Q299" s="1432"/>
      <c r="R299" s="1432"/>
      <c r="S299" s="2"/>
      <c r="T299" s="2" t="s">
        <v>1118</v>
      </c>
      <c r="V299" s="2"/>
      <c r="W299" s="2"/>
      <c r="X299" s="2"/>
      <c r="Y299" s="2"/>
      <c r="AA299" s="1497" t="s">
        <v>1193</v>
      </c>
      <c r="AB299" s="1497"/>
      <c r="AC299" s="1497"/>
      <c r="AD299" s="1497"/>
      <c r="AE299" s="1497"/>
      <c r="AF299" s="1497"/>
      <c r="AG299" s="2" t="s">
        <v>1120</v>
      </c>
      <c r="AH299" s="2"/>
      <c r="AI299" s="1432"/>
      <c r="AJ299" s="1432"/>
      <c r="AK299" s="1432"/>
      <c r="BN299" s="2"/>
    </row>
    <row r="300" spans="2:66" ht="13" customHeight="1">
      <c r="B300" s="2" t="s">
        <v>1121</v>
      </c>
      <c r="C300" s="2"/>
      <c r="D300" s="2"/>
      <c r="E300" s="2"/>
      <c r="F300" s="2"/>
      <c r="G300" s="2"/>
      <c r="H300" s="1418"/>
      <c r="I300" s="1418"/>
      <c r="J300" s="1418"/>
      <c r="K300" s="1418"/>
      <c r="L300" s="1418"/>
      <c r="M300" s="1418"/>
      <c r="N300" s="2"/>
      <c r="O300" s="2"/>
      <c r="P300" s="68"/>
      <c r="Q300" s="68"/>
      <c r="R300" s="68"/>
      <c r="S300" s="2"/>
      <c r="T300" s="2" t="s">
        <v>1121</v>
      </c>
      <c r="V300" s="2"/>
      <c r="W300" s="2"/>
      <c r="X300" s="2"/>
      <c r="Y300" s="2"/>
      <c r="AA300" s="1418"/>
      <c r="AB300" s="1418"/>
      <c r="AC300" s="1418"/>
      <c r="AD300" s="1418"/>
      <c r="AE300" s="1418"/>
      <c r="AF300" s="1418"/>
      <c r="AG300" s="2"/>
      <c r="AH300" s="2"/>
      <c r="AI300" s="68"/>
      <c r="AJ300" s="68"/>
      <c r="AK300" s="68"/>
      <c r="BN300" s="2"/>
    </row>
    <row r="301" spans="2:66" ht="13" customHeight="1">
      <c r="B301" s="2" t="s">
        <v>1180</v>
      </c>
      <c r="C301" s="2"/>
      <c r="D301" s="2"/>
      <c r="E301" s="2"/>
      <c r="F301" s="2"/>
      <c r="G301" s="2"/>
      <c r="H301" s="1353" t="s">
        <v>1194</v>
      </c>
      <c r="I301" s="1353"/>
      <c r="J301" s="1353"/>
      <c r="K301" s="1353"/>
      <c r="L301" s="1353"/>
      <c r="M301" s="1353"/>
      <c r="N301" s="1405"/>
      <c r="O301" s="1405"/>
      <c r="P301" s="1405"/>
      <c r="Q301" s="1405"/>
      <c r="R301" s="1405"/>
      <c r="S301" s="2"/>
      <c r="T301" s="2" t="s">
        <v>1180</v>
      </c>
      <c r="V301" s="2"/>
      <c r="W301" s="2"/>
      <c r="X301" s="2"/>
      <c r="Y301" s="2"/>
      <c r="AA301" s="1353" t="s">
        <v>1195</v>
      </c>
      <c r="AB301" s="1353"/>
      <c r="AC301" s="1353"/>
      <c r="AD301" s="1353"/>
      <c r="AE301" s="1353"/>
      <c r="AF301" s="1353"/>
      <c r="AG301" s="1405"/>
      <c r="AH301" s="1405"/>
      <c r="AI301" s="1405"/>
      <c r="AJ301" s="1405"/>
      <c r="AK301" s="1405"/>
      <c r="BN301" s="2"/>
    </row>
    <row r="302" spans="2:66" ht="13" customHeight="1">
      <c r="BN302" s="2"/>
    </row>
    <row r="303" spans="2:66" ht="13" customHeight="1">
      <c r="B303" s="2" t="s">
        <v>1196</v>
      </c>
      <c r="C303" s="2"/>
      <c r="D303" s="2"/>
      <c r="E303" s="2"/>
      <c r="F303" s="2"/>
      <c r="H303" s="1405" t="str">
        <f>H295</f>
        <v>Hobson Bernardino + Davis LLP</v>
      </c>
      <c r="I303" s="1405"/>
      <c r="J303" s="1405"/>
      <c r="K303" s="1405"/>
      <c r="L303" s="1405"/>
      <c r="M303" s="1405"/>
      <c r="N303" s="1405"/>
      <c r="O303" s="1405"/>
      <c r="P303" s="1405"/>
      <c r="Q303" s="1405"/>
      <c r="R303" s="1405"/>
      <c r="T303" s="2" t="s">
        <v>1197</v>
      </c>
      <c r="V303" s="2"/>
      <c r="W303" s="2"/>
      <c r="X303" s="2"/>
      <c r="Y303" s="2"/>
      <c r="AA303" s="1405" t="s">
        <v>1198</v>
      </c>
      <c r="AB303" s="1405"/>
      <c r="AC303" s="1405"/>
      <c r="AD303" s="1405"/>
      <c r="AE303" s="1405"/>
      <c r="AF303" s="1405"/>
      <c r="AG303" s="1405"/>
      <c r="AH303" s="1405"/>
      <c r="AI303" s="1405"/>
      <c r="AJ303" s="1405"/>
      <c r="AK303" s="1405"/>
      <c r="BN303" s="2"/>
    </row>
    <row r="304" spans="2:66" ht="13" customHeight="1">
      <c r="B304" s="2" t="s">
        <v>1172</v>
      </c>
      <c r="C304" s="2"/>
      <c r="D304" s="2"/>
      <c r="E304" s="2"/>
      <c r="F304" s="2"/>
      <c r="H304" s="1353" t="str">
        <f>H296</f>
        <v>6060 Center Drive, Floor 10</v>
      </c>
      <c r="I304" s="1353"/>
      <c r="J304" s="1353"/>
      <c r="K304" s="1353"/>
      <c r="L304" s="1353"/>
      <c r="M304" s="1353"/>
      <c r="N304" s="1353"/>
      <c r="O304" s="1353"/>
      <c r="P304" s="1353"/>
      <c r="Q304" s="1353"/>
      <c r="R304" s="1353"/>
      <c r="T304" s="2" t="s">
        <v>1172</v>
      </c>
      <c r="V304" s="2"/>
      <c r="W304" s="2"/>
      <c r="X304" s="2"/>
      <c r="Y304" s="2"/>
      <c r="AA304" s="1353" t="s">
        <v>1199</v>
      </c>
      <c r="AB304" s="1353"/>
      <c r="AC304" s="1353"/>
      <c r="AD304" s="1353"/>
      <c r="AE304" s="1353"/>
      <c r="AF304" s="1353"/>
      <c r="AG304" s="1353"/>
      <c r="AH304" s="1353"/>
      <c r="AI304" s="1353"/>
      <c r="AJ304" s="1353"/>
      <c r="AK304" s="1353"/>
      <c r="BN304" s="2"/>
    </row>
    <row r="305" spans="2:66" ht="13" customHeight="1">
      <c r="B305" s="2" t="s">
        <v>1174</v>
      </c>
      <c r="C305" s="2"/>
      <c r="D305" s="2"/>
      <c r="E305" s="2"/>
      <c r="F305" s="2"/>
      <c r="H305" s="1353" t="str">
        <f>H297</f>
        <v>Los Angeles, CA 90045</v>
      </c>
      <c r="I305" s="1353"/>
      <c r="J305" s="1353"/>
      <c r="K305" s="1353"/>
      <c r="L305" s="1353"/>
      <c r="M305" s="1353"/>
      <c r="N305" s="1353"/>
      <c r="O305" s="1353"/>
      <c r="P305" s="1353"/>
      <c r="Q305" s="1353"/>
      <c r="R305" s="1353"/>
      <c r="T305" s="2" t="s">
        <v>1176</v>
      </c>
      <c r="V305" s="2"/>
      <c r="W305" s="2"/>
      <c r="X305" s="2"/>
      <c r="Y305" s="2"/>
      <c r="AA305" s="1353" t="s">
        <v>1200</v>
      </c>
      <c r="AB305" s="1353"/>
      <c r="AC305" s="1353"/>
      <c r="AD305" s="1353"/>
      <c r="AE305" s="1353"/>
      <c r="AF305" s="1353"/>
      <c r="AG305" s="1353"/>
      <c r="AH305" s="1353"/>
      <c r="AI305" s="1353"/>
      <c r="AJ305" s="1353"/>
      <c r="AK305" s="1353"/>
      <c r="BN305" s="2"/>
    </row>
    <row r="306" spans="2:66" ht="13" customHeight="1">
      <c r="B306" s="2" t="s">
        <v>1116</v>
      </c>
      <c r="C306" s="2"/>
      <c r="D306" s="2"/>
      <c r="E306" s="2"/>
      <c r="F306" s="2"/>
      <c r="H306" s="1353" t="str">
        <f>H298</f>
        <v>Jason Hobson</v>
      </c>
      <c r="I306" s="1353"/>
      <c r="J306" s="1353"/>
      <c r="K306" s="1353"/>
      <c r="L306" s="1353"/>
      <c r="M306" s="1353"/>
      <c r="N306" s="1353"/>
      <c r="O306" s="1353"/>
      <c r="P306" s="1353"/>
      <c r="Q306" s="1353"/>
      <c r="R306" s="1353"/>
      <c r="T306" s="2" t="s">
        <v>1116</v>
      </c>
      <c r="V306" s="2"/>
      <c r="W306" s="2"/>
      <c r="X306" s="2"/>
      <c r="Y306" s="2"/>
      <c r="AA306" s="1353" t="s">
        <v>1201</v>
      </c>
      <c r="AB306" s="1353"/>
      <c r="AC306" s="1353"/>
      <c r="AD306" s="1353"/>
      <c r="AE306" s="1353"/>
      <c r="AF306" s="1353"/>
      <c r="AG306" s="1353"/>
      <c r="AH306" s="1353"/>
      <c r="AI306" s="1353"/>
      <c r="AJ306" s="1353"/>
      <c r="AK306" s="1353"/>
      <c r="BN306" s="2"/>
    </row>
    <row r="307" spans="2:66" ht="13" customHeight="1">
      <c r="B307" s="2" t="s">
        <v>1118</v>
      </c>
      <c r="C307" s="2"/>
      <c r="D307" s="2"/>
      <c r="E307" s="2"/>
      <c r="F307" s="2"/>
      <c r="G307" s="2"/>
      <c r="H307" s="1497" t="s">
        <v>1192</v>
      </c>
      <c r="I307" s="1497"/>
      <c r="J307" s="1497"/>
      <c r="K307" s="1497"/>
      <c r="L307" s="1497"/>
      <c r="M307" s="1497"/>
      <c r="N307" s="2" t="s">
        <v>1120</v>
      </c>
      <c r="O307" s="2"/>
      <c r="P307" s="1432"/>
      <c r="Q307" s="1432"/>
      <c r="R307" s="1432"/>
      <c r="S307" s="2"/>
      <c r="T307" s="2" t="s">
        <v>1118</v>
      </c>
      <c r="V307" s="2"/>
      <c r="W307" s="2"/>
      <c r="X307" s="2"/>
      <c r="Y307" s="2"/>
      <c r="AA307" s="1497" t="s">
        <v>1202</v>
      </c>
      <c r="AB307" s="1497"/>
      <c r="AC307" s="1497"/>
      <c r="AD307" s="1497"/>
      <c r="AE307" s="1497"/>
      <c r="AF307" s="1497"/>
      <c r="AG307" s="2" t="s">
        <v>1120</v>
      </c>
      <c r="AH307" s="2"/>
      <c r="AI307" s="1432"/>
      <c r="AJ307" s="1432"/>
      <c r="AK307" s="1432"/>
      <c r="BN307" s="2"/>
    </row>
    <row r="308" spans="2:66" ht="13" customHeight="1">
      <c r="B308" s="2" t="s">
        <v>1121</v>
      </c>
      <c r="C308" s="2"/>
      <c r="D308" s="2"/>
      <c r="E308" s="2"/>
      <c r="F308" s="2"/>
      <c r="G308" s="2"/>
      <c r="H308" s="1418"/>
      <c r="I308" s="1418"/>
      <c r="J308" s="1418"/>
      <c r="K308" s="1418"/>
      <c r="L308" s="1418"/>
      <c r="M308" s="1418"/>
      <c r="N308" s="2"/>
      <c r="O308" s="2"/>
      <c r="P308" s="68"/>
      <c r="Q308" s="68"/>
      <c r="R308" s="68"/>
      <c r="S308" s="2"/>
      <c r="T308" s="2" t="s">
        <v>1121</v>
      </c>
      <c r="V308" s="2"/>
      <c r="W308" s="2"/>
      <c r="X308" s="2"/>
      <c r="Y308" s="2"/>
      <c r="AA308" s="1418"/>
      <c r="AB308" s="1418"/>
      <c r="AC308" s="1418"/>
      <c r="AD308" s="1418"/>
      <c r="AE308" s="1418"/>
      <c r="AF308" s="1418"/>
      <c r="AG308" s="2"/>
      <c r="AH308" s="2"/>
      <c r="AI308" s="68"/>
      <c r="AJ308" s="68"/>
      <c r="AK308" s="68"/>
      <c r="BN308" s="2"/>
    </row>
    <row r="309" spans="2:66" ht="13" customHeight="1">
      <c r="B309" s="2" t="s">
        <v>1180</v>
      </c>
      <c r="C309" s="2"/>
      <c r="D309" s="2"/>
      <c r="E309" s="2"/>
      <c r="F309" s="2"/>
      <c r="G309" s="2"/>
      <c r="H309" s="1353" t="s">
        <v>1194</v>
      </c>
      <c r="I309" s="1353"/>
      <c r="J309" s="1353"/>
      <c r="K309" s="1353"/>
      <c r="L309" s="1353"/>
      <c r="M309" s="1353"/>
      <c r="N309" s="1405"/>
      <c r="O309" s="1405"/>
      <c r="P309" s="1405"/>
      <c r="Q309" s="1405"/>
      <c r="R309" s="1405"/>
      <c r="S309" s="2"/>
      <c r="T309" s="2" t="s">
        <v>1180</v>
      </c>
      <c r="V309" s="2"/>
      <c r="W309" s="2"/>
      <c r="X309" s="2"/>
      <c r="Y309" s="2"/>
      <c r="AA309" s="1353" t="s">
        <v>1203</v>
      </c>
      <c r="AB309" s="1353"/>
      <c r="AC309" s="1353"/>
      <c r="AD309" s="1353"/>
      <c r="AE309" s="1353"/>
      <c r="AF309" s="1353"/>
      <c r="AG309" s="1405"/>
      <c r="AH309" s="1405"/>
      <c r="AI309" s="1405"/>
      <c r="AJ309" s="1405"/>
      <c r="AK309" s="1405"/>
      <c r="BN309" s="2"/>
    </row>
    <row r="310" spans="2:66" ht="13"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 customHeight="1">
      <c r="B311" s="2" t="s">
        <v>1204</v>
      </c>
      <c r="C311" s="2"/>
      <c r="D311" s="2"/>
      <c r="E311" s="2"/>
      <c r="F311" s="2"/>
      <c r="H311" s="1405" t="s">
        <v>1205</v>
      </c>
      <c r="I311" s="1405"/>
      <c r="J311" s="1405"/>
      <c r="K311" s="1405"/>
      <c r="L311" s="1405"/>
      <c r="M311" s="1405"/>
      <c r="N311" s="1405"/>
      <c r="O311" s="1405"/>
      <c r="P311" s="1405"/>
      <c r="Q311" s="1405"/>
      <c r="R311" s="1405"/>
      <c r="S311" s="2"/>
      <c r="T311" s="2" t="s">
        <v>1206</v>
      </c>
      <c r="V311" s="2"/>
      <c r="W311" s="2"/>
      <c r="X311" s="2"/>
      <c r="Y311" s="2"/>
      <c r="AA311" s="1405" t="s">
        <v>1207</v>
      </c>
      <c r="AB311" s="1405"/>
      <c r="AC311" s="1405"/>
      <c r="AD311" s="1405"/>
      <c r="AE311" s="1405"/>
      <c r="AF311" s="1405"/>
      <c r="AG311" s="1405"/>
      <c r="AH311" s="1405"/>
      <c r="AI311" s="1405"/>
      <c r="AJ311" s="1405"/>
      <c r="AK311" s="1405"/>
      <c r="BN311" s="2"/>
    </row>
    <row r="312" spans="2:66" ht="13" customHeight="1">
      <c r="B312" s="2" t="s">
        <v>1172</v>
      </c>
      <c r="C312" s="2"/>
      <c r="D312" s="2"/>
      <c r="E312" s="2"/>
      <c r="F312" s="2"/>
      <c r="H312" s="1353" t="s">
        <v>1208</v>
      </c>
      <c r="I312" s="1353"/>
      <c r="J312" s="1353"/>
      <c r="K312" s="1353"/>
      <c r="L312" s="1353"/>
      <c r="M312" s="1353"/>
      <c r="N312" s="1353"/>
      <c r="O312" s="1353"/>
      <c r="P312" s="1353"/>
      <c r="Q312" s="1353"/>
      <c r="R312" s="1353"/>
      <c r="S312" s="2"/>
      <c r="T312" s="2" t="s">
        <v>1172</v>
      </c>
      <c r="V312" s="2"/>
      <c r="W312" s="2"/>
      <c r="X312" s="2"/>
      <c r="Y312" s="2"/>
      <c r="AA312" s="1353" t="s">
        <v>1209</v>
      </c>
      <c r="AB312" s="1353"/>
      <c r="AC312" s="1353"/>
      <c r="AD312" s="1353"/>
      <c r="AE312" s="1353"/>
      <c r="AF312" s="1353"/>
      <c r="AG312" s="1353"/>
      <c r="AH312" s="1353"/>
      <c r="AI312" s="1353"/>
      <c r="AJ312" s="1353"/>
      <c r="AK312" s="1353"/>
      <c r="BN312" s="2"/>
    </row>
    <row r="313" spans="2:66" ht="13" customHeight="1">
      <c r="B313" s="2" t="s">
        <v>1174</v>
      </c>
      <c r="C313" s="2"/>
      <c r="D313" s="2"/>
      <c r="E313" s="2"/>
      <c r="F313" s="2"/>
      <c r="H313" s="1353" t="s">
        <v>1210</v>
      </c>
      <c r="I313" s="1353"/>
      <c r="J313" s="1353"/>
      <c r="K313" s="1353"/>
      <c r="L313" s="1353"/>
      <c r="M313" s="1353"/>
      <c r="N313" s="1353"/>
      <c r="O313" s="1353"/>
      <c r="P313" s="1353"/>
      <c r="Q313" s="1353"/>
      <c r="R313" s="1353"/>
      <c r="S313" s="2"/>
      <c r="T313" s="2" t="s">
        <v>1176</v>
      </c>
      <c r="V313" s="2"/>
      <c r="W313" s="2"/>
      <c r="X313" s="2"/>
      <c r="Y313" s="2"/>
      <c r="AA313" s="1353" t="s">
        <v>1211</v>
      </c>
      <c r="AB313" s="1353"/>
      <c r="AC313" s="1353"/>
      <c r="AD313" s="1353"/>
      <c r="AE313" s="1353"/>
      <c r="AF313" s="1353"/>
      <c r="AG313" s="1353"/>
      <c r="AH313" s="1353"/>
      <c r="AI313" s="1353"/>
      <c r="AJ313" s="1353"/>
      <c r="AK313" s="1353"/>
      <c r="BN313" s="2"/>
    </row>
    <row r="314" spans="2:66" ht="13" customHeight="1">
      <c r="B314" s="2" t="s">
        <v>1116</v>
      </c>
      <c r="C314" s="2"/>
      <c r="D314" s="2"/>
      <c r="E314" s="2"/>
      <c r="F314" s="2"/>
      <c r="H314" s="1353" t="s">
        <v>1212</v>
      </c>
      <c r="I314" s="1353"/>
      <c r="J314" s="1353"/>
      <c r="K314" s="1353"/>
      <c r="L314" s="1353"/>
      <c r="M314" s="1353"/>
      <c r="N314" s="1353"/>
      <c r="O314" s="1353"/>
      <c r="P314" s="1353"/>
      <c r="Q314" s="1353"/>
      <c r="R314" s="1353"/>
      <c r="S314" s="2"/>
      <c r="T314" s="2" t="s">
        <v>1116</v>
      </c>
      <c r="V314" s="2"/>
      <c r="W314" s="2"/>
      <c r="X314" s="2"/>
      <c r="Y314" s="2"/>
      <c r="AA314" s="1353" t="s">
        <v>1213</v>
      </c>
      <c r="AB314" s="1353"/>
      <c r="AC314" s="1353"/>
      <c r="AD314" s="1353"/>
      <c r="AE314" s="1353"/>
      <c r="AF314" s="1353"/>
      <c r="AG314" s="1353"/>
      <c r="AH314" s="1353"/>
      <c r="AI314" s="1353"/>
      <c r="AJ314" s="1353"/>
      <c r="AK314" s="1353"/>
      <c r="BN314" s="2"/>
    </row>
    <row r="315" spans="2:66" ht="13" customHeight="1">
      <c r="B315" s="2" t="s">
        <v>1118</v>
      </c>
      <c r="C315" s="2"/>
      <c r="D315" s="2"/>
      <c r="E315" s="2"/>
      <c r="F315" s="2"/>
      <c r="G315" s="2"/>
      <c r="H315" s="1497" t="s">
        <v>1214</v>
      </c>
      <c r="I315" s="1497"/>
      <c r="J315" s="1497"/>
      <c r="K315" s="1497"/>
      <c r="L315" s="1497"/>
      <c r="M315" s="1497"/>
      <c r="N315" s="2" t="s">
        <v>1120</v>
      </c>
      <c r="O315" s="2"/>
      <c r="P315" s="1432"/>
      <c r="Q315" s="1432"/>
      <c r="R315" s="1432"/>
      <c r="S315" s="2"/>
      <c r="T315" s="2" t="s">
        <v>1118</v>
      </c>
      <c r="V315" s="2"/>
      <c r="W315" s="2"/>
      <c r="X315" s="2"/>
      <c r="Y315" s="2"/>
      <c r="AA315" s="1497" t="s">
        <v>1215</v>
      </c>
      <c r="AB315" s="1497"/>
      <c r="AC315" s="1497"/>
      <c r="AD315" s="1497"/>
      <c r="AE315" s="1497"/>
      <c r="AF315" s="1497"/>
      <c r="AG315" s="2" t="s">
        <v>1120</v>
      </c>
      <c r="AH315" s="2"/>
      <c r="AI315" s="1432"/>
      <c r="AJ315" s="1432"/>
      <c r="AK315" s="1432"/>
      <c r="BN315" s="2"/>
    </row>
    <row r="316" spans="2:66" ht="13" customHeight="1">
      <c r="B316" s="2" t="s">
        <v>1121</v>
      </c>
      <c r="C316" s="2"/>
      <c r="D316" s="2"/>
      <c r="E316" s="2"/>
      <c r="F316" s="2"/>
      <c r="G316" s="2"/>
      <c r="H316" s="1418"/>
      <c r="I316" s="1418"/>
      <c r="J316" s="1418"/>
      <c r="K316" s="1418"/>
      <c r="L316" s="1418"/>
      <c r="M316" s="1418"/>
      <c r="N316" s="2"/>
      <c r="O316" s="2"/>
      <c r="P316" s="68"/>
      <c r="Q316" s="68"/>
      <c r="R316" s="68"/>
      <c r="S316" s="2"/>
      <c r="T316" s="2" t="s">
        <v>1121</v>
      </c>
      <c r="V316" s="2"/>
      <c r="W316" s="2"/>
      <c r="X316" s="2"/>
      <c r="Y316" s="2"/>
      <c r="AA316" s="1418"/>
      <c r="AB316" s="1418"/>
      <c r="AC316" s="1418"/>
      <c r="AD316" s="1418"/>
      <c r="AE316" s="1418"/>
      <c r="AF316" s="1418"/>
      <c r="AG316" s="2"/>
      <c r="AH316" s="2"/>
      <c r="AI316" s="68"/>
      <c r="AJ316" s="68"/>
      <c r="AK316" s="68"/>
      <c r="BN316" s="2"/>
    </row>
    <row r="317" spans="2:66" ht="13" customHeight="1">
      <c r="B317" s="2" t="s">
        <v>1180</v>
      </c>
      <c r="C317" s="2"/>
      <c r="D317" s="2"/>
      <c r="E317" s="2"/>
      <c r="F317" s="2"/>
      <c r="G317" s="2"/>
      <c r="H317" s="1353" t="s">
        <v>1216</v>
      </c>
      <c r="I317" s="1353"/>
      <c r="J317" s="1353"/>
      <c r="K317" s="1353"/>
      <c r="L317" s="1353"/>
      <c r="M317" s="1353"/>
      <c r="N317" s="1405"/>
      <c r="O317" s="1405"/>
      <c r="P317" s="1405"/>
      <c r="Q317" s="1405"/>
      <c r="R317" s="1405"/>
      <c r="S317" s="2"/>
      <c r="T317" s="2" t="s">
        <v>1180</v>
      </c>
      <c r="V317" s="2"/>
      <c r="W317" s="2"/>
      <c r="X317" s="2"/>
      <c r="Y317" s="2"/>
      <c r="AA317" s="1353" t="s">
        <v>1217</v>
      </c>
      <c r="AB317" s="1353"/>
      <c r="AC317" s="1353"/>
      <c r="AD317" s="1353"/>
      <c r="AE317" s="1353"/>
      <c r="AF317" s="1353"/>
      <c r="AG317" s="1405"/>
      <c r="AH317" s="1405"/>
      <c r="AI317" s="1405"/>
      <c r="AJ317" s="1405"/>
      <c r="AK317" s="1405"/>
      <c r="BN317" s="2"/>
    </row>
    <row r="318" spans="2:66" ht="13" customHeight="1">
      <c r="BN318" s="2"/>
    </row>
    <row r="319" spans="2:66" ht="13" customHeight="1">
      <c r="B319" s="2" t="s">
        <v>1218</v>
      </c>
      <c r="C319" s="2"/>
      <c r="D319" s="2"/>
      <c r="E319" s="2"/>
      <c r="F319" s="2"/>
      <c r="H319" s="1405"/>
      <c r="I319" s="1405"/>
      <c r="J319" s="1405"/>
      <c r="K319" s="1405"/>
      <c r="L319" s="1405"/>
      <c r="M319" s="1405"/>
      <c r="N319" s="1405"/>
      <c r="O319" s="1405"/>
      <c r="P319" s="1405"/>
      <c r="Q319" s="1405"/>
      <c r="R319" s="1405"/>
      <c r="T319" s="2" t="s">
        <v>1219</v>
      </c>
      <c r="V319" s="2"/>
      <c r="W319" s="2"/>
      <c r="X319" s="2"/>
      <c r="Y319" s="2"/>
      <c r="AA319" s="1405" t="s">
        <v>1220</v>
      </c>
      <c r="AB319" s="1405"/>
      <c r="AC319" s="1405"/>
      <c r="AD319" s="1405"/>
      <c r="AE319" s="1405"/>
      <c r="AF319" s="1405"/>
      <c r="AG319" s="1405"/>
      <c r="AH319" s="1405"/>
      <c r="AI319" s="1405"/>
      <c r="AJ319" s="1405"/>
      <c r="AK319" s="1405"/>
      <c r="BN319" s="2"/>
    </row>
    <row r="320" spans="2:66" ht="13" customHeight="1">
      <c r="B320" s="2" t="s">
        <v>1172</v>
      </c>
      <c r="C320" s="2"/>
      <c r="D320" s="2"/>
      <c r="E320" s="2"/>
      <c r="F320" s="2"/>
      <c r="H320" s="1353"/>
      <c r="I320" s="1353"/>
      <c r="J320" s="1353"/>
      <c r="K320" s="1353"/>
      <c r="L320" s="1353"/>
      <c r="M320" s="1353"/>
      <c r="N320" s="1353"/>
      <c r="O320" s="1353"/>
      <c r="P320" s="1353"/>
      <c r="Q320" s="1353"/>
      <c r="R320" s="1353"/>
      <c r="T320" s="2" t="s">
        <v>1172</v>
      </c>
      <c r="V320" s="2"/>
      <c r="W320" s="2"/>
      <c r="X320" s="2"/>
      <c r="Y320" s="2"/>
      <c r="AA320" s="1353" t="s">
        <v>1208</v>
      </c>
      <c r="AB320" s="1353"/>
      <c r="AC320" s="1353"/>
      <c r="AD320" s="1353"/>
      <c r="AE320" s="1353"/>
      <c r="AF320" s="1353"/>
      <c r="AG320" s="1353"/>
      <c r="AH320" s="1353"/>
      <c r="AI320" s="1353"/>
      <c r="AJ320" s="1353"/>
      <c r="AK320" s="1353"/>
      <c r="BN320" s="2"/>
    </row>
    <row r="321" spans="2:66" ht="13" customHeight="1">
      <c r="B321" s="2" t="s">
        <v>1174</v>
      </c>
      <c r="C321" s="2"/>
      <c r="D321" s="2"/>
      <c r="E321" s="2"/>
      <c r="F321" s="2"/>
      <c r="H321" s="1353"/>
      <c r="I321" s="1353"/>
      <c r="J321" s="1353"/>
      <c r="K321" s="1353"/>
      <c r="L321" s="1353"/>
      <c r="M321" s="1353"/>
      <c r="N321" s="1353"/>
      <c r="O321" s="1353"/>
      <c r="P321" s="1353"/>
      <c r="Q321" s="1353"/>
      <c r="R321" s="1353"/>
      <c r="T321" s="2" t="s">
        <v>1176</v>
      </c>
      <c r="V321" s="2"/>
      <c r="W321" s="2"/>
      <c r="X321" s="2"/>
      <c r="Y321" s="2"/>
      <c r="AA321" s="1353" t="s">
        <v>1210</v>
      </c>
      <c r="AB321" s="1353"/>
      <c r="AC321" s="1353"/>
      <c r="AD321" s="1353"/>
      <c r="AE321" s="1353"/>
      <c r="AF321" s="1353"/>
      <c r="AG321" s="1353"/>
      <c r="AH321" s="1353"/>
      <c r="AI321" s="1353"/>
      <c r="AJ321" s="1353"/>
      <c r="AK321" s="1353"/>
      <c r="BN321" s="2"/>
    </row>
    <row r="322" spans="2:66" ht="13" customHeight="1">
      <c r="B322" s="2" t="s">
        <v>1116</v>
      </c>
      <c r="C322" s="2"/>
      <c r="D322" s="2"/>
      <c r="E322" s="2"/>
      <c r="F322" s="2"/>
      <c r="H322" s="1353"/>
      <c r="I322" s="1353"/>
      <c r="J322" s="1353"/>
      <c r="K322" s="1353"/>
      <c r="L322" s="1353"/>
      <c r="M322" s="1353"/>
      <c r="N322" s="1353"/>
      <c r="O322" s="1353"/>
      <c r="P322" s="1353"/>
      <c r="Q322" s="1353"/>
      <c r="R322" s="1353"/>
      <c r="T322" s="2" t="s">
        <v>1116</v>
      </c>
      <c r="V322" s="2"/>
      <c r="W322" s="2"/>
      <c r="X322" s="2"/>
      <c r="Y322" s="2"/>
      <c r="AA322" s="1353" t="s">
        <v>1212</v>
      </c>
      <c r="AB322" s="1353"/>
      <c r="AC322" s="1353"/>
      <c r="AD322" s="1353"/>
      <c r="AE322" s="1353"/>
      <c r="AF322" s="1353"/>
      <c r="AG322" s="1353"/>
      <c r="AH322" s="1353"/>
      <c r="AI322" s="1353"/>
      <c r="AJ322" s="1353"/>
      <c r="AK322" s="1353"/>
      <c r="BN322" s="2"/>
    </row>
    <row r="323" spans="2:66" ht="13" customHeight="1">
      <c r="B323" s="2" t="s">
        <v>1118</v>
      </c>
      <c r="C323" s="2"/>
      <c r="D323" s="2"/>
      <c r="E323" s="2"/>
      <c r="F323" s="2"/>
      <c r="G323" s="2"/>
      <c r="H323" s="1497"/>
      <c r="I323" s="1497"/>
      <c r="J323" s="1497"/>
      <c r="K323" s="1497"/>
      <c r="L323" s="1497"/>
      <c r="M323" s="1497"/>
      <c r="N323" s="2" t="s">
        <v>1120</v>
      </c>
      <c r="O323" s="2"/>
      <c r="P323" s="1432"/>
      <c r="Q323" s="1432"/>
      <c r="R323" s="1432"/>
      <c r="S323" s="2"/>
      <c r="T323" s="2" t="s">
        <v>1118</v>
      </c>
      <c r="V323" s="2"/>
      <c r="W323" s="2"/>
      <c r="X323" s="2"/>
      <c r="Y323" s="2"/>
      <c r="AA323" s="1497" t="s">
        <v>1214</v>
      </c>
      <c r="AB323" s="1497"/>
      <c r="AC323" s="1497"/>
      <c r="AD323" s="1497"/>
      <c r="AE323" s="1497"/>
      <c r="AF323" s="1497"/>
      <c r="AG323" s="2" t="s">
        <v>1120</v>
      </c>
      <c r="AH323" s="2"/>
      <c r="AI323" s="1432"/>
      <c r="AJ323" s="1432"/>
      <c r="AK323" s="1432"/>
    </row>
    <row r="324" spans="2:66" ht="13" customHeight="1">
      <c r="B324" s="2" t="s">
        <v>1121</v>
      </c>
      <c r="C324" s="2"/>
      <c r="D324" s="2"/>
      <c r="E324" s="2"/>
      <c r="F324" s="2"/>
      <c r="G324" s="2"/>
      <c r="H324" s="1418"/>
      <c r="I324" s="1418"/>
      <c r="J324" s="1418"/>
      <c r="K324" s="1418"/>
      <c r="L324" s="1418"/>
      <c r="M324" s="1418"/>
      <c r="N324" s="2"/>
      <c r="O324" s="2"/>
      <c r="P324" s="68"/>
      <c r="Q324" s="68"/>
      <c r="R324" s="68"/>
      <c r="S324" s="2"/>
      <c r="T324" s="2" t="s">
        <v>1121</v>
      </c>
      <c r="V324" s="2"/>
      <c r="W324" s="2"/>
      <c r="X324" s="2"/>
      <c r="Y324" s="2"/>
      <c r="AA324" s="1418"/>
      <c r="AB324" s="1418"/>
      <c r="AC324" s="1418"/>
      <c r="AD324" s="1418"/>
      <c r="AE324" s="1418"/>
      <c r="AF324" s="1418"/>
      <c r="AG324" s="2"/>
      <c r="AH324" s="2"/>
      <c r="AI324" s="68"/>
      <c r="AJ324" s="68"/>
      <c r="AK324" s="68"/>
    </row>
    <row r="325" spans="2:66" ht="13" customHeight="1">
      <c r="B325" s="2" t="s">
        <v>1180</v>
      </c>
      <c r="C325" s="2"/>
      <c r="D325" s="2"/>
      <c r="E325" s="2"/>
      <c r="F325" s="2"/>
      <c r="G325" s="2"/>
      <c r="H325" s="1353"/>
      <c r="I325" s="1353"/>
      <c r="J325" s="1353"/>
      <c r="K325" s="1353"/>
      <c r="L325" s="1353"/>
      <c r="M325" s="1353"/>
      <c r="N325" s="1405"/>
      <c r="O325" s="1405"/>
      <c r="P325" s="1405"/>
      <c r="Q325" s="1405"/>
      <c r="R325" s="1405"/>
      <c r="S325" s="2"/>
      <c r="T325" s="2" t="s">
        <v>1180</v>
      </c>
      <c r="V325" s="2"/>
      <c r="W325" s="2"/>
      <c r="X325" s="2"/>
      <c r="Y325" s="2"/>
      <c r="AA325" s="1353" t="s">
        <v>1216</v>
      </c>
      <c r="AB325" s="1353"/>
      <c r="AC325" s="1353"/>
      <c r="AD325" s="1353"/>
      <c r="AE325" s="1353"/>
      <c r="AF325" s="1353"/>
      <c r="AG325" s="1405"/>
      <c r="AH325" s="1405"/>
      <c r="AI325" s="1405"/>
      <c r="AJ325" s="1405"/>
      <c r="AK325" s="1405"/>
    </row>
    <row r="326" spans="2:66" ht="13" customHeight="1">
      <c r="B326" s="2"/>
      <c r="C326" s="2"/>
      <c r="D326" s="2"/>
      <c r="E326" s="2"/>
      <c r="F326" s="2"/>
      <c r="G326" s="2"/>
      <c r="P326" s="1034"/>
      <c r="Q326" s="1034"/>
      <c r="R326" s="1034"/>
      <c r="S326" s="1034"/>
      <c r="T326" s="1034"/>
      <c r="U326" s="1034"/>
      <c r="V326" s="2"/>
      <c r="W326" s="2"/>
      <c r="X326" s="68"/>
      <c r="Y326" s="68"/>
      <c r="Z326" s="68"/>
    </row>
    <row r="327" spans="2:66" ht="13" customHeight="1">
      <c r="B327" s="2" t="s">
        <v>1221</v>
      </c>
      <c r="C327" s="2"/>
      <c r="D327" s="2"/>
      <c r="E327" s="2"/>
      <c r="F327" s="2"/>
      <c r="H327" s="1405" t="s">
        <v>1205</v>
      </c>
      <c r="I327" s="1405"/>
      <c r="J327" s="1405"/>
      <c r="K327" s="1405"/>
      <c r="L327" s="1405"/>
      <c r="M327" s="1405"/>
      <c r="N327" s="1405"/>
      <c r="O327" s="1405"/>
      <c r="P327" s="1405"/>
      <c r="Q327" s="1405"/>
      <c r="R327" s="1405"/>
      <c r="T327" s="2" t="s">
        <v>1222</v>
      </c>
      <c r="V327" s="2"/>
      <c r="W327" s="2"/>
      <c r="X327" s="2"/>
      <c r="Y327" s="2"/>
      <c r="AA327" s="1405"/>
      <c r="AB327" s="1405"/>
      <c r="AC327" s="1405"/>
      <c r="AD327" s="1405"/>
      <c r="AE327" s="1405"/>
      <c r="AF327" s="1405"/>
      <c r="AG327" s="1405"/>
      <c r="AH327" s="1405"/>
      <c r="AI327" s="1405"/>
      <c r="AJ327" s="1405"/>
      <c r="AK327" s="1405"/>
    </row>
    <row r="328" spans="2:66" ht="13" customHeight="1">
      <c r="B328" s="2" t="s">
        <v>1172</v>
      </c>
      <c r="C328" s="2"/>
      <c r="D328" s="2"/>
      <c r="E328" s="2"/>
      <c r="F328" s="2"/>
      <c r="H328" s="1353" t="s">
        <v>1208</v>
      </c>
      <c r="I328" s="1353"/>
      <c r="J328" s="1353"/>
      <c r="K328" s="1353"/>
      <c r="L328" s="1353"/>
      <c r="M328" s="1353"/>
      <c r="N328" s="1353"/>
      <c r="O328" s="1353"/>
      <c r="P328" s="1353"/>
      <c r="Q328" s="1353"/>
      <c r="R328" s="1353"/>
      <c r="T328" s="2" t="s">
        <v>1172</v>
      </c>
      <c r="V328" s="2"/>
      <c r="W328" s="2"/>
      <c r="X328" s="2"/>
      <c r="Y328" s="2"/>
      <c r="AA328" s="1353"/>
      <c r="AB328" s="1353"/>
      <c r="AC328" s="1353"/>
      <c r="AD328" s="1353"/>
      <c r="AE328" s="1353"/>
      <c r="AF328" s="1353"/>
      <c r="AG328" s="1353"/>
      <c r="AH328" s="1353"/>
      <c r="AI328" s="1353"/>
      <c r="AJ328" s="1353"/>
      <c r="AK328" s="1353"/>
    </row>
    <row r="329" spans="2:66" ht="13" customHeight="1">
      <c r="B329" s="2" t="s">
        <v>1174</v>
      </c>
      <c r="C329" s="2"/>
      <c r="D329" s="2"/>
      <c r="E329" s="2"/>
      <c r="F329" s="2"/>
      <c r="H329" s="1353" t="s">
        <v>1210</v>
      </c>
      <c r="I329" s="1353"/>
      <c r="J329" s="1353"/>
      <c r="K329" s="1353"/>
      <c r="L329" s="1353"/>
      <c r="M329" s="1353"/>
      <c r="N329" s="1353"/>
      <c r="O329" s="1353"/>
      <c r="P329" s="1353"/>
      <c r="Q329" s="1353"/>
      <c r="R329" s="1353"/>
      <c r="T329" s="2" t="s">
        <v>1176</v>
      </c>
      <c r="V329" s="2"/>
      <c r="W329" s="2"/>
      <c r="X329" s="2"/>
      <c r="Y329" s="2"/>
      <c r="AA329" s="1353"/>
      <c r="AB329" s="1353"/>
      <c r="AC329" s="1353"/>
      <c r="AD329" s="1353"/>
      <c r="AE329" s="1353"/>
      <c r="AF329" s="1353"/>
      <c r="AG329" s="1353"/>
      <c r="AH329" s="1353"/>
      <c r="AI329" s="1353"/>
      <c r="AJ329" s="1353"/>
      <c r="AK329" s="1353"/>
    </row>
    <row r="330" spans="2:66" ht="13" customHeight="1">
      <c r="B330" s="2" t="s">
        <v>1116</v>
      </c>
      <c r="C330" s="2"/>
      <c r="D330" s="2"/>
      <c r="E330" s="2"/>
      <c r="F330" s="2"/>
      <c r="H330" s="1353" t="s">
        <v>1212</v>
      </c>
      <c r="I330" s="1353"/>
      <c r="J330" s="1353"/>
      <c r="K330" s="1353"/>
      <c r="L330" s="1353"/>
      <c r="M330" s="1353"/>
      <c r="N330" s="1353"/>
      <c r="O330" s="1353"/>
      <c r="P330" s="1353"/>
      <c r="Q330" s="1353"/>
      <c r="R330" s="1353"/>
      <c r="T330" s="2" t="s">
        <v>1116</v>
      </c>
      <c r="V330" s="2"/>
      <c r="W330" s="2"/>
      <c r="X330" s="2"/>
      <c r="Y330" s="2"/>
      <c r="AA330" s="1353"/>
      <c r="AB330" s="1353"/>
      <c r="AC330" s="1353"/>
      <c r="AD330" s="1353"/>
      <c r="AE330" s="1353"/>
      <c r="AF330" s="1353"/>
      <c r="AG330" s="1353"/>
      <c r="AH330" s="1353"/>
      <c r="AI330" s="1353"/>
      <c r="AJ330" s="1353"/>
      <c r="AK330" s="1353"/>
    </row>
    <row r="331" spans="2:66" ht="13" customHeight="1">
      <c r="B331" s="2" t="s">
        <v>1118</v>
      </c>
      <c r="C331" s="2"/>
      <c r="D331" s="2"/>
      <c r="E331" s="2"/>
      <c r="F331" s="2"/>
      <c r="G331" s="2"/>
      <c r="H331" s="1497" t="s">
        <v>1214</v>
      </c>
      <c r="I331" s="1497"/>
      <c r="J331" s="1497"/>
      <c r="K331" s="1497"/>
      <c r="L331" s="1497"/>
      <c r="M331" s="1497"/>
      <c r="N331" s="2" t="s">
        <v>1120</v>
      </c>
      <c r="O331" s="2"/>
      <c r="P331" s="1432"/>
      <c r="Q331" s="1432"/>
      <c r="R331" s="1432"/>
      <c r="S331" s="2"/>
      <c r="T331" s="2" t="s">
        <v>1118</v>
      </c>
      <c r="V331" s="2"/>
      <c r="W331" s="2"/>
      <c r="X331" s="2"/>
      <c r="Y331" s="2"/>
      <c r="AA331" s="1497"/>
      <c r="AB331" s="1497"/>
      <c r="AC331" s="1497"/>
      <c r="AD331" s="1497"/>
      <c r="AE331" s="1497"/>
      <c r="AF331" s="1497"/>
      <c r="AG331" s="2" t="s">
        <v>1120</v>
      </c>
      <c r="AH331" s="2"/>
      <c r="AI331" s="1432"/>
      <c r="AJ331" s="1432"/>
      <c r="AK331" s="1432"/>
    </row>
    <row r="332" spans="2:66" ht="13" customHeight="1">
      <c r="B332" s="2" t="s">
        <v>1121</v>
      </c>
      <c r="C332" s="2"/>
      <c r="D332" s="2"/>
      <c r="E332" s="2"/>
      <c r="F332" s="2"/>
      <c r="G332" s="2"/>
      <c r="H332" s="1418"/>
      <c r="I332" s="1418"/>
      <c r="J332" s="1418"/>
      <c r="K332" s="1418"/>
      <c r="L332" s="1418"/>
      <c r="M332" s="1418"/>
      <c r="N332" s="2"/>
      <c r="O332" s="2"/>
      <c r="P332" s="68"/>
      <c r="Q332" s="68"/>
      <c r="R332" s="68"/>
      <c r="S332" s="2"/>
      <c r="T332" s="2" t="s">
        <v>1121</v>
      </c>
      <c r="V332" s="2"/>
      <c r="W332" s="2"/>
      <c r="X332" s="2"/>
      <c r="Y332" s="2"/>
      <c r="AA332" s="1418"/>
      <c r="AB332" s="1418"/>
      <c r="AC332" s="1418"/>
      <c r="AD332" s="1418"/>
      <c r="AE332" s="1418"/>
      <c r="AF332" s="1418"/>
      <c r="AG332" s="2"/>
      <c r="AH332" s="2"/>
      <c r="AI332" s="68"/>
      <c r="AJ332" s="68"/>
      <c r="AK332" s="68"/>
    </row>
    <row r="333" spans="2:66" ht="13" customHeight="1">
      <c r="B333" s="2" t="s">
        <v>1180</v>
      </c>
      <c r="C333" s="2"/>
      <c r="D333" s="2"/>
      <c r="E333" s="2"/>
      <c r="F333" s="2"/>
      <c r="G333" s="2"/>
      <c r="H333" s="1353" t="s">
        <v>1223</v>
      </c>
      <c r="I333" s="1353"/>
      <c r="J333" s="1353"/>
      <c r="K333" s="1353"/>
      <c r="L333" s="1353"/>
      <c r="M333" s="1353"/>
      <c r="N333" s="1405"/>
      <c r="O333" s="1405"/>
      <c r="P333" s="1405"/>
      <c r="Q333" s="1405"/>
      <c r="R333" s="1405"/>
      <c r="S333" s="2"/>
      <c r="T333" s="2" t="s">
        <v>1180</v>
      </c>
      <c r="V333" s="2"/>
      <c r="W333" s="2"/>
      <c r="X333" s="2"/>
      <c r="Y333" s="2"/>
      <c r="AA333" s="1353"/>
      <c r="AB333" s="1353"/>
      <c r="AC333" s="1353"/>
      <c r="AD333" s="1353"/>
      <c r="AE333" s="1353"/>
      <c r="AF333" s="1353"/>
      <c r="AG333" s="1405"/>
      <c r="AH333" s="1405"/>
      <c r="AI333" s="1405"/>
      <c r="AJ333" s="1405"/>
      <c r="AK333" s="1405"/>
    </row>
    <row r="334" spans="2:66" ht="13" customHeight="1">
      <c r="B334" s="2"/>
      <c r="C334" s="2"/>
      <c r="D334" s="2"/>
      <c r="E334" s="2"/>
      <c r="F334" s="2"/>
      <c r="G334" s="2"/>
      <c r="P334" s="1034"/>
      <c r="Q334" s="1034"/>
      <c r="R334" s="1034"/>
      <c r="S334" s="1034"/>
      <c r="T334" s="1034"/>
      <c r="U334" s="1034"/>
      <c r="V334" s="2"/>
      <c r="W334" s="2"/>
      <c r="X334" s="68"/>
      <c r="Y334" s="68"/>
      <c r="Z334" s="68"/>
    </row>
    <row r="335" spans="2:66" ht="13" customHeight="1">
      <c r="B335" s="2" t="s">
        <v>1224</v>
      </c>
      <c r="C335" s="2"/>
      <c r="D335" s="2"/>
      <c r="E335" s="2"/>
      <c r="F335" s="2"/>
      <c r="H335" s="1405" t="s">
        <v>1225</v>
      </c>
      <c r="I335" s="1405"/>
      <c r="J335" s="1405"/>
      <c r="K335" s="1405"/>
      <c r="L335" s="1405"/>
      <c r="M335" s="1405"/>
      <c r="N335" s="1405"/>
      <c r="O335" s="1405"/>
      <c r="P335" s="1405"/>
      <c r="Q335" s="1405"/>
      <c r="R335" s="1405"/>
      <c r="T335" s="118" t="s">
        <v>1226</v>
      </c>
      <c r="V335" s="2"/>
      <c r="W335" s="2"/>
      <c r="X335" s="2"/>
      <c r="Y335" s="2"/>
      <c r="AA335" s="1405" t="s">
        <v>1227</v>
      </c>
      <c r="AB335" s="1405"/>
      <c r="AC335" s="1405"/>
      <c r="AD335" s="1405"/>
      <c r="AE335" s="1405"/>
      <c r="AF335" s="1405"/>
      <c r="AG335" s="1405"/>
      <c r="AH335" s="1405"/>
      <c r="AI335" s="1405"/>
      <c r="AJ335" s="1405"/>
      <c r="AK335" s="1405"/>
    </row>
    <row r="336" spans="2:66" ht="13" customHeight="1">
      <c r="B336" s="2" t="s">
        <v>1172</v>
      </c>
      <c r="C336" s="2"/>
      <c r="D336" s="2"/>
      <c r="E336" s="2"/>
      <c r="F336" s="2"/>
      <c r="H336" s="1353" t="s">
        <v>1228</v>
      </c>
      <c r="I336" s="1353"/>
      <c r="J336" s="1353"/>
      <c r="K336" s="1353"/>
      <c r="L336" s="1353"/>
      <c r="M336" s="1353"/>
      <c r="N336" s="1353"/>
      <c r="O336" s="1353"/>
      <c r="P336" s="1353"/>
      <c r="Q336" s="1353"/>
      <c r="R336" s="1353"/>
      <c r="T336" s="2" t="s">
        <v>1172</v>
      </c>
      <c r="V336" s="2"/>
      <c r="W336" s="2"/>
      <c r="X336" s="2"/>
      <c r="Y336" s="2"/>
      <c r="AA336" s="1353" t="s">
        <v>1229</v>
      </c>
      <c r="AB336" s="1353"/>
      <c r="AC336" s="1353"/>
      <c r="AD336" s="1353"/>
      <c r="AE336" s="1353"/>
      <c r="AF336" s="1353"/>
      <c r="AG336" s="1353"/>
      <c r="AH336" s="1353"/>
      <c r="AI336" s="1353"/>
      <c r="AJ336" s="1353"/>
      <c r="AK336" s="1353"/>
    </row>
    <row r="337" spans="1:66" ht="13" customHeight="1">
      <c r="B337" s="2" t="s">
        <v>1176</v>
      </c>
      <c r="C337" s="2"/>
      <c r="D337" s="2"/>
      <c r="E337" s="2"/>
      <c r="F337" s="2"/>
      <c r="H337" s="1353" t="s">
        <v>1230</v>
      </c>
      <c r="I337" s="1353"/>
      <c r="J337" s="1353"/>
      <c r="K337" s="1353"/>
      <c r="L337" s="1353"/>
      <c r="M337" s="1353"/>
      <c r="N337" s="1353"/>
      <c r="O337" s="1353"/>
      <c r="P337" s="1353"/>
      <c r="Q337" s="1353"/>
      <c r="R337" s="1353"/>
      <c r="T337" s="2" t="s">
        <v>1176</v>
      </c>
      <c r="V337" s="2"/>
      <c r="W337" s="2"/>
      <c r="X337" s="2"/>
      <c r="Y337" s="2"/>
      <c r="AA337" s="1353" t="s">
        <v>1231</v>
      </c>
      <c r="AB337" s="1353"/>
      <c r="AC337" s="1353"/>
      <c r="AD337" s="1353"/>
      <c r="AE337" s="1353"/>
      <c r="AF337" s="1353"/>
      <c r="AG337" s="1353"/>
      <c r="AH337" s="1353"/>
      <c r="AI337" s="1353"/>
      <c r="AJ337" s="1353"/>
      <c r="AK337" s="1353"/>
    </row>
    <row r="338" spans="1:66" ht="13" customHeight="1">
      <c r="B338" s="2" t="s">
        <v>1116</v>
      </c>
      <c r="C338" s="2"/>
      <c r="D338" s="2"/>
      <c r="E338" s="2"/>
      <c r="F338" s="2"/>
      <c r="G338" s="2"/>
      <c r="H338" s="1434" t="s">
        <v>1232</v>
      </c>
      <c r="I338" s="1353"/>
      <c r="J338" s="1353"/>
      <c r="K338" s="1353"/>
      <c r="L338" s="1353"/>
      <c r="M338" s="1353"/>
      <c r="N338" s="1353"/>
      <c r="O338" s="1353"/>
      <c r="P338" s="1353"/>
      <c r="Q338" s="1353"/>
      <c r="R338" s="1353"/>
      <c r="T338" s="2" t="s">
        <v>1116</v>
      </c>
      <c r="V338" s="2"/>
      <c r="W338" s="2"/>
      <c r="X338" s="2"/>
      <c r="Y338" s="2"/>
      <c r="AA338" s="1353" t="s">
        <v>1233</v>
      </c>
      <c r="AB338" s="1353"/>
      <c r="AC338" s="1353"/>
      <c r="AD338" s="1353"/>
      <c r="AE338" s="1353"/>
      <c r="AF338" s="1353"/>
      <c r="AG338" s="1353"/>
      <c r="AH338" s="1353"/>
      <c r="AI338" s="1353"/>
      <c r="AJ338" s="1353"/>
      <c r="AK338" s="1353"/>
    </row>
    <row r="339" spans="1:66" ht="13" customHeight="1">
      <c r="B339" s="2" t="s">
        <v>1118</v>
      </c>
      <c r="C339" s="2"/>
      <c r="D339" s="2"/>
      <c r="E339" s="2"/>
      <c r="F339" s="2"/>
      <c r="G339" s="2"/>
      <c r="H339" s="1497" t="s">
        <v>1234</v>
      </c>
      <c r="I339" s="1497"/>
      <c r="J339" s="1497"/>
      <c r="K339" s="1497"/>
      <c r="L339" s="1497"/>
      <c r="M339" s="1497"/>
      <c r="N339" s="2" t="s">
        <v>1120</v>
      </c>
      <c r="O339" s="2"/>
      <c r="P339" s="1432"/>
      <c r="Q339" s="1432"/>
      <c r="R339" s="1432"/>
      <c r="S339" s="2"/>
      <c r="T339" s="2" t="s">
        <v>1118</v>
      </c>
      <c r="V339" s="2"/>
      <c r="W339" s="2"/>
      <c r="X339" s="2"/>
      <c r="Y339" s="2"/>
      <c r="AA339" s="1143" t="s">
        <v>1235</v>
      </c>
      <c r="AB339" s="1143"/>
      <c r="AC339" s="1143"/>
      <c r="AD339" s="1143"/>
      <c r="AE339" s="1143"/>
      <c r="AF339" s="1143"/>
      <c r="AG339" s="2" t="s">
        <v>1120</v>
      </c>
      <c r="AH339" s="2"/>
      <c r="AI339" s="1432"/>
      <c r="AJ339" s="1432"/>
      <c r="AK339" s="1432"/>
    </row>
    <row r="340" spans="1:66" ht="13" customHeight="1">
      <c r="B340" s="2" t="s">
        <v>1121</v>
      </c>
      <c r="C340" s="2"/>
      <c r="D340" s="2"/>
      <c r="E340" s="2"/>
      <c r="F340" s="2"/>
      <c r="G340" s="2"/>
      <c r="H340" s="1418"/>
      <c r="I340" s="1418"/>
      <c r="J340" s="1418"/>
      <c r="K340" s="1418"/>
      <c r="L340" s="1418"/>
      <c r="M340" s="1418"/>
      <c r="N340" s="2"/>
      <c r="O340" s="2"/>
      <c r="P340" s="68"/>
      <c r="Q340" s="68"/>
      <c r="R340" s="68"/>
      <c r="S340" s="2"/>
      <c r="T340" s="2" t="s">
        <v>1121</v>
      </c>
      <c r="V340" s="2"/>
      <c r="W340" s="2"/>
      <c r="X340" s="2"/>
      <c r="Y340" s="2"/>
      <c r="AA340" s="1418"/>
      <c r="AB340" s="1418"/>
      <c r="AC340" s="1418"/>
      <c r="AD340" s="1418"/>
      <c r="AE340" s="1418"/>
      <c r="AF340" s="1418"/>
      <c r="AG340" s="2"/>
      <c r="AH340" s="2"/>
      <c r="AI340" s="68"/>
      <c r="AJ340" s="68"/>
      <c r="AK340" s="68"/>
    </row>
    <row r="341" spans="1:66" ht="13" customHeight="1">
      <c r="B341" s="2" t="s">
        <v>1180</v>
      </c>
      <c r="C341" s="2"/>
      <c r="D341" s="2"/>
      <c r="E341" s="2"/>
      <c r="F341" s="2"/>
      <c r="G341" s="2"/>
      <c r="H341" s="1434" t="s">
        <v>1236</v>
      </c>
      <c r="I341" s="1353"/>
      <c r="J341" s="1353"/>
      <c r="K341" s="1353"/>
      <c r="L341" s="1353"/>
      <c r="M341" s="1353"/>
      <c r="N341" s="1405"/>
      <c r="O341" s="1405"/>
      <c r="P341" s="1405"/>
      <c r="Q341" s="1405"/>
      <c r="R341" s="1405"/>
      <c r="S341" s="2"/>
      <c r="T341" s="2" t="s">
        <v>1180</v>
      </c>
      <c r="V341" s="2"/>
      <c r="W341" s="2"/>
      <c r="X341" s="2"/>
      <c r="Y341" s="2"/>
      <c r="AA341" s="1353" t="s">
        <v>1237</v>
      </c>
      <c r="AB341" s="1353"/>
      <c r="AC341" s="1353"/>
      <c r="AD341" s="1353"/>
      <c r="AE341" s="1353"/>
      <c r="AF341" s="1353"/>
      <c r="AG341" s="1405"/>
      <c r="AH341" s="1405"/>
      <c r="AI341" s="1405"/>
      <c r="AJ341" s="1405"/>
      <c r="AK341" s="1405"/>
    </row>
    <row r="342" spans="1:66" ht="13"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 customHeight="1">
      <c r="B343" s="2"/>
      <c r="C343" s="2"/>
      <c r="D343" s="2"/>
      <c r="E343" s="2"/>
      <c r="F343" s="2"/>
      <c r="I343" s="118" t="s">
        <v>1238</v>
      </c>
      <c r="P343" s="1405"/>
      <c r="Q343" s="1405"/>
      <c r="R343" s="1405"/>
      <c r="S343" s="1405"/>
      <c r="T343" s="1405"/>
      <c r="U343" s="1405"/>
      <c r="V343" s="1405"/>
      <c r="W343" s="1405"/>
      <c r="X343" s="1405"/>
      <c r="Y343" s="1405"/>
      <c r="Z343" s="1405"/>
      <c r="AA343" s="1405"/>
      <c r="AB343" s="1405"/>
      <c r="AC343" s="1405"/>
      <c r="AD343" s="1405"/>
      <c r="AE343" s="1405"/>
      <c r="BN343" t="s">
        <v>893</v>
      </c>
    </row>
    <row r="344" spans="1:66" ht="13" customHeight="1">
      <c r="B344" s="2"/>
      <c r="C344" s="2"/>
      <c r="D344" s="2"/>
      <c r="E344" s="2"/>
      <c r="F344" s="2"/>
      <c r="I344" s="2" t="s">
        <v>1172</v>
      </c>
      <c r="P344" s="1353"/>
      <c r="Q344" s="1353"/>
      <c r="R344" s="1353"/>
      <c r="S344" s="1353"/>
      <c r="T344" s="1353"/>
      <c r="U344" s="1353"/>
      <c r="V344" s="1353"/>
      <c r="W344" s="1353"/>
      <c r="X344" s="1353"/>
      <c r="Y344" s="1353"/>
      <c r="Z344" s="1353"/>
      <c r="AA344" s="1353"/>
      <c r="AB344" s="1353"/>
      <c r="AC344" s="1353"/>
      <c r="AD344" s="1353"/>
      <c r="AE344" s="1353"/>
      <c r="BN344" t="s">
        <v>837</v>
      </c>
    </row>
    <row r="345" spans="1:66" ht="13" customHeight="1">
      <c r="B345" s="2"/>
      <c r="C345" s="2"/>
      <c r="D345" s="2"/>
      <c r="E345" s="2"/>
      <c r="F345" s="2"/>
      <c r="I345" s="2" t="s">
        <v>1176</v>
      </c>
      <c r="P345" s="1353"/>
      <c r="Q345" s="1353"/>
      <c r="R345" s="1353"/>
      <c r="S345" s="1353"/>
      <c r="T345" s="1353"/>
      <c r="U345" s="1353"/>
      <c r="V345" s="1353"/>
      <c r="W345" s="1353"/>
      <c r="X345" s="1353"/>
      <c r="Y345" s="1353"/>
      <c r="Z345" s="1353"/>
      <c r="AA345" s="1353"/>
      <c r="AB345" s="1353"/>
      <c r="AC345" s="1353"/>
      <c r="AD345" s="1353"/>
      <c r="AE345" s="1353"/>
    </row>
    <row r="346" spans="1:66" ht="13" customHeight="1">
      <c r="B346" s="2"/>
      <c r="C346" s="2"/>
      <c r="D346" s="2"/>
      <c r="E346" s="2"/>
      <c r="F346" s="2"/>
      <c r="G346" s="2"/>
      <c r="I346" s="2" t="s">
        <v>1116</v>
      </c>
      <c r="P346" s="1353"/>
      <c r="Q346" s="1353"/>
      <c r="R346" s="1353"/>
      <c r="S346" s="1353"/>
      <c r="T346" s="1353"/>
      <c r="U346" s="1353"/>
      <c r="V346" s="1353"/>
      <c r="W346" s="1353"/>
      <c r="X346" s="1353"/>
      <c r="Y346" s="1353"/>
      <c r="Z346" s="1353"/>
      <c r="AA346" s="1353"/>
      <c r="AB346" s="1353"/>
      <c r="AC346" s="1353"/>
      <c r="AD346" s="1353"/>
      <c r="AE346" s="1353"/>
    </row>
    <row r="347" spans="1:66" ht="13" customHeight="1">
      <c r="B347" s="2"/>
      <c r="C347" s="2"/>
      <c r="D347" s="2"/>
      <c r="E347" s="2"/>
      <c r="F347" s="2"/>
      <c r="G347" s="2"/>
      <c r="H347" s="1035"/>
      <c r="I347" s="2" t="s">
        <v>1118</v>
      </c>
      <c r="P347" s="1418"/>
      <c r="Q347" s="1418"/>
      <c r="R347" s="1418"/>
      <c r="S347" s="1418"/>
      <c r="T347" s="1418"/>
      <c r="U347" s="1418"/>
      <c r="V347" s="1418"/>
      <c r="W347" s="1418"/>
      <c r="X347" s="1418"/>
      <c r="Y347" s="1418"/>
      <c r="Z347" s="1418"/>
      <c r="AA347" s="2" t="s">
        <v>1120</v>
      </c>
      <c r="AB347" s="2"/>
      <c r="AC347" s="1434"/>
      <c r="AD347" s="1434"/>
      <c r="AE347" s="1434"/>
      <c r="AF347" s="1035"/>
      <c r="AG347" s="2"/>
      <c r="AH347" s="2"/>
      <c r="AI347" s="2"/>
      <c r="AJ347" s="2"/>
      <c r="AK347" s="2"/>
    </row>
    <row r="348" spans="1:66" ht="13" customHeight="1">
      <c r="B348" s="2"/>
      <c r="C348" s="2"/>
      <c r="D348" s="2"/>
      <c r="E348" s="2"/>
      <c r="F348" s="2"/>
      <c r="G348" s="2"/>
      <c r="H348" s="1035"/>
      <c r="I348" s="2" t="s">
        <v>1121</v>
      </c>
      <c r="P348" s="1418"/>
      <c r="Q348" s="1418"/>
      <c r="R348" s="1418"/>
      <c r="S348" s="1418"/>
      <c r="T348" s="1418"/>
      <c r="U348" s="1418"/>
      <c r="V348" s="1418"/>
      <c r="W348" s="1418"/>
      <c r="X348" s="1418"/>
      <c r="Y348" s="1418"/>
      <c r="Z348" s="1418"/>
      <c r="AF348" s="1035"/>
      <c r="AG348" s="2"/>
      <c r="AH348" s="2"/>
      <c r="AI348" s="68"/>
      <c r="AJ348" s="68"/>
      <c r="AK348" s="68"/>
    </row>
    <row r="349" spans="1:66" ht="13" customHeight="1">
      <c r="B349" s="2"/>
      <c r="C349" s="2"/>
      <c r="D349" s="2"/>
      <c r="E349" s="2"/>
      <c r="F349" s="2"/>
      <c r="G349" s="2"/>
      <c r="I349" s="2" t="s">
        <v>1180</v>
      </c>
      <c r="P349" s="1405"/>
      <c r="Q349" s="1405"/>
      <c r="R349" s="1405"/>
      <c r="S349" s="1405"/>
      <c r="T349" s="1405"/>
      <c r="U349" s="1405"/>
      <c r="V349" s="1405"/>
      <c r="W349" s="1405"/>
      <c r="X349" s="1405"/>
      <c r="Y349" s="1405"/>
      <c r="Z349" s="1405"/>
      <c r="AA349" s="1405"/>
      <c r="AB349" s="1405"/>
      <c r="AC349" s="1405"/>
      <c r="AD349" s="1405"/>
      <c r="AE349" s="1405"/>
    </row>
    <row r="350" spans="1:66" ht="13" customHeight="1">
      <c r="T350" s="7"/>
      <c r="U350" s="7"/>
      <c r="V350" s="7"/>
      <c r="W350" s="7"/>
      <c r="X350" s="7"/>
      <c r="Y350" s="7"/>
      <c r="Z350" s="7"/>
      <c r="AU350" s="54"/>
      <c r="AV350" s="54"/>
      <c r="AW350" s="54"/>
      <c r="AX350" s="54"/>
      <c r="AY350" s="54"/>
    </row>
    <row r="351" spans="1:66" ht="13" customHeight="1">
      <c r="A351" s="1427" t="s">
        <v>1239</v>
      </c>
      <c r="B351" s="1427"/>
      <c r="C351" s="1427"/>
      <c r="D351" s="1427"/>
      <c r="E351" s="1427"/>
      <c r="F351" s="1427"/>
      <c r="G351" s="1427"/>
      <c r="H351" s="1427"/>
      <c r="I351" s="1427"/>
      <c r="J351" s="1427"/>
      <c r="K351" s="1427"/>
      <c r="L351" s="1427"/>
      <c r="M351" s="1427"/>
      <c r="N351" s="1427"/>
      <c r="O351" s="1427"/>
      <c r="P351" s="1427"/>
      <c r="Q351" s="1427"/>
      <c r="R351" s="1427"/>
      <c r="S351" s="1427"/>
      <c r="T351" s="1427"/>
      <c r="U351" s="1427"/>
      <c r="V351" s="1427"/>
      <c r="W351" s="1427"/>
      <c r="X351" s="1427"/>
      <c r="Y351" s="1427"/>
      <c r="Z351" s="1427"/>
      <c r="AA351" s="1427"/>
      <c r="AB351" s="1427"/>
      <c r="AC351" s="1427"/>
      <c r="AD351" s="1427"/>
      <c r="AE351" s="1427"/>
      <c r="AF351" s="1427"/>
      <c r="AG351" s="1427"/>
      <c r="AH351" s="1427"/>
      <c r="AI351" s="1427"/>
      <c r="AJ351" s="1427"/>
      <c r="AK351" s="1427"/>
      <c r="AL351" s="1427"/>
      <c r="AM351" s="1427"/>
      <c r="AN351" s="1427"/>
      <c r="AO351" s="1427"/>
      <c r="AP351" s="1427"/>
      <c r="AQ351" s="1427"/>
      <c r="AR351" s="1427"/>
      <c r="AS351" s="1427"/>
      <c r="AT351" s="1427"/>
      <c r="AU351" s="54"/>
      <c r="AV351" s="54"/>
      <c r="AW351" s="54"/>
      <c r="AX351" s="54"/>
      <c r="AY351" s="54"/>
    </row>
    <row r="352" spans="1:66" ht="13" customHeight="1">
      <c r="A352" s="1427"/>
      <c r="B352" s="1427"/>
      <c r="C352" s="1427"/>
      <c r="D352" s="1427"/>
      <c r="E352" s="1427"/>
      <c r="F352" s="1427"/>
      <c r="G352" s="1427"/>
      <c r="H352" s="1427"/>
      <c r="I352" s="1427"/>
      <c r="J352" s="1427"/>
      <c r="K352" s="1427"/>
      <c r="L352" s="1427"/>
      <c r="M352" s="1427"/>
      <c r="N352" s="1427"/>
      <c r="O352" s="1427"/>
      <c r="P352" s="1427"/>
      <c r="Q352" s="1427"/>
      <c r="R352" s="1427"/>
      <c r="S352" s="1427"/>
      <c r="T352" s="1427"/>
      <c r="U352" s="1427"/>
      <c r="V352" s="1427"/>
      <c r="W352" s="1427"/>
      <c r="X352" s="1427"/>
      <c r="Y352" s="1427"/>
      <c r="Z352" s="1427"/>
      <c r="AA352" s="1427"/>
      <c r="AB352" s="1427"/>
      <c r="AC352" s="1427"/>
      <c r="AD352" s="1427"/>
      <c r="AE352" s="1427"/>
      <c r="AF352" s="1427"/>
      <c r="AG352" s="1427"/>
      <c r="AH352" s="1427"/>
      <c r="AI352" s="1427"/>
      <c r="AJ352" s="1427"/>
      <c r="AK352" s="1427"/>
      <c r="AL352" s="1427"/>
      <c r="AM352" s="1427"/>
      <c r="AN352" s="1427"/>
      <c r="AO352" s="1427"/>
      <c r="AP352" s="1427"/>
      <c r="AQ352" s="1427"/>
      <c r="AR352" s="1427"/>
      <c r="AS352" s="1427"/>
      <c r="AT352" s="1427"/>
      <c r="AU352" s="20"/>
      <c r="AV352" s="20"/>
      <c r="AW352" s="20"/>
      <c r="AX352" s="20"/>
      <c r="AY352" s="20"/>
    </row>
    <row r="353" spans="1:46" ht="13"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 customHeight="1">
      <c r="A354" s="1" t="s">
        <v>920</v>
      </c>
      <c r="B354" s="1"/>
      <c r="C354" s="1" t="s">
        <v>1240</v>
      </c>
    </row>
    <row r="355" spans="1:46" ht="13" customHeight="1">
      <c r="D355" s="2" t="s">
        <v>1241</v>
      </c>
      <c r="M355" s="1361" t="s">
        <v>837</v>
      </c>
      <c r="N355" s="1361"/>
      <c r="P355" t="s">
        <v>1242</v>
      </c>
      <c r="AJ355" s="1361" t="s">
        <v>837</v>
      </c>
      <c r="AK355" s="1361"/>
    </row>
    <row r="356" spans="1:46" ht="13" customHeight="1">
      <c r="D356" s="2" t="s">
        <v>1243</v>
      </c>
      <c r="M356" s="1361" t="s">
        <v>299</v>
      </c>
      <c r="N356" s="1361"/>
      <c r="P356" s="2" t="s">
        <v>1244</v>
      </c>
      <c r="AJ356" s="1394">
        <v>0</v>
      </c>
      <c r="AK356" s="1394"/>
    </row>
    <row r="357" spans="1:46" ht="13" customHeight="1">
      <c r="D357" s="2" t="s">
        <v>1245</v>
      </c>
      <c r="M357" s="1361" t="s">
        <v>299</v>
      </c>
      <c r="N357" s="1361"/>
      <c r="P357" t="s">
        <v>1246</v>
      </c>
      <c r="AJ357" s="1361" t="s">
        <v>299</v>
      </c>
      <c r="AK357" s="1361"/>
    </row>
    <row r="358" spans="1:46" ht="13" customHeight="1">
      <c r="D358" s="2" t="s">
        <v>1247</v>
      </c>
      <c r="M358" s="1361" t="s">
        <v>299</v>
      </c>
      <c r="N358" s="1361"/>
      <c r="Q358" s="2"/>
    </row>
    <row r="359" spans="1:46" ht="13" customHeight="1">
      <c r="Q359" s="2"/>
    </row>
    <row r="360" spans="1:46" ht="13" customHeight="1">
      <c r="Q360" s="2"/>
    </row>
    <row r="361" spans="1:46" ht="13" customHeight="1">
      <c r="A361" s="1" t="s">
        <v>961</v>
      </c>
      <c r="B361" s="1"/>
      <c r="C361" s="1" t="s">
        <v>1248</v>
      </c>
      <c r="D361" s="1"/>
    </row>
    <row r="362" spans="1:46" ht="13" customHeight="1">
      <c r="D362" s="29" t="s">
        <v>1249</v>
      </c>
      <c r="E362" s="1177"/>
      <c r="F362" s="1177"/>
      <c r="G362" s="1177"/>
      <c r="H362" s="1177"/>
      <c r="I362" s="1177"/>
      <c r="J362" s="1177"/>
      <c r="K362" s="1177"/>
      <c r="L362" s="1177"/>
      <c r="M362" s="1177"/>
      <c r="N362" s="1177"/>
      <c r="O362" s="1177"/>
      <c r="P362" s="1177"/>
      <c r="Q362" s="1177"/>
      <c r="R362" s="1177"/>
      <c r="S362" s="1177"/>
      <c r="T362" s="1177"/>
      <c r="U362" s="1177"/>
      <c r="V362" s="1177"/>
      <c r="W362" s="1177"/>
      <c r="X362" s="1177"/>
      <c r="Y362" s="1177"/>
      <c r="Z362" s="1177"/>
      <c r="AA362" s="1177"/>
      <c r="AB362" s="1177"/>
      <c r="AC362" s="1177"/>
      <c r="AD362" s="1177"/>
      <c r="AE362" s="1177"/>
    </row>
    <row r="363" spans="1:46" ht="13" customHeight="1">
      <c r="D363" s="29" t="s">
        <v>1250</v>
      </c>
      <c r="E363" s="1177"/>
      <c r="F363" s="1177"/>
      <c r="G363" s="1177"/>
      <c r="H363" s="1177"/>
      <c r="I363" s="1177"/>
      <c r="J363" s="1177"/>
      <c r="K363" s="1177"/>
      <c r="L363" s="1177"/>
      <c r="M363" s="1177"/>
      <c r="N363" s="1361" t="s">
        <v>299</v>
      </c>
      <c r="O363" s="1361"/>
      <c r="P363" s="1177"/>
      <c r="Q363" s="1177"/>
      <c r="R363" s="1177"/>
      <c r="S363" s="1177"/>
      <c r="T363" s="1177"/>
      <c r="U363" s="1177"/>
      <c r="V363" s="1177"/>
      <c r="W363" s="1177"/>
      <c r="X363" s="1177"/>
      <c r="Y363" s="1177"/>
      <c r="Z363" s="1177"/>
      <c r="AC363" s="1177"/>
      <c r="AD363" s="1177"/>
      <c r="AE363" s="1177"/>
    </row>
    <row r="364" spans="1:46" ht="13" customHeight="1">
      <c r="E364" t="s">
        <v>1251</v>
      </c>
      <c r="Y364" s="1361" t="s">
        <v>299</v>
      </c>
      <c r="Z364" s="1361"/>
    </row>
    <row r="365" spans="1:46" ht="13" customHeight="1">
      <c r="D365" s="2" t="s">
        <v>1252</v>
      </c>
      <c r="Q365" s="1405"/>
      <c r="R365" s="1405"/>
      <c r="S365" s="1405"/>
      <c r="T365" s="1405"/>
      <c r="U365" s="1405"/>
      <c r="V365" s="1405"/>
      <c r="W365" s="1405"/>
      <c r="X365" s="1405"/>
      <c r="Y365" s="1405"/>
      <c r="Z365" s="1405"/>
      <c r="AA365" s="1405"/>
      <c r="AB365" s="1405"/>
      <c r="AC365" s="1405"/>
      <c r="AD365" s="1405"/>
      <c r="AE365" s="1405"/>
      <c r="AF365" s="1405"/>
      <c r="AG365" s="1405"/>
    </row>
    <row r="366" spans="1:46" ht="13" customHeight="1">
      <c r="D366" t="s">
        <v>1253</v>
      </c>
      <c r="E366" s="1177"/>
      <c r="F366" s="1177"/>
      <c r="G366" s="1177"/>
      <c r="H366" s="1177"/>
      <c r="I366" s="1177"/>
      <c r="J366" s="1177"/>
      <c r="K366" s="1177"/>
      <c r="L366" s="1177"/>
      <c r="M366" s="1177"/>
      <c r="N366" s="1177"/>
      <c r="O366" s="1177"/>
      <c r="P366" s="1177"/>
      <c r="Q366" s="1177"/>
      <c r="R366" s="1177"/>
      <c r="S366" s="1177"/>
      <c r="T366" s="1177"/>
      <c r="U366" s="1177"/>
      <c r="V366" s="1177"/>
      <c r="W366" s="1177"/>
      <c r="X366" s="1177"/>
      <c r="Y366" s="1177"/>
      <c r="Z366" s="1177"/>
      <c r="AA366" s="1177"/>
      <c r="AB366" s="1177"/>
      <c r="AC366" s="1177"/>
      <c r="AD366" s="1177"/>
      <c r="AE366" s="1177"/>
    </row>
    <row r="367" spans="1:46" ht="13" customHeight="1">
      <c r="D367" t="s">
        <v>1254</v>
      </c>
      <c r="E367" s="1177"/>
      <c r="F367" s="1177"/>
      <c r="G367" s="1177"/>
      <c r="H367" s="1177"/>
      <c r="I367" s="1177"/>
      <c r="J367" s="1361" t="s">
        <v>299</v>
      </c>
      <c r="K367" s="1361"/>
      <c r="L367" s="1177"/>
      <c r="M367" s="1177"/>
      <c r="N367" s="1177"/>
      <c r="O367" s="1177"/>
      <c r="P367" s="1177"/>
      <c r="Q367" s="1177"/>
      <c r="R367" s="1177"/>
      <c r="S367" s="1177"/>
      <c r="T367" s="1177"/>
      <c r="U367" s="1177"/>
      <c r="V367" s="1177"/>
      <c r="W367" s="1177"/>
      <c r="X367" s="1177"/>
      <c r="Y367" s="1177"/>
      <c r="Z367" s="1177"/>
      <c r="AC367" s="1177"/>
      <c r="AD367" s="1177"/>
      <c r="AE367" s="1177"/>
    </row>
    <row r="368" spans="1:46" ht="13" customHeight="1">
      <c r="E368" s="1221" t="s">
        <v>1255</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 customHeight="1">
      <c r="E370" s="2" t="s">
        <v>1256</v>
      </c>
      <c r="F370" s="2"/>
      <c r="G370" s="2"/>
      <c r="H370" s="2"/>
      <c r="I370" s="2"/>
      <c r="J370" s="2"/>
      <c r="K370" s="2"/>
      <c r="L370" s="2"/>
      <c r="N370" s="1351"/>
      <c r="O370" s="1351"/>
      <c r="P370" s="1351"/>
      <c r="Q370" s="1351"/>
      <c r="R370" s="2"/>
      <c r="U370" s="2" t="s">
        <v>1257</v>
      </c>
      <c r="V370" s="2"/>
      <c r="W370" s="2"/>
      <c r="X370" s="2"/>
      <c r="Y370" s="2"/>
      <c r="Z370" s="2"/>
      <c r="AA370" s="2"/>
      <c r="AB370" s="2"/>
      <c r="AC370" s="1351"/>
      <c r="AD370" s="1351"/>
      <c r="AE370" s="1351"/>
      <c r="AF370" s="1351"/>
    </row>
    <row r="371" spans="1:34" ht="13" customHeight="1">
      <c r="E371" s="2" t="s">
        <v>1258</v>
      </c>
      <c r="F371" s="2"/>
      <c r="G371" s="2"/>
      <c r="H371" s="2"/>
      <c r="I371" s="2"/>
      <c r="J371" s="2"/>
      <c r="K371" s="2"/>
      <c r="L371" s="2"/>
      <c r="N371" s="1351"/>
      <c r="O371" s="1351"/>
      <c r="P371" s="1351"/>
      <c r="Q371" s="1351"/>
      <c r="R371" s="2"/>
      <c r="U371" s="2" t="s">
        <v>1259</v>
      </c>
      <c r="V371" s="2"/>
      <c r="W371" s="2"/>
      <c r="X371" s="2"/>
      <c r="Y371" s="2"/>
      <c r="Z371" s="2"/>
      <c r="AA371" s="2"/>
      <c r="AB371" s="2"/>
      <c r="AC371" s="1351"/>
      <c r="AD371" s="1351"/>
      <c r="AE371" s="1351"/>
      <c r="AF371" s="1351"/>
    </row>
    <row r="372" spans="1:34" ht="13" customHeight="1">
      <c r="E372" s="2" t="s">
        <v>1260</v>
      </c>
      <c r="F372" s="2"/>
      <c r="G372" s="2"/>
      <c r="H372" s="2"/>
      <c r="I372" s="2"/>
      <c r="J372" s="2"/>
      <c r="K372" s="2"/>
      <c r="L372" s="2"/>
      <c r="N372" s="1351"/>
      <c r="O372" s="1351"/>
      <c r="P372" s="1351"/>
      <c r="Q372" s="1351"/>
      <c r="R372" s="2"/>
      <c r="V372" s="2"/>
      <c r="W372" s="2"/>
      <c r="X372" s="2"/>
      <c r="Y372" s="2"/>
      <c r="Z372" s="2"/>
      <c r="AA372" s="2"/>
      <c r="AB372" s="2"/>
    </row>
    <row r="373" spans="1:34" ht="13" customHeight="1">
      <c r="E373" s="2" t="s">
        <v>1261</v>
      </c>
      <c r="F373" s="2"/>
      <c r="G373" s="2"/>
      <c r="H373" s="2"/>
      <c r="I373" s="2"/>
      <c r="J373" s="2"/>
      <c r="K373" s="2"/>
      <c r="L373" s="2"/>
      <c r="N373" s="1419"/>
      <c r="O373" s="1419"/>
      <c r="P373" s="1419"/>
      <c r="Q373" s="1419"/>
      <c r="R373" s="1419"/>
      <c r="S373" s="1419"/>
      <c r="T373" s="1419"/>
      <c r="U373" s="1419"/>
      <c r="V373" s="1419"/>
      <c r="W373" s="1419"/>
      <c r="X373" s="1419"/>
      <c r="Y373" s="1419"/>
      <c r="Z373" s="1419"/>
      <c r="AA373" s="1419"/>
      <c r="AB373" s="1419"/>
      <c r="AC373" s="1419"/>
      <c r="AD373" s="1419"/>
      <c r="AE373" s="1419"/>
      <c r="AF373" s="1419"/>
    </row>
    <row r="374" spans="1:34" ht="13" customHeight="1">
      <c r="E374" s="2"/>
      <c r="F374" s="2"/>
      <c r="G374" s="2"/>
      <c r="H374" s="2"/>
      <c r="I374" s="2"/>
      <c r="J374" s="2"/>
      <c r="K374" s="2"/>
      <c r="L374" s="2"/>
      <c r="N374" s="1420"/>
      <c r="O374" s="1420"/>
      <c r="P374" s="1420"/>
      <c r="Q374" s="1420"/>
      <c r="R374" s="1420"/>
      <c r="S374" s="1420"/>
      <c r="T374" s="1420"/>
      <c r="U374" s="1420"/>
      <c r="V374" s="1420"/>
      <c r="W374" s="1420"/>
      <c r="X374" s="1420"/>
      <c r="Y374" s="1420"/>
      <c r="Z374" s="1420"/>
      <c r="AA374" s="1420"/>
      <c r="AB374" s="1420"/>
      <c r="AC374" s="1420"/>
      <c r="AD374" s="1420"/>
      <c r="AE374" s="1420"/>
      <c r="AF374" s="1420"/>
    </row>
    <row r="375" spans="1:34" ht="13" customHeight="1">
      <c r="C375" s="383"/>
      <c r="E375" s="2"/>
      <c r="F375" s="2"/>
      <c r="G375" s="2"/>
      <c r="H375" s="2"/>
      <c r="I375" s="2"/>
      <c r="J375" s="2"/>
      <c r="K375" s="2"/>
      <c r="L375" s="2"/>
    </row>
    <row r="376" spans="1:34" ht="13" customHeight="1">
      <c r="D376" s="1" t="s">
        <v>1262</v>
      </c>
      <c r="E376" s="1"/>
      <c r="F376" s="2"/>
      <c r="G376" s="2"/>
      <c r="H376" s="2"/>
      <c r="I376" s="2"/>
      <c r="J376" s="2"/>
      <c r="K376" s="2"/>
      <c r="L376" s="2"/>
    </row>
    <row r="377" spans="1:34" ht="13" customHeight="1">
      <c r="E377" s="2" t="s">
        <v>1263</v>
      </c>
      <c r="F377" s="2"/>
      <c r="G377" s="2"/>
      <c r="H377" s="2"/>
      <c r="I377" s="2"/>
      <c r="J377" s="2"/>
      <c r="K377" s="2"/>
      <c r="L377" s="2"/>
      <c r="N377" t="s">
        <v>937</v>
      </c>
      <c r="R377" s="22" t="s">
        <v>938</v>
      </c>
      <c r="S377" s="1421"/>
      <c r="T377" s="1421"/>
      <c r="U377" s="1117" t="s">
        <v>939</v>
      </c>
      <c r="V377" s="1421"/>
      <c r="W377" s="1421"/>
      <c r="Y377" t="s">
        <v>937</v>
      </c>
      <c r="AC377" s="22" t="s">
        <v>938</v>
      </c>
      <c r="AD377" s="1421"/>
      <c r="AE377" s="1421"/>
      <c r="AF377" s="1117" t="s">
        <v>939</v>
      </c>
      <c r="AG377" s="1421"/>
      <c r="AH377" s="1421"/>
    </row>
    <row r="378" spans="1:34" ht="13" customHeight="1">
      <c r="E378" s="2" t="s">
        <v>1264</v>
      </c>
      <c r="F378" s="2"/>
      <c r="G378" s="2"/>
      <c r="H378" s="2"/>
      <c r="I378" s="2"/>
      <c r="J378" s="2"/>
      <c r="K378" s="2"/>
      <c r="L378" s="2"/>
      <c r="N378" s="1421"/>
      <c r="O378" s="1421"/>
      <c r="P378" s="1421"/>
    </row>
    <row r="379" spans="1:34" ht="13" customHeight="1">
      <c r="E379" s="118" t="s">
        <v>1265</v>
      </c>
      <c r="F379" s="2"/>
      <c r="G379" s="2"/>
      <c r="H379" s="2"/>
      <c r="I379" s="2"/>
      <c r="J379" s="2"/>
      <c r="K379" s="2"/>
      <c r="L379" s="2"/>
      <c r="AG379" s="1449" t="s">
        <v>299</v>
      </c>
      <c r="AH379" s="1449"/>
    </row>
    <row r="380" spans="1:34" ht="13" customHeight="1">
      <c r="E380" s="2"/>
      <c r="F380" s="2"/>
      <c r="G380" s="2" t="s">
        <v>1266</v>
      </c>
      <c r="H380" s="2"/>
      <c r="I380" s="2"/>
      <c r="J380" s="2"/>
      <c r="K380" s="2"/>
      <c r="L380" s="2"/>
      <c r="AG380" s="1449" t="s">
        <v>299</v>
      </c>
      <c r="AH380" s="1449"/>
    </row>
    <row r="381" spans="1:34" ht="13" customHeight="1">
      <c r="E381" s="2"/>
      <c r="F381" s="2"/>
      <c r="G381" s="216" t="s">
        <v>1267</v>
      </c>
      <c r="H381" s="2"/>
      <c r="I381" s="2"/>
      <c r="J381" s="2"/>
      <c r="K381" s="2"/>
      <c r="L381" s="2"/>
      <c r="V381" s="1361" t="s">
        <v>299</v>
      </c>
      <c r="W381" s="1361"/>
      <c r="Y381" s="18" t="s">
        <v>1268</v>
      </c>
    </row>
    <row r="382" spans="1:34" ht="13" customHeight="1">
      <c r="E382" s="2" t="s">
        <v>1269</v>
      </c>
      <c r="F382" s="2"/>
      <c r="G382" s="2"/>
      <c r="H382" s="2"/>
      <c r="I382" s="2"/>
      <c r="J382" s="2"/>
      <c r="K382" s="2"/>
      <c r="L382" s="2"/>
      <c r="V382" s="1361" t="s">
        <v>299</v>
      </c>
      <c r="W382" s="1361"/>
      <c r="Y382" s="2" t="s">
        <v>1270</v>
      </c>
    </row>
    <row r="383" spans="1:34" ht="13" customHeight="1"/>
    <row r="384" spans="1:34" ht="13" customHeight="1">
      <c r="A384" s="1" t="s">
        <v>1271</v>
      </c>
      <c r="B384" s="1"/>
    </row>
    <row r="385" spans="4:36" ht="13" customHeight="1">
      <c r="D385" t="s">
        <v>1272</v>
      </c>
      <c r="J385" s="1432" t="s">
        <v>2787</v>
      </c>
      <c r="K385" s="1405"/>
      <c r="L385" s="1405"/>
      <c r="M385" s="1405"/>
      <c r="N385" s="1405"/>
      <c r="O385" s="1405"/>
      <c r="P385" s="1405"/>
      <c r="Q385" s="1405"/>
      <c r="R385" s="1405"/>
      <c r="S385" s="1405"/>
      <c r="T385" s="1405"/>
      <c r="U385" s="1405"/>
      <c r="V385" s="7" t="s">
        <v>1273</v>
      </c>
      <c r="W385" s="7"/>
      <c r="X385" s="7"/>
      <c r="Y385" s="7"/>
      <c r="Z385" s="7"/>
      <c r="AA385" s="7"/>
      <c r="AB385" s="7"/>
      <c r="AC385" s="1432" t="s">
        <v>1274</v>
      </c>
      <c r="AD385" s="1405"/>
      <c r="AE385" s="1405"/>
      <c r="AF385" s="1405"/>
      <c r="AG385" s="1405"/>
      <c r="AH385" s="1405"/>
      <c r="AI385" s="1405"/>
      <c r="AJ385" s="1405"/>
    </row>
    <row r="386" spans="4:36" ht="13" customHeight="1">
      <c r="D386" s="2" t="s">
        <v>1275</v>
      </c>
      <c r="J386" s="1434" t="s">
        <v>1274</v>
      </c>
      <c r="K386" s="1353"/>
      <c r="L386" s="1353"/>
      <c r="M386" s="1353"/>
      <c r="N386" s="1353"/>
      <c r="O386" s="1353"/>
      <c r="P386" s="1353"/>
      <c r="Q386" s="1353"/>
      <c r="R386" s="1353"/>
      <c r="S386" s="1353"/>
      <c r="T386" s="1353"/>
      <c r="U386" s="1353"/>
      <c r="V386" s="2" t="s">
        <v>1275</v>
      </c>
      <c r="W386" s="7"/>
      <c r="X386" s="7"/>
      <c r="Y386" s="7"/>
      <c r="Z386" s="7"/>
      <c r="AA386" s="7"/>
      <c r="AB386" s="7"/>
      <c r="AC386" s="1432" t="s">
        <v>1274</v>
      </c>
      <c r="AD386" s="1405"/>
      <c r="AE386" s="1405"/>
      <c r="AF386" s="1405"/>
      <c r="AG386" s="1405"/>
      <c r="AH386" s="1405"/>
      <c r="AI386" s="1405"/>
      <c r="AJ386" s="1405"/>
    </row>
    <row r="387" spans="4:36" ht="13" customHeight="1">
      <c r="D387" s="2" t="s">
        <v>872</v>
      </c>
      <c r="J387" s="1353"/>
      <c r="K387" s="1353"/>
      <c r="L387" s="1353"/>
      <c r="M387" s="1353"/>
      <c r="N387" s="1353"/>
      <c r="O387" s="1353"/>
      <c r="P387" s="1353"/>
      <c r="Q387" s="1353"/>
      <c r="R387" s="1353"/>
      <c r="S387" s="1353"/>
      <c r="T387" s="1353"/>
      <c r="U387" s="1353"/>
      <c r="V387" s="2" t="s">
        <v>872</v>
      </c>
      <c r="W387" s="7"/>
      <c r="X387" s="7"/>
      <c r="Y387" s="7"/>
      <c r="Z387" s="7"/>
      <c r="AA387" s="7"/>
      <c r="AB387" s="7"/>
      <c r="AC387" s="1405"/>
      <c r="AD387" s="1405"/>
      <c r="AE387" s="1405"/>
      <c r="AF387" s="1405"/>
      <c r="AG387" s="1405"/>
      <c r="AH387" s="1405"/>
      <c r="AI387" s="1405"/>
      <c r="AJ387" s="1405"/>
    </row>
    <row r="388" spans="4:36" ht="13" customHeight="1">
      <c r="D388" t="s">
        <v>1276</v>
      </c>
      <c r="J388" s="1309" t="s">
        <v>1277</v>
      </c>
      <c r="K388" s="1348"/>
      <c r="L388" s="1348"/>
      <c r="M388" s="1348"/>
      <c r="N388" s="1348"/>
      <c r="O388" s="1348"/>
      <c r="P388" s="1348"/>
      <c r="Q388" s="1348"/>
      <c r="R388" s="1348"/>
      <c r="S388" s="1348"/>
      <c r="T388" s="1348"/>
      <c r="U388" s="1348"/>
      <c r="V388" s="1405"/>
      <c r="W388" s="1405"/>
      <c r="X388" s="1405"/>
      <c r="Y388" s="1405"/>
      <c r="Z388" s="1405"/>
      <c r="AA388" s="1405"/>
      <c r="AB388" s="1405"/>
      <c r="AC388" s="1405"/>
      <c r="AD388" s="1405"/>
      <c r="AE388" s="1405"/>
      <c r="AF388" s="1405"/>
      <c r="AG388" s="1405"/>
      <c r="AH388" s="1405"/>
      <c r="AI388" s="1405"/>
      <c r="AJ388" s="1405"/>
    </row>
    <row r="389" spans="4:36" ht="13" customHeight="1">
      <c r="D389" t="s">
        <v>1278</v>
      </c>
      <c r="Q389" s="1648">
        <v>45527</v>
      </c>
      <c r="R389" s="1648"/>
      <c r="S389" s="1648"/>
      <c r="T389" s="1648"/>
      <c r="U389" s="1648"/>
      <c r="V389" t="s">
        <v>1279</v>
      </c>
      <c r="AI389" s="1361" t="s">
        <v>893</v>
      </c>
      <c r="AJ389" s="1361"/>
    </row>
    <row r="390" spans="4:36" ht="13" customHeight="1">
      <c r="D390" t="s">
        <v>1280</v>
      </c>
      <c r="Q390" s="1551">
        <v>45892</v>
      </c>
      <c r="R390" s="1645"/>
      <c r="S390" s="1645"/>
      <c r="T390" s="1645"/>
      <c r="U390" s="1645"/>
      <c r="W390" s="17" t="s">
        <v>1281</v>
      </c>
      <c r="AG390" s="1417"/>
      <c r="AH390" s="1417"/>
      <c r="AI390" s="1417"/>
      <c r="AJ390" s="1417"/>
    </row>
    <row r="391" spans="4:36" ht="13" customHeight="1">
      <c r="D391" t="s">
        <v>1282</v>
      </c>
      <c r="Q391" s="1600">
        <v>4550000</v>
      </c>
      <c r="R391" s="1600"/>
      <c r="S391" s="1600"/>
      <c r="T391" s="1600"/>
      <c r="U391" s="1600"/>
      <c r="V391" s="2" t="s">
        <v>1283</v>
      </c>
      <c r="AG391" s="1446"/>
      <c r="AH391" s="1446"/>
      <c r="AI391" s="1446"/>
      <c r="AJ391" s="1446"/>
    </row>
    <row r="392" spans="4:36" ht="13" customHeight="1">
      <c r="D392" t="s">
        <v>1118</v>
      </c>
      <c r="I392" s="1497"/>
      <c r="J392" s="1497"/>
      <c r="K392" s="1497"/>
      <c r="L392" s="1497"/>
      <c r="M392" s="1497"/>
      <c r="N392" s="1497"/>
      <c r="Q392" s="2" t="s">
        <v>1120</v>
      </c>
      <c r="S392" s="1647"/>
      <c r="T392" s="1647"/>
      <c r="U392" s="1647"/>
      <c r="V392" t="s">
        <v>1284</v>
      </c>
      <c r="AI392" s="1361" t="s">
        <v>893</v>
      </c>
      <c r="AJ392" s="1361"/>
    </row>
    <row r="393" spans="4:36" ht="13" customHeight="1">
      <c r="D393" t="s">
        <v>1285</v>
      </c>
      <c r="Q393" s="1448"/>
      <c r="R393" s="1448"/>
      <c r="S393" s="1448"/>
      <c r="T393" s="1448"/>
      <c r="U393" s="1448"/>
      <c r="V393" t="s">
        <v>1286</v>
      </c>
      <c r="AG393" s="1417"/>
      <c r="AH393" s="1417"/>
      <c r="AI393" s="1417"/>
      <c r="AJ393" s="1417"/>
    </row>
    <row r="394" spans="4:36" ht="13" customHeight="1">
      <c r="D394" t="s">
        <v>1287</v>
      </c>
      <c r="Q394" s="1426"/>
      <c r="R394" s="1426"/>
      <c r="S394" s="1426"/>
      <c r="T394" s="1426"/>
      <c r="U394" s="1426"/>
      <c r="V394" t="s">
        <v>1288</v>
      </c>
      <c r="AG394" s="1417"/>
      <c r="AH394" s="1417"/>
      <c r="AI394" s="1417"/>
      <c r="AJ394" s="1417"/>
    </row>
    <row r="395" spans="4:36" ht="13" customHeight="1">
      <c r="D395" t="s">
        <v>1289</v>
      </c>
      <c r="AG395" s="1417"/>
      <c r="AH395" s="1417"/>
      <c r="AI395" s="1417"/>
      <c r="AJ395" s="1417"/>
    </row>
    <row r="396" spans="4:36" ht="13" customHeight="1">
      <c r="AG396" s="1036"/>
      <c r="AH396" s="1036"/>
      <c r="AI396" s="1036"/>
      <c r="AJ396" s="1036"/>
    </row>
    <row r="397" spans="4:36" ht="13" customHeight="1">
      <c r="D397" s="2" t="s">
        <v>1290</v>
      </c>
      <c r="AG397" s="1036"/>
      <c r="AH397" s="1036"/>
      <c r="AI397" s="1361" t="s">
        <v>893</v>
      </c>
      <c r="AJ397" s="1361"/>
    </row>
    <row r="398" spans="4:36" ht="13" customHeight="1">
      <c r="D398" s="2" t="s">
        <v>1291</v>
      </c>
      <c r="T398" s="1387"/>
      <c r="U398" s="1387"/>
      <c r="V398" s="1387"/>
      <c r="W398" s="1387"/>
      <c r="X398" s="1387"/>
      <c r="Y398" s="1387"/>
      <c r="Z398" s="1387"/>
      <c r="AA398" s="1387"/>
      <c r="AB398" s="1387"/>
      <c r="AC398" s="1387"/>
      <c r="AD398" s="1387"/>
      <c r="AE398" s="1387"/>
      <c r="AF398" s="1387"/>
      <c r="AG398" s="1387"/>
      <c r="AH398" s="1387"/>
      <c r="AI398" s="1387"/>
      <c r="AJ398" s="1387"/>
    </row>
    <row r="399" spans="4:36" ht="13" customHeight="1">
      <c r="D399" s="2" t="s">
        <v>1292</v>
      </c>
      <c r="T399" s="1387"/>
      <c r="U399" s="1387"/>
      <c r="V399" s="1387"/>
      <c r="W399" s="1387"/>
      <c r="X399" s="1387"/>
      <c r="Y399" s="1387"/>
      <c r="Z399" s="1387"/>
      <c r="AA399" s="1387"/>
      <c r="AB399" s="1387"/>
      <c r="AC399" s="1387"/>
      <c r="AD399" s="1387"/>
      <c r="AE399" s="1387"/>
      <c r="AF399" s="1387"/>
      <c r="AG399" s="1387"/>
      <c r="AH399" s="1387"/>
      <c r="AI399" s="1387"/>
      <c r="AJ399" s="1387"/>
    </row>
    <row r="400" spans="4:36" ht="13" customHeight="1">
      <c r="AG400" s="1036"/>
      <c r="AH400" s="1036"/>
      <c r="AI400" s="1036"/>
      <c r="AJ400" s="1036"/>
    </row>
    <row r="401" spans="1:36" ht="13" customHeight="1">
      <c r="D401" s="2" t="s">
        <v>1293</v>
      </c>
      <c r="S401" s="1387" t="s">
        <v>893</v>
      </c>
      <c r="T401" s="1387"/>
      <c r="U401" s="1387"/>
      <c r="V401" t="s">
        <v>1294</v>
      </c>
      <c r="AG401" s="1499"/>
      <c r="AH401" s="1499"/>
      <c r="AI401" s="1499"/>
      <c r="AJ401" s="1499"/>
    </row>
    <row r="402" spans="1:36" ht="13" customHeight="1">
      <c r="D402" s="2" t="s">
        <v>1295</v>
      </c>
      <c r="S402" s="1387" t="s">
        <v>299</v>
      </c>
      <c r="T402" s="1387"/>
      <c r="U402" s="1387"/>
      <c r="V402" t="s">
        <v>1296</v>
      </c>
      <c r="AE402" s="1440"/>
      <c r="AF402" s="1440"/>
      <c r="AG402" s="1440"/>
      <c r="AH402" s="1440"/>
      <c r="AI402" s="1440"/>
      <c r="AJ402" s="1440"/>
    </row>
    <row r="403" spans="1:36" ht="13" customHeight="1">
      <c r="D403" s="2" t="s">
        <v>1297</v>
      </c>
      <c r="K403" s="1447"/>
      <c r="L403" s="1447"/>
      <c r="M403" s="1447"/>
      <c r="N403" s="1447"/>
      <c r="O403" s="1447"/>
      <c r="P403" s="1447"/>
      <c r="Q403" s="1447"/>
      <c r="R403" s="1447"/>
      <c r="S403" s="1447"/>
      <c r="T403" s="1447"/>
      <c r="U403" s="1447"/>
      <c r="V403" s="1447"/>
      <c r="W403" s="1447"/>
      <c r="X403" s="1447"/>
      <c r="Y403" s="1447"/>
      <c r="Z403" s="1447"/>
      <c r="AA403" s="1447"/>
      <c r="AB403" s="1447"/>
      <c r="AC403" s="1447"/>
      <c r="AD403" s="1447"/>
      <c r="AE403" s="1447"/>
      <c r="AF403" s="1447"/>
      <c r="AG403" s="1447"/>
      <c r="AH403" s="1447"/>
      <c r="AI403" s="1447"/>
      <c r="AJ403" s="1447"/>
    </row>
    <row r="404" spans="1:36" ht="13" customHeight="1">
      <c r="D404" s="2" t="s">
        <v>1298</v>
      </c>
      <c r="K404" s="1447"/>
      <c r="L404" s="1447"/>
      <c r="M404" s="1447"/>
      <c r="N404" s="1447"/>
      <c r="O404" s="1447"/>
      <c r="P404" s="1447"/>
      <c r="Q404" s="1447"/>
      <c r="R404" s="1447"/>
      <c r="S404" s="1447"/>
      <c r="T404" s="1447"/>
      <c r="U404" s="1447"/>
      <c r="V404" s="1447"/>
      <c r="W404" s="1447"/>
      <c r="X404" s="1447"/>
      <c r="Y404" s="1447"/>
      <c r="Z404" s="1447"/>
      <c r="AA404" s="1447"/>
      <c r="AB404" s="1447"/>
      <c r="AC404" s="1447"/>
      <c r="AD404" s="1447"/>
      <c r="AE404" s="1447"/>
      <c r="AF404" s="1447"/>
      <c r="AG404" s="1447"/>
      <c r="AH404" s="1447"/>
      <c r="AI404" s="1447"/>
      <c r="AJ404" s="1447"/>
    </row>
    <row r="405" spans="1:36" ht="13" customHeight="1">
      <c r="D405" s="2" t="s">
        <v>1299</v>
      </c>
      <c r="E405" s="1139"/>
      <c r="F405" s="1139"/>
      <c r="G405" s="1139"/>
      <c r="H405" s="1139"/>
      <c r="I405" s="1139"/>
      <c r="J405" s="1139"/>
      <c r="K405" s="1139"/>
      <c r="L405" s="1139"/>
      <c r="M405" s="1139"/>
      <c r="N405" s="1139"/>
      <c r="O405" s="1139"/>
      <c r="P405" s="1139"/>
      <c r="Q405" s="1139"/>
      <c r="R405" s="1139"/>
      <c r="S405" s="1498" t="s">
        <v>1077</v>
      </c>
      <c r="T405" s="1498"/>
      <c r="U405" s="1498"/>
      <c r="V405" s="1498"/>
      <c r="W405" s="1498"/>
      <c r="X405" s="1498"/>
      <c r="Y405" s="1498"/>
      <c r="Z405" s="1498"/>
      <c r="AA405" s="1498"/>
      <c r="AB405" s="1498"/>
      <c r="AC405" s="1498"/>
      <c r="AD405" s="1498"/>
      <c r="AE405" s="1498"/>
      <c r="AF405" s="1498"/>
      <c r="AG405" s="1498"/>
      <c r="AH405" s="1498"/>
      <c r="AI405" s="1498"/>
      <c r="AJ405" s="1498"/>
    </row>
    <row r="406" spans="1:36" ht="13" customHeight="1">
      <c r="D406" s="1227" t="s">
        <v>1300</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3"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3" customHeight="1">
      <c r="AG408" s="1036"/>
      <c r="AH408" s="1036"/>
      <c r="AI408" s="1036"/>
      <c r="AJ408" s="1036"/>
    </row>
    <row r="409" spans="1:36" ht="13" customHeight="1">
      <c r="A409" s="1" t="s">
        <v>1058</v>
      </c>
      <c r="B409" s="1"/>
      <c r="C409" s="1" t="s">
        <v>144</v>
      </c>
    </row>
    <row r="410" spans="1:36" ht="13" customHeight="1">
      <c r="B410" s="1"/>
      <c r="C410" s="1"/>
      <c r="D410" s="1" t="s">
        <v>1301</v>
      </c>
      <c r="I410" s="1432" t="s">
        <v>1302</v>
      </c>
      <c r="J410" s="1432"/>
      <c r="K410" s="1432"/>
      <c r="L410" s="1432"/>
      <c r="M410" s="1432"/>
      <c r="N410" s="1432"/>
      <c r="O410" s="1432"/>
      <c r="P410" s="1432"/>
      <c r="Q410" s="1432"/>
      <c r="R410" s="1432"/>
      <c r="S410" s="1432"/>
      <c r="T410" s="1432"/>
      <c r="U410" s="1432"/>
      <c r="V410" s="1432"/>
      <c r="W410" s="1432"/>
      <c r="X410" s="1432"/>
      <c r="Y410" s="1432"/>
      <c r="Z410" s="1432"/>
      <c r="AA410" s="1432"/>
      <c r="AB410" s="1432"/>
      <c r="AC410" s="1432"/>
      <c r="AD410" s="1432"/>
      <c r="AE410" s="1432"/>
    </row>
    <row r="411" spans="1:36" ht="13" customHeight="1">
      <c r="E411" t="s">
        <v>1303</v>
      </c>
      <c r="R411" s="1361" t="s">
        <v>837</v>
      </c>
      <c r="S411" s="1361"/>
      <c r="AC411" s="22" t="s">
        <v>1304</v>
      </c>
      <c r="AD411" s="1351">
        <v>8</v>
      </c>
      <c r="AE411" s="1351"/>
    </row>
    <row r="412" spans="1:36" ht="13" customHeight="1">
      <c r="E412" t="s">
        <v>1305</v>
      </c>
      <c r="R412" s="1361" t="s">
        <v>299</v>
      </c>
      <c r="S412" s="1361"/>
      <c r="AC412" s="22" t="s">
        <v>1304</v>
      </c>
      <c r="AD412" s="1351"/>
      <c r="AE412" s="1351"/>
    </row>
    <row r="413" spans="1:36" ht="13" customHeight="1">
      <c r="E413" t="s">
        <v>1306</v>
      </c>
      <c r="S413" s="1361" t="s">
        <v>299</v>
      </c>
      <c r="T413" s="1361"/>
    </row>
    <row r="414" spans="1:36" ht="13" customHeight="1">
      <c r="E414" t="s">
        <v>232</v>
      </c>
      <c r="H414" s="1501" t="s">
        <v>1307</v>
      </c>
      <c r="I414" s="1501"/>
      <c r="J414" s="1501"/>
      <c r="K414" s="1501"/>
      <c r="L414" s="1501"/>
      <c r="M414" s="1501"/>
      <c r="N414" s="1501"/>
      <c r="O414" s="1501"/>
      <c r="P414" s="1501"/>
      <c r="Q414" s="1501"/>
      <c r="R414" s="1501"/>
      <c r="S414" s="1501"/>
      <c r="T414" s="1501"/>
      <c r="U414" s="1501"/>
      <c r="V414" s="1501"/>
      <c r="W414" s="1501"/>
      <c r="X414" s="1501"/>
      <c r="Y414" s="1501"/>
      <c r="Z414" s="1501"/>
      <c r="AA414" s="1501"/>
      <c r="AB414" s="1501"/>
      <c r="AC414" s="1501"/>
      <c r="AD414" s="1501"/>
      <c r="AE414" s="1501"/>
    </row>
    <row r="415" spans="1:36" ht="13" customHeight="1">
      <c r="H415" s="1502"/>
      <c r="I415" s="1502"/>
      <c r="J415" s="1502"/>
      <c r="K415" s="1502"/>
      <c r="L415" s="1502"/>
      <c r="M415" s="1502"/>
      <c r="N415" s="1502"/>
      <c r="O415" s="1502"/>
      <c r="P415" s="1502"/>
      <c r="Q415" s="1502"/>
      <c r="R415" s="1502"/>
      <c r="S415" s="1502"/>
      <c r="T415" s="1502"/>
      <c r="U415" s="1502"/>
      <c r="V415" s="1502"/>
      <c r="W415" s="1502"/>
      <c r="X415" s="1502"/>
      <c r="Y415" s="1502"/>
      <c r="Z415" s="1502"/>
      <c r="AA415" s="1502"/>
      <c r="AB415" s="1502"/>
      <c r="AC415" s="1502"/>
      <c r="AD415" s="1502"/>
      <c r="AE415" s="1502"/>
    </row>
    <row r="416" spans="1:36" ht="13" customHeight="1"/>
    <row r="417" spans="1:39" ht="13" customHeight="1">
      <c r="A417" s="1" t="s">
        <v>1070</v>
      </c>
      <c r="B417" s="1"/>
      <c r="C417" s="1"/>
      <c r="D417" s="1" t="s">
        <v>149</v>
      </c>
      <c r="AF417" s="1" t="s">
        <v>1308</v>
      </c>
    </row>
    <row r="418" spans="1:39" ht="13" customHeight="1">
      <c r="E418" s="1421"/>
      <c r="F418" s="1421"/>
      <c r="G418" s="1421"/>
      <c r="H418" s="1118" t="s">
        <v>1309</v>
      </c>
      <c r="I418" s="1421"/>
      <c r="J418" s="1421"/>
      <c r="K418" s="1421"/>
      <c r="L418" t="s">
        <v>1310</v>
      </c>
      <c r="N418" s="22" t="s">
        <v>35</v>
      </c>
      <c r="P418" s="1646">
        <v>0.36</v>
      </c>
      <c r="Q418" s="1646"/>
      <c r="R418" s="1646"/>
      <c r="S418" t="s">
        <v>1311</v>
      </c>
      <c r="W418" s="1388">
        <f>IF(E418&gt;0,(E418*I418),(P418*43560))</f>
        <v>15681.599999999999</v>
      </c>
      <c r="X418" s="1388"/>
      <c r="Y418" s="1388"/>
      <c r="Z418" t="s">
        <v>1312</v>
      </c>
      <c r="AF418" s="1428">
        <f>IFERROR(IF(P418&gt;0,(AG437/P418),(AG437/(W418/43560))),0)</f>
        <v>180.55555555555557</v>
      </c>
      <c r="AG418" s="1428"/>
      <c r="AH418" s="1428"/>
      <c r="AM418" s="2"/>
    </row>
    <row r="419" spans="1:39" ht="13" customHeight="1">
      <c r="E419" t="s">
        <v>1313</v>
      </c>
    </row>
    <row r="420" spans="1:39" ht="13" customHeight="1">
      <c r="E420" s="1439"/>
      <c r="F420" s="1439"/>
      <c r="G420" s="1439"/>
      <c r="H420" s="1439"/>
      <c r="I420" s="1439"/>
      <c r="J420" s="1439"/>
      <c r="K420" s="1439"/>
      <c r="L420" s="1439"/>
      <c r="M420" s="1439"/>
      <c r="N420" s="1439"/>
      <c r="O420" s="1439"/>
      <c r="P420" s="1439"/>
      <c r="Q420" s="1439"/>
      <c r="R420" s="1439"/>
      <c r="S420" s="1439"/>
      <c r="T420" s="1439"/>
      <c r="U420" s="1439"/>
      <c r="V420" s="1439"/>
      <c r="W420" s="1439"/>
      <c r="X420" s="1439"/>
      <c r="Y420" s="1439"/>
      <c r="Z420" s="1439"/>
      <c r="AA420" s="1439"/>
      <c r="AB420" s="1439"/>
      <c r="AC420" s="1439"/>
      <c r="AD420" s="1439"/>
      <c r="AE420" s="1439"/>
      <c r="AF420" s="1439"/>
      <c r="AG420" s="1439"/>
      <c r="AH420" s="1439"/>
      <c r="AI420" s="1439"/>
      <c r="AJ420" s="1439"/>
    </row>
    <row r="421" spans="1:39" ht="13" customHeight="1">
      <c r="E421" s="68" t="s">
        <v>1314</v>
      </c>
      <c r="F421" s="17"/>
      <c r="G421" s="17"/>
      <c r="H421" s="17"/>
      <c r="I421" s="1532">
        <v>0.36</v>
      </c>
      <c r="J421" s="1532"/>
      <c r="K421" s="1532"/>
      <c r="L421" s="17"/>
      <c r="M421" s="68"/>
      <c r="N421" s="17"/>
      <c r="O421" s="17"/>
      <c r="P421" s="1500">
        <f>(CS634+CS642+CS658)/I421</f>
        <v>325</v>
      </c>
      <c r="Q421" s="1500"/>
      <c r="R421" s="1500"/>
      <c r="S421" s="68" t="s">
        <v>1315</v>
      </c>
      <c r="T421" s="17"/>
      <c r="U421" s="17"/>
      <c r="V421" s="17"/>
      <c r="W421" s="17"/>
      <c r="X421" s="17"/>
      <c r="Y421" s="17"/>
      <c r="Z421" s="17"/>
      <c r="AA421" s="17"/>
      <c r="AB421" s="17"/>
      <c r="AC421" s="17"/>
      <c r="AD421" s="17"/>
      <c r="AE421" s="17"/>
      <c r="AF421" s="17"/>
      <c r="AG421" s="17"/>
      <c r="AH421" s="17"/>
      <c r="AI421" s="17"/>
      <c r="AJ421" s="17"/>
    </row>
    <row r="422" spans="1:39" ht="13" customHeight="1"/>
    <row r="423" spans="1:39" ht="13" customHeight="1">
      <c r="A423" s="1" t="s">
        <v>1096</v>
      </c>
      <c r="B423" s="1"/>
      <c r="C423" s="1"/>
      <c r="D423" s="1" t="s">
        <v>151</v>
      </c>
    </row>
    <row r="424" spans="1:39" ht="13" customHeight="1">
      <c r="E424" t="s">
        <v>1316</v>
      </c>
      <c r="P424" s="1361">
        <v>1</v>
      </c>
      <c r="Q424" s="1361"/>
      <c r="S424" t="s">
        <v>1317</v>
      </c>
      <c r="AE424" s="1361">
        <v>1</v>
      </c>
      <c r="AF424" s="1361"/>
    </row>
    <row r="425" spans="1:39" ht="13" customHeight="1">
      <c r="E425" t="s">
        <v>1318</v>
      </c>
      <c r="P425" s="1361">
        <v>0</v>
      </c>
      <c r="Q425" s="1361"/>
      <c r="S425" t="s">
        <v>1319</v>
      </c>
      <c r="AE425" s="1361" t="s">
        <v>299</v>
      </c>
      <c r="AF425" s="1361"/>
    </row>
    <row r="426" spans="1:39" ht="13" customHeight="1">
      <c r="F426" s="18" t="s">
        <v>1320</v>
      </c>
    </row>
    <row r="427" spans="1:39" ht="13" customHeight="1">
      <c r="F427" s="1422"/>
      <c r="G427" s="1422"/>
      <c r="H427" s="1422"/>
      <c r="I427" s="1422"/>
      <c r="J427" s="1422"/>
      <c r="K427" s="1422"/>
      <c r="L427" s="1422"/>
      <c r="M427" s="1422"/>
      <c r="N427" s="1422"/>
      <c r="O427" s="1422"/>
      <c r="P427" s="1422"/>
      <c r="Q427" s="1422"/>
      <c r="R427" s="1422"/>
      <c r="S427" s="1422"/>
      <c r="T427" s="1422"/>
      <c r="U427" s="1422"/>
      <c r="V427" s="1422"/>
      <c r="W427" s="1422"/>
      <c r="X427" s="1422"/>
      <c r="Y427" s="1422"/>
      <c r="Z427" s="1422"/>
      <c r="AA427" s="1422"/>
      <c r="AB427" s="1422"/>
      <c r="AC427" s="1422"/>
      <c r="AD427" s="1422"/>
      <c r="AE427" s="1422"/>
      <c r="AF427" s="1422"/>
      <c r="AG427" s="1422"/>
      <c r="AH427" s="1422"/>
    </row>
    <row r="428" spans="1:39" ht="13" customHeight="1">
      <c r="F428" s="1423"/>
      <c r="G428" s="1423"/>
      <c r="H428" s="1423"/>
      <c r="I428" s="1423"/>
      <c r="J428" s="1423"/>
      <c r="K428" s="1423"/>
      <c r="L428" s="1423"/>
      <c r="M428" s="1423"/>
      <c r="N428" s="1423"/>
      <c r="O428" s="1423"/>
      <c r="P428" s="1423"/>
      <c r="Q428" s="1423"/>
      <c r="R428" s="1423"/>
      <c r="S428" s="1423"/>
      <c r="T428" s="1423"/>
      <c r="U428" s="1423"/>
      <c r="V428" s="1423"/>
      <c r="W428" s="1423"/>
      <c r="X428" s="1423"/>
      <c r="Y428" s="1423"/>
      <c r="Z428" s="1423"/>
      <c r="AA428" s="1423"/>
      <c r="AB428" s="1423"/>
      <c r="AC428" s="1423"/>
      <c r="AD428" s="1423"/>
      <c r="AE428" s="1423"/>
      <c r="AF428" s="1423"/>
      <c r="AG428" s="1423"/>
      <c r="AH428" s="1423"/>
    </row>
    <row r="429" spans="1:39" ht="13" customHeight="1">
      <c r="E429" t="s">
        <v>1321</v>
      </c>
      <c r="P429" s="1117"/>
      <c r="Q429" s="1361" t="s">
        <v>893</v>
      </c>
      <c r="R429" s="1361"/>
    </row>
    <row r="430" spans="1:39" ht="13" customHeight="1">
      <c r="F430" t="s">
        <v>1322</v>
      </c>
      <c r="P430" s="1117"/>
      <c r="Q430" s="1117"/>
      <c r="AF430" s="1361" t="s">
        <v>299</v>
      </c>
      <c r="AG430" s="1425"/>
    </row>
    <row r="431" spans="1:39" ht="13" customHeight="1"/>
    <row r="432" spans="1:39" ht="13" customHeight="1">
      <c r="A432" s="1"/>
      <c r="B432" s="1"/>
      <c r="C432" s="1"/>
      <c r="E432" s="2" t="s">
        <v>1323</v>
      </c>
      <c r="Z432" s="1361" t="s">
        <v>893</v>
      </c>
      <c r="AA432" s="1361"/>
    </row>
    <row r="433" spans="1:110" ht="13" customHeight="1">
      <c r="F433" s="29" t="s">
        <v>1324</v>
      </c>
      <c r="G433" s="1177"/>
      <c r="H433" s="1177"/>
      <c r="I433" s="1177"/>
      <c r="J433" s="1177"/>
      <c r="K433" s="1177"/>
      <c r="L433" s="1177"/>
      <c r="M433" s="1177"/>
      <c r="N433" s="1177"/>
      <c r="O433" s="1177"/>
      <c r="P433" s="1177"/>
      <c r="Q433" s="1177"/>
      <c r="R433" s="1177"/>
      <c r="S433" s="1177"/>
      <c r="T433" s="1177"/>
      <c r="U433" s="1177"/>
      <c r="V433" s="1177"/>
      <c r="W433" s="1177"/>
      <c r="AB433" s="1177"/>
    </row>
    <row r="434" spans="1:110" ht="13" customHeight="1">
      <c r="F434" t="s">
        <v>1325</v>
      </c>
      <c r="G434" s="1177"/>
      <c r="I434" s="1177"/>
      <c r="J434" s="1177"/>
      <c r="K434" s="1177"/>
      <c r="L434" s="1177"/>
      <c r="M434" s="1177"/>
      <c r="N434" s="1177"/>
      <c r="O434" s="18"/>
      <c r="P434" s="1177"/>
      <c r="Q434" s="1177"/>
      <c r="R434" s="1177"/>
      <c r="S434" s="1177"/>
      <c r="T434" s="1177"/>
      <c r="U434" s="1177"/>
      <c r="V434" s="1177"/>
      <c r="W434" s="1177"/>
      <c r="Z434" s="1361" t="s">
        <v>299</v>
      </c>
      <c r="AA434" s="1361"/>
    </row>
    <row r="435" spans="1:110" ht="13" customHeight="1"/>
    <row r="436" spans="1:110" ht="13" customHeight="1">
      <c r="A436" s="1" t="s">
        <v>1158</v>
      </c>
      <c r="B436" s="1"/>
      <c r="C436" s="1"/>
      <c r="D436" s="1" t="s">
        <v>158</v>
      </c>
      <c r="AF436" s="33"/>
    </row>
    <row r="437" spans="1:110" ht="13" customHeight="1">
      <c r="D437" s="1424" t="s">
        <v>1326</v>
      </c>
      <c r="E437" s="1396"/>
      <c r="F437" s="1396"/>
      <c r="G437" s="1396"/>
      <c r="H437" s="1396"/>
      <c r="I437" s="1396"/>
      <c r="J437" s="1396"/>
      <c r="K437" s="1396"/>
      <c r="L437" s="1396"/>
      <c r="M437" s="1396"/>
      <c r="N437" s="1396"/>
      <c r="O437" s="1396"/>
      <c r="P437" s="1396"/>
      <c r="Q437" s="1396"/>
      <c r="R437" s="1396"/>
      <c r="S437" s="1396"/>
      <c r="T437" s="1396"/>
      <c r="U437" s="1396"/>
      <c r="V437" s="1396"/>
      <c r="W437" s="1396"/>
      <c r="X437" s="1396"/>
      <c r="Y437" s="1396"/>
      <c r="Z437" s="1396"/>
      <c r="AA437" s="1396"/>
      <c r="AB437" s="1396"/>
      <c r="AC437" s="1396"/>
      <c r="AD437" s="1396"/>
      <c r="AE437" s="1396"/>
      <c r="AF437" s="1397"/>
      <c r="AG437" s="1398">
        <v>65</v>
      </c>
      <c r="AH437" s="1398"/>
      <c r="AI437" s="1398"/>
      <c r="AJ437" s="1398"/>
    </row>
    <row r="438" spans="1:110" ht="13" customHeight="1">
      <c r="D438" s="1390" t="s">
        <v>1327</v>
      </c>
      <c r="E438" s="1391"/>
      <c r="F438" s="1391"/>
      <c r="G438" s="1391"/>
      <c r="H438" s="1391"/>
      <c r="I438" s="1391"/>
      <c r="J438" s="1391"/>
      <c r="K438" s="1391"/>
      <c r="L438" s="1391"/>
      <c r="M438" s="1391"/>
      <c r="N438" s="1391"/>
      <c r="O438" s="1391"/>
      <c r="P438" s="1391"/>
      <c r="Q438" s="1391"/>
      <c r="R438" s="1391"/>
      <c r="S438" s="1391"/>
      <c r="T438" s="1391"/>
      <c r="U438" s="1391"/>
      <c r="V438" s="1391"/>
      <c r="W438" s="1391"/>
      <c r="X438" s="1391"/>
      <c r="Y438" s="1391"/>
      <c r="Z438" s="1391"/>
      <c r="AA438" s="1391"/>
      <c r="AB438" s="1391"/>
      <c r="AC438" s="1391"/>
      <c r="AD438" s="1391"/>
      <c r="AE438" s="1391"/>
      <c r="AF438" s="1392"/>
      <c r="AG438" s="1429">
        <v>0</v>
      </c>
      <c r="AH438" s="1430"/>
      <c r="AI438" s="1430"/>
      <c r="AJ438" s="1430"/>
    </row>
    <row r="439" spans="1:110" ht="13" customHeight="1">
      <c r="D439" s="1390" t="s">
        <v>1328</v>
      </c>
      <c r="E439" s="1391"/>
      <c r="F439" s="1391"/>
      <c r="G439" s="1391"/>
      <c r="H439" s="1391"/>
      <c r="I439" s="1391"/>
      <c r="J439" s="1391"/>
      <c r="K439" s="1391"/>
      <c r="L439" s="1391"/>
      <c r="M439" s="1391"/>
      <c r="N439" s="1391"/>
      <c r="O439" s="1391"/>
      <c r="P439" s="1391"/>
      <c r="Q439" s="1391"/>
      <c r="R439" s="1391"/>
      <c r="S439" s="1391"/>
      <c r="T439" s="1391"/>
      <c r="U439" s="1391"/>
      <c r="V439" s="1391"/>
      <c r="W439" s="1391"/>
      <c r="X439" s="1391"/>
      <c r="Y439" s="1391"/>
      <c r="Z439" s="1391"/>
      <c r="AA439" s="1391"/>
      <c r="AB439" s="1391"/>
      <c r="AC439" s="1391"/>
      <c r="AD439" s="1391"/>
      <c r="AE439" s="1391"/>
      <c r="AF439" s="1392"/>
      <c r="AG439" s="1398">
        <v>64</v>
      </c>
      <c r="AH439" s="1398"/>
      <c r="AI439" s="1398"/>
      <c r="AJ439" s="1398"/>
    </row>
    <row r="440" spans="1:110" ht="13" customHeight="1">
      <c r="D440" s="1390" t="s">
        <v>1329</v>
      </c>
      <c r="E440" s="1391"/>
      <c r="F440" s="1391"/>
      <c r="G440" s="1391"/>
      <c r="H440" s="1391"/>
      <c r="I440" s="1391"/>
      <c r="J440" s="1391"/>
      <c r="K440" s="1391"/>
      <c r="L440" s="1391"/>
      <c r="M440" s="1391"/>
      <c r="N440" s="1391"/>
      <c r="O440" s="1391"/>
      <c r="P440" s="1391"/>
      <c r="Q440" s="1391"/>
      <c r="R440" s="1391"/>
      <c r="S440" s="1391"/>
      <c r="T440" s="1391"/>
      <c r="U440" s="1391"/>
      <c r="V440" s="1391"/>
      <c r="W440" s="1391"/>
      <c r="X440" s="1391"/>
      <c r="Y440" s="1391"/>
      <c r="Z440" s="1391"/>
      <c r="AA440" s="1391"/>
      <c r="AB440" s="1391"/>
      <c r="AC440" s="1391"/>
      <c r="AD440" s="1391"/>
      <c r="AE440" s="1391"/>
      <c r="AF440" s="1392"/>
      <c r="AG440" s="1398">
        <v>64</v>
      </c>
      <c r="AH440" s="1398"/>
      <c r="AI440" s="1398"/>
      <c r="AJ440" s="1398"/>
    </row>
    <row r="441" spans="1:110" ht="13" customHeight="1">
      <c r="D441" s="1390" t="s">
        <v>1330</v>
      </c>
      <c r="E441" s="1391"/>
      <c r="F441" s="1391"/>
      <c r="G441" s="1391"/>
      <c r="H441" s="1391"/>
      <c r="I441" s="1391"/>
      <c r="J441" s="1391"/>
      <c r="K441" s="1391"/>
      <c r="L441" s="1391"/>
      <c r="M441" s="1391"/>
      <c r="N441" s="1391"/>
      <c r="O441" s="1391"/>
      <c r="P441" s="1391"/>
      <c r="Q441" s="1391"/>
      <c r="R441" s="1391"/>
      <c r="S441" s="1391"/>
      <c r="T441" s="1391"/>
      <c r="U441" s="1391"/>
      <c r="V441" s="1391"/>
      <c r="W441" s="1391"/>
      <c r="X441" s="1391"/>
      <c r="Y441" s="1391"/>
      <c r="Z441" s="1391"/>
      <c r="AA441" s="1391"/>
      <c r="AB441" s="1391"/>
      <c r="AC441" s="1391"/>
      <c r="AD441" s="1391"/>
      <c r="AE441" s="1391"/>
      <c r="AF441" s="1392"/>
      <c r="AG441" s="1406">
        <f>IF(ISERROR(AG440/AG439),"",AG440/AG439)</f>
        <v>1</v>
      </c>
      <c r="AH441" s="1406"/>
      <c r="AI441" s="1406"/>
      <c r="AJ441" s="1406"/>
    </row>
    <row r="442" spans="1:110" ht="13" customHeight="1">
      <c r="D442" s="1390" t="s">
        <v>1331</v>
      </c>
      <c r="E442" s="1391"/>
      <c r="F442" s="1391"/>
      <c r="G442" s="1391"/>
      <c r="H442" s="1391"/>
      <c r="I442" s="1391"/>
      <c r="J442" s="1391"/>
      <c r="K442" s="1391"/>
      <c r="L442" s="1391"/>
      <c r="M442" s="1391"/>
      <c r="N442" s="1391"/>
      <c r="O442" s="1391"/>
      <c r="P442" s="1391"/>
      <c r="Q442" s="1391"/>
      <c r="R442" s="1391"/>
      <c r="S442" s="1391"/>
      <c r="T442" s="1391"/>
      <c r="U442" s="1391"/>
      <c r="V442" s="1391"/>
      <c r="W442" s="1391"/>
      <c r="X442" s="1391"/>
      <c r="Y442" s="1391"/>
      <c r="Z442" s="1391"/>
      <c r="AA442" s="1391"/>
      <c r="AB442" s="1391"/>
      <c r="AC442" s="1391"/>
      <c r="AD442" s="1391"/>
      <c r="AE442" s="1391"/>
      <c r="AF442" s="1392"/>
      <c r="AG442" s="1389">
        <v>45270</v>
      </c>
      <c r="AH442" s="1389"/>
      <c r="AI442" s="1389"/>
      <c r="AJ442" s="1389"/>
    </row>
    <row r="443" spans="1:110" ht="13" customHeight="1">
      <c r="D443" s="1390" t="s">
        <v>1332</v>
      </c>
      <c r="E443" s="1391"/>
      <c r="F443" s="1391"/>
      <c r="G443" s="1391"/>
      <c r="H443" s="1391"/>
      <c r="I443" s="1391"/>
      <c r="J443" s="1391"/>
      <c r="K443" s="1391"/>
      <c r="L443" s="1391"/>
      <c r="M443" s="1391"/>
      <c r="N443" s="1391"/>
      <c r="O443" s="1391"/>
      <c r="P443" s="1391"/>
      <c r="Q443" s="1391"/>
      <c r="R443" s="1391"/>
      <c r="S443" s="1391"/>
      <c r="T443" s="1391"/>
      <c r="U443" s="1391"/>
      <c r="V443" s="1391"/>
      <c r="W443" s="1391"/>
      <c r="X443" s="1391"/>
      <c r="Y443" s="1391"/>
      <c r="Z443" s="1391"/>
      <c r="AA443" s="1391"/>
      <c r="AB443" s="1391"/>
      <c r="AC443" s="1391"/>
      <c r="AD443" s="1391"/>
      <c r="AE443" s="1391"/>
      <c r="AF443" s="1392"/>
      <c r="AG443" s="1389">
        <v>45270</v>
      </c>
      <c r="AH443" s="1389"/>
      <c r="AI443" s="1389"/>
      <c r="AJ443" s="1389"/>
    </row>
    <row r="444" spans="1:110" ht="13" customHeight="1">
      <c r="D444" s="1390" t="s">
        <v>1333</v>
      </c>
      <c r="E444" s="1391"/>
      <c r="F444" s="1391"/>
      <c r="G444" s="1391"/>
      <c r="H444" s="1391"/>
      <c r="I444" s="1391"/>
      <c r="J444" s="1391"/>
      <c r="K444" s="1391"/>
      <c r="L444" s="1391"/>
      <c r="M444" s="1391"/>
      <c r="N444" s="1391"/>
      <c r="O444" s="1391"/>
      <c r="P444" s="1391"/>
      <c r="Q444" s="1391"/>
      <c r="R444" s="1391"/>
      <c r="S444" s="1391"/>
      <c r="T444" s="1391"/>
      <c r="U444" s="1391"/>
      <c r="V444" s="1391"/>
      <c r="W444" s="1391"/>
      <c r="X444" s="1391"/>
      <c r="Y444" s="1391"/>
      <c r="Z444" s="1391"/>
      <c r="AA444" s="1391"/>
      <c r="AB444" s="1391"/>
      <c r="AC444" s="1391"/>
      <c r="AD444" s="1391"/>
      <c r="AE444" s="1391"/>
      <c r="AF444" s="1392"/>
      <c r="AG444" s="1406">
        <f>IF(ISERROR(AG443/AG442),"",AG443/AG442)</f>
        <v>1</v>
      </c>
      <c r="AH444" s="1406"/>
      <c r="AI444" s="1406"/>
      <c r="AJ444" s="1406"/>
    </row>
    <row r="445" spans="1:110" ht="13" customHeight="1">
      <c r="D445" s="1390" t="s">
        <v>1334</v>
      </c>
      <c r="E445" s="1391"/>
      <c r="F445" s="1391"/>
      <c r="G445" s="1391"/>
      <c r="H445" s="1391"/>
      <c r="I445" s="1391"/>
      <c r="J445" s="1391"/>
      <c r="K445" s="1391"/>
      <c r="L445" s="1391"/>
      <c r="M445" s="1391"/>
      <c r="N445" s="1391"/>
      <c r="O445" s="1391"/>
      <c r="P445" s="1391"/>
      <c r="Q445" s="1391"/>
      <c r="R445" s="1391"/>
      <c r="S445" s="1391"/>
      <c r="T445" s="1391"/>
      <c r="U445" s="1391"/>
      <c r="V445" s="1391"/>
      <c r="W445" s="1391"/>
      <c r="X445" s="1391"/>
      <c r="Y445" s="1391"/>
      <c r="Z445" s="1391"/>
      <c r="AA445" s="1391"/>
      <c r="AB445" s="1391"/>
      <c r="AC445" s="1391"/>
      <c r="AD445" s="1391"/>
      <c r="AE445" s="1391"/>
      <c r="AF445" s="1392"/>
      <c r="AG445" s="1406">
        <f>MIN(IF(AG441&gt;AG444,AG444,AG441),1)</f>
        <v>1</v>
      </c>
      <c r="AH445" s="1406"/>
      <c r="AI445" s="1406"/>
      <c r="AJ445" s="1406"/>
    </row>
    <row r="446" spans="1:110" ht="13" customHeight="1">
      <c r="D446" s="1390" t="s">
        <v>1335</v>
      </c>
      <c r="E446" s="1396"/>
      <c r="F446" s="1396"/>
      <c r="G446" s="1396"/>
      <c r="H446" s="1396"/>
      <c r="I446" s="1396"/>
      <c r="J446" s="1396"/>
      <c r="K446" s="1396"/>
      <c r="L446" s="1396"/>
      <c r="M446" s="1396"/>
      <c r="N446" s="1396"/>
      <c r="O446" s="1396"/>
      <c r="P446" s="1396"/>
      <c r="Q446" s="1396"/>
      <c r="R446" s="1396"/>
      <c r="S446" s="1396"/>
      <c r="T446" s="1396"/>
      <c r="U446" s="1396"/>
      <c r="V446" s="1396"/>
      <c r="W446" s="1396"/>
      <c r="X446" s="1396"/>
      <c r="Y446" s="1396"/>
      <c r="Z446" s="1396"/>
      <c r="AA446" s="1396"/>
      <c r="AB446" s="1396"/>
      <c r="AC446" s="1396"/>
      <c r="AD446" s="1396"/>
      <c r="AE446" s="1396"/>
      <c r="AF446" s="1397"/>
      <c r="AG446" s="1389">
        <f>2550</f>
        <v>2550</v>
      </c>
      <c r="AH446" s="1389"/>
      <c r="AI446" s="1389"/>
      <c r="AJ446" s="1389"/>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 customHeight="1">
      <c r="D447" s="1424" t="s">
        <v>1336</v>
      </c>
      <c r="E447" s="1396"/>
      <c r="F447" s="1396"/>
      <c r="G447" s="1396"/>
      <c r="H447" s="1396"/>
      <c r="I447" s="1396"/>
      <c r="J447" s="1396"/>
      <c r="K447" s="1396"/>
      <c r="L447" s="1396"/>
      <c r="M447" s="1396"/>
      <c r="N447" s="1396"/>
      <c r="O447" s="1396"/>
      <c r="P447" s="1396"/>
      <c r="Q447" s="1396"/>
      <c r="R447" s="1396"/>
      <c r="S447" s="1396"/>
      <c r="T447" s="1396"/>
      <c r="U447" s="1396"/>
      <c r="V447" s="1396"/>
      <c r="W447" s="1396"/>
      <c r="X447" s="1396"/>
      <c r="Y447" s="1396"/>
      <c r="Z447" s="1396"/>
      <c r="AA447" s="1396"/>
      <c r="AB447" s="1396"/>
      <c r="AC447" s="1396"/>
      <c r="AD447" s="1396"/>
      <c r="AE447" s="1396"/>
      <c r="AF447" s="1397"/>
      <c r="AG447" s="1389">
        <v>0</v>
      </c>
      <c r="AH447" s="1389"/>
      <c r="AI447" s="1389"/>
      <c r="AJ447" s="1389"/>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 customHeight="1">
      <c r="D448" s="1390" t="s">
        <v>1337</v>
      </c>
      <c r="E448" s="1396"/>
      <c r="F448" s="1396"/>
      <c r="G448" s="1396"/>
      <c r="H448" s="1396"/>
      <c r="I448" s="1396"/>
      <c r="J448" s="1396"/>
      <c r="K448" s="1396"/>
      <c r="L448" s="1396"/>
      <c r="M448" s="1396"/>
      <c r="N448" s="1396"/>
      <c r="O448" s="1396"/>
      <c r="P448" s="1396"/>
      <c r="Q448" s="1396"/>
      <c r="R448" s="1396"/>
      <c r="S448" s="1396"/>
      <c r="T448" s="1396"/>
      <c r="U448" s="1396"/>
      <c r="V448" s="1396"/>
      <c r="W448" s="1396"/>
      <c r="X448" s="1396"/>
      <c r="Y448" s="1396"/>
      <c r="Z448" s="1396"/>
      <c r="AA448" s="1396"/>
      <c r="AB448" s="1396"/>
      <c r="AC448" s="1396"/>
      <c r="AD448" s="1396"/>
      <c r="AE448" s="1396"/>
      <c r="AF448" s="1397"/>
      <c r="AG448" s="1389">
        <f>25478-2550</f>
        <v>22928</v>
      </c>
      <c r="AH448" s="1389"/>
      <c r="AI448" s="1389"/>
      <c r="AJ448" s="1389"/>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 customHeight="1">
      <c r="D449" s="1390" t="s">
        <v>1338</v>
      </c>
      <c r="E449" s="1396"/>
      <c r="F449" s="1396"/>
      <c r="G449" s="1396"/>
      <c r="H449" s="1396"/>
      <c r="I449" s="1396"/>
      <c r="J449" s="1396"/>
      <c r="K449" s="1396"/>
      <c r="L449" s="1396"/>
      <c r="M449" s="1396"/>
      <c r="N449" s="1396"/>
      <c r="O449" s="1396"/>
      <c r="P449" s="1396"/>
      <c r="Q449" s="1396"/>
      <c r="R449" s="1396"/>
      <c r="S449" s="1396"/>
      <c r="T449" s="1396"/>
      <c r="U449" s="1396"/>
      <c r="V449" s="1396"/>
      <c r="W449" s="1396"/>
      <c r="X449" s="1396"/>
      <c r="Y449" s="1396"/>
      <c r="Z449" s="1396"/>
      <c r="AA449" s="1396"/>
      <c r="AB449" s="1396"/>
      <c r="AC449" s="1396"/>
      <c r="AD449" s="1396"/>
      <c r="AE449" s="1396"/>
      <c r="AF449" s="1397"/>
      <c r="AG449" s="1389">
        <v>0</v>
      </c>
      <c r="AH449" s="1389"/>
      <c r="AI449" s="1389"/>
      <c r="AJ449" s="1389"/>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 customHeight="1">
      <c r="D450" s="1441" t="s">
        <v>1339</v>
      </c>
      <c r="E450" s="1442"/>
      <c r="F450" s="1442"/>
      <c r="G450" s="1442"/>
      <c r="H450" s="1442"/>
      <c r="I450" s="1442"/>
      <c r="J450" s="1442"/>
      <c r="K450" s="1442"/>
      <c r="L450" s="1442"/>
      <c r="M450" s="1442"/>
      <c r="N450" s="1442"/>
      <c r="O450" s="1442"/>
      <c r="P450" s="1442"/>
      <c r="Q450" s="1442"/>
      <c r="R450" s="1442"/>
      <c r="S450" s="1442"/>
      <c r="T450" s="1442"/>
      <c r="U450" s="1442"/>
      <c r="V450" s="1442"/>
      <c r="W450" s="1442"/>
      <c r="X450" s="1442"/>
      <c r="Y450" s="1442"/>
      <c r="Z450" s="1442"/>
      <c r="AA450" s="1442"/>
      <c r="AB450" s="1442"/>
      <c r="AC450" s="1442"/>
      <c r="AD450" s="1442"/>
      <c r="AE450" s="1442"/>
      <c r="AF450" s="1443"/>
      <c r="AG450" s="1355">
        <f>AG442+AG446+AG448+AG449</f>
        <v>70748</v>
      </c>
      <c r="AH450" s="1355"/>
      <c r="AI450" s="1355"/>
      <c r="AJ450" s="1355"/>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 customHeight="1">
      <c r="D451" s="1444" t="s">
        <v>1340</v>
      </c>
      <c r="E451" s="1444"/>
      <c r="F451" s="1444"/>
      <c r="G451" s="1444"/>
      <c r="H451" s="1444"/>
      <c r="I451" s="1444"/>
      <c r="J451" s="1444"/>
      <c r="K451" s="1444"/>
      <c r="L451" s="1444"/>
      <c r="M451" s="1444"/>
      <c r="N451" s="1444"/>
      <c r="O451" s="1444"/>
      <c r="P451" s="1444"/>
      <c r="Q451" s="1444"/>
      <c r="R451" s="1444"/>
      <c r="S451" s="1444"/>
      <c r="T451" s="1444"/>
      <c r="U451" s="1444"/>
      <c r="V451" s="1444"/>
      <c r="W451" s="1444"/>
      <c r="X451" s="1444"/>
      <c r="Y451" s="1444"/>
      <c r="Z451" s="1444"/>
      <c r="AA451" s="1444"/>
      <c r="AB451" s="1444"/>
      <c r="AC451" s="1444"/>
      <c r="AD451" s="1444"/>
      <c r="AE451" s="1444"/>
      <c r="AF451" s="1444"/>
      <c r="AG451" s="1444"/>
      <c r="AH451" s="1444"/>
      <c r="AI451" s="1444"/>
      <c r="AJ451" s="1444"/>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 customHeight="1">
      <c r="D452" s="1445"/>
      <c r="E452" s="1445"/>
      <c r="F452" s="1445"/>
      <c r="G452" s="1445"/>
      <c r="H452" s="1445"/>
      <c r="I452" s="1445"/>
      <c r="J452" s="1445"/>
      <c r="K452" s="1445"/>
      <c r="L452" s="1445"/>
      <c r="M452" s="1445"/>
      <c r="N452" s="1445"/>
      <c r="O452" s="1445"/>
      <c r="P452" s="1445"/>
      <c r="Q452" s="1445"/>
      <c r="R452" s="1445"/>
      <c r="S452" s="1445"/>
      <c r="T452" s="1445"/>
      <c r="U452" s="1445"/>
      <c r="V452" s="1445"/>
      <c r="W452" s="1445"/>
      <c r="X452" s="1445"/>
      <c r="Y452" s="1445"/>
      <c r="Z452" s="1445"/>
      <c r="AA452" s="1445"/>
      <c r="AB452" s="1445"/>
      <c r="AC452" s="1445"/>
      <c r="AD452" s="1445"/>
      <c r="AE452" s="1445"/>
      <c r="AF452" s="1445"/>
      <c r="AG452" s="1445"/>
      <c r="AH452" s="1445"/>
      <c r="AI452" s="1445"/>
      <c r="AJ452" s="1445"/>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 customHeight="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2"/>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 customHeight="1">
      <c r="D454" s="119" t="s">
        <v>1341</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356">
        <f>IF(AG437=0,"",'Sources and Uses Budget'!B105/Application!AG437)</f>
        <v>849752.23076923075</v>
      </c>
      <c r="AD454" s="1356"/>
      <c r="AE454" s="1356"/>
      <c r="AF454" s="1356"/>
      <c r="AG454" s="386"/>
      <c r="AH454" s="386"/>
      <c r="AI454" s="386"/>
      <c r="AJ454" s="792"/>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 customHeight="1">
      <c r="D455" s="119" t="s">
        <v>1342</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356">
        <f>IF(AG437=0,"",'Sources and Uses Budget'!C105/Application!AG437)</f>
        <v>849752.23076923075</v>
      </c>
      <c r="AD455" s="1356"/>
      <c r="AE455" s="1356"/>
      <c r="AF455" s="1356"/>
      <c r="AG455" s="386"/>
      <c r="AH455" s="386"/>
      <c r="AI455" s="386"/>
      <c r="AJ455" s="79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 customHeight="1">
      <c r="D456" s="119" t="s">
        <v>1343</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356">
        <f>IF(AG437=0,"",('Sources and Uses Budget'!$S$107+'Sources and Uses Budget'!$T$107)/Application!AG437)</f>
        <v>749721.25846153847</v>
      </c>
      <c r="AD456" s="1356"/>
      <c r="AE456" s="1356"/>
      <c r="AF456" s="1356"/>
      <c r="AG456" s="386"/>
      <c r="AH456" s="386"/>
      <c r="AI456" s="386"/>
      <c r="AJ456" s="79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 customHeight="1">
      <c r="D457" s="386"/>
      <c r="E457" s="386"/>
      <c r="F457" s="149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90"/>
      <c r="H457" s="1490"/>
      <c r="I457" s="1490"/>
      <c r="J457" s="1490"/>
      <c r="K457" s="1490"/>
      <c r="L457" s="1490"/>
      <c r="M457" s="1490"/>
      <c r="N457" s="1490"/>
      <c r="O457" s="1490"/>
      <c r="P457" s="1490"/>
      <c r="Q457" s="1490"/>
      <c r="R457" s="1490"/>
      <c r="S457" s="1490"/>
      <c r="T457" s="1490"/>
      <c r="U457" s="1490"/>
      <c r="V457" s="1490"/>
      <c r="W457" s="1490"/>
      <c r="X457" s="1490"/>
      <c r="Y457" s="1490"/>
      <c r="Z457" s="1490"/>
      <c r="AA457" s="1490"/>
      <c r="AB457" s="1490"/>
      <c r="AC457" s="386"/>
      <c r="AD457" s="386"/>
      <c r="AE457" s="386"/>
      <c r="AF457" s="386"/>
      <c r="AG457" s="386"/>
      <c r="AH457" s="386"/>
      <c r="AI457" s="386"/>
      <c r="AJ457" s="79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 customHeight="1">
      <c r="A458" s="1"/>
      <c r="D458" s="1"/>
      <c r="E458" s="386"/>
      <c r="F458" s="1490"/>
      <c r="G458" s="1490"/>
      <c r="H458" s="1490"/>
      <c r="I458" s="1490"/>
      <c r="J458" s="1490"/>
      <c r="K458" s="1490"/>
      <c r="L458" s="1490"/>
      <c r="M458" s="1490"/>
      <c r="N458" s="1490"/>
      <c r="O458" s="1490"/>
      <c r="P458" s="1490"/>
      <c r="Q458" s="1490"/>
      <c r="R458" s="1490"/>
      <c r="S458" s="1490"/>
      <c r="T458" s="1490"/>
      <c r="U458" s="1490"/>
      <c r="V458" s="1490"/>
      <c r="W458" s="1490"/>
      <c r="X458" s="1490"/>
      <c r="Y458" s="1490"/>
      <c r="Z458" s="1490"/>
      <c r="AA458" s="1490"/>
      <c r="AB458" s="1490"/>
      <c r="AC458" s="386"/>
      <c r="AD458" s="386"/>
      <c r="AE458" s="386"/>
      <c r="AF458" s="386"/>
      <c r="AG458" s="386"/>
      <c r="AH458" s="386"/>
      <c r="AI458" s="386"/>
      <c r="AJ458" s="79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 customHeight="1">
      <c r="A459" s="1" t="s">
        <v>1344</v>
      </c>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 customHeight="1">
      <c r="D460" s="108" t="s">
        <v>1345</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 customHeight="1">
      <c r="D461" s="108" t="s">
        <v>1346</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2"/>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 customHeight="1">
      <c r="D462" s="108" t="s">
        <v>1347</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2"/>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 customHeight="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 customHeight="1">
      <c r="A464" s="2"/>
      <c r="B464" s="2"/>
      <c r="C464" s="2"/>
      <c r="D464" s="108" t="s">
        <v>1348</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386"/>
      <c r="AE464" s="386"/>
      <c r="AF464" s="386"/>
      <c r="AG464" s="386"/>
      <c r="AH464" s="386"/>
      <c r="AI464" s="386"/>
      <c r="AJ464" s="79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 customHeight="1">
      <c r="A465" s="2"/>
      <c r="B465" s="2"/>
      <c r="C465" s="2"/>
      <c r="D465" s="1362" t="s">
        <v>1349</v>
      </c>
      <c r="E465" s="1363"/>
      <c r="F465" s="1363"/>
      <c r="G465" s="1363"/>
      <c r="H465" s="1363"/>
      <c r="I465" s="1363"/>
      <c r="J465" s="1363"/>
      <c r="K465" s="1363"/>
      <c r="L465" s="1363"/>
      <c r="M465" s="1363"/>
      <c r="N465" s="1363"/>
      <c r="O465" s="1363"/>
      <c r="P465" s="1363"/>
      <c r="Q465" s="1363"/>
      <c r="R465" s="1363"/>
      <c r="S465" s="1363"/>
      <c r="T465" s="1363"/>
      <c r="U465" s="1363"/>
      <c r="V465" s="1364"/>
      <c r="W465" s="1383">
        <v>17</v>
      </c>
      <c r="X465" s="1384"/>
      <c r="Y465" s="1385"/>
      <c r="Z465" s="108"/>
      <c r="AA465" s="108"/>
      <c r="AB465" s="108"/>
      <c r="AC465" s="108"/>
      <c r="AD465" s="386"/>
      <c r="AE465" s="386"/>
      <c r="AF465" s="386"/>
      <c r="AG465" s="386"/>
      <c r="AH465" s="386"/>
      <c r="AI465" s="386"/>
      <c r="AJ465" s="792"/>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 customHeight="1">
      <c r="A466" s="2"/>
      <c r="B466" s="2"/>
      <c r="C466" s="2"/>
      <c r="D466" s="1362" t="s">
        <v>1350</v>
      </c>
      <c r="E466" s="1363"/>
      <c r="F466" s="1363"/>
      <c r="G466" s="1363"/>
      <c r="H466" s="1363"/>
      <c r="I466" s="1363"/>
      <c r="J466" s="1363"/>
      <c r="K466" s="1363"/>
      <c r="L466" s="1363"/>
      <c r="M466" s="1363"/>
      <c r="N466" s="1363"/>
      <c r="O466" s="1363"/>
      <c r="P466" s="1363"/>
      <c r="Q466" s="1363"/>
      <c r="R466" s="1363"/>
      <c r="S466" s="1363"/>
      <c r="T466" s="1363"/>
      <c r="U466" s="1363"/>
      <c r="V466" s="1364"/>
      <c r="W466" s="1383">
        <v>0</v>
      </c>
      <c r="X466" s="1384"/>
      <c r="Y466" s="1385"/>
      <c r="Z466" s="108"/>
      <c r="AA466" s="108"/>
      <c r="AB466" s="108"/>
      <c r="AC466" s="108"/>
      <c r="AD466" s="386"/>
      <c r="AE466" s="386"/>
      <c r="AF466" s="386"/>
      <c r="AG466" s="386"/>
      <c r="AH466" s="386"/>
      <c r="AI466" s="386"/>
      <c r="AJ466" s="79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 customHeight="1">
      <c r="A467" s="2"/>
      <c r="B467" s="2"/>
      <c r="C467" s="2"/>
      <c r="D467" s="1362" t="s">
        <v>1351</v>
      </c>
      <c r="E467" s="1363"/>
      <c r="F467" s="1363"/>
      <c r="G467" s="1363"/>
      <c r="H467" s="1363"/>
      <c r="I467" s="1363"/>
      <c r="J467" s="1363"/>
      <c r="K467" s="1363"/>
      <c r="L467" s="1363"/>
      <c r="M467" s="1363"/>
      <c r="N467" s="1363"/>
      <c r="O467" s="1363"/>
      <c r="P467" s="1363"/>
      <c r="Q467" s="1363"/>
      <c r="R467" s="1363"/>
      <c r="S467" s="1363"/>
      <c r="T467" s="1363"/>
      <c r="U467" s="1363"/>
      <c r="V467" s="1364"/>
      <c r="W467" s="1383">
        <v>0</v>
      </c>
      <c r="X467" s="1384"/>
      <c r="Y467" s="1385"/>
      <c r="Z467" s="108"/>
      <c r="AA467" s="108"/>
      <c r="AB467" s="108"/>
      <c r="AC467" s="108"/>
      <c r="AD467" s="386"/>
      <c r="AE467" s="386"/>
      <c r="AF467" s="386"/>
      <c r="AG467" s="386"/>
      <c r="AH467" s="386"/>
      <c r="AI467" s="386"/>
      <c r="AJ467" s="79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 customHeight="1">
      <c r="A468" s="2"/>
      <c r="B468" s="2"/>
      <c r="C468" s="2"/>
      <c r="D468" s="1362" t="s">
        <v>1352</v>
      </c>
      <c r="E468" s="1363"/>
      <c r="F468" s="1363"/>
      <c r="G468" s="1363"/>
      <c r="H468" s="1363"/>
      <c r="I468" s="1363"/>
      <c r="J468" s="1363"/>
      <c r="K468" s="1363"/>
      <c r="L468" s="1363"/>
      <c r="M468" s="1363"/>
      <c r="N468" s="1363"/>
      <c r="O468" s="1363"/>
      <c r="P468" s="1363"/>
      <c r="Q468" s="1363"/>
      <c r="R468" s="1363"/>
      <c r="S468" s="1363"/>
      <c r="T468" s="1363"/>
      <c r="U468" s="1363"/>
      <c r="V468" s="1364"/>
      <c r="W468" s="1383">
        <v>0</v>
      </c>
      <c r="X468" s="1384"/>
      <c r="Y468" s="1385"/>
      <c r="Z468" s="108"/>
      <c r="AA468" s="108"/>
      <c r="AB468" s="108"/>
      <c r="AC468" s="108"/>
      <c r="AD468" s="386"/>
      <c r="AE468" s="386"/>
      <c r="AF468" s="386"/>
      <c r="AG468" s="386"/>
      <c r="AH468" s="386"/>
      <c r="AI468" s="386"/>
      <c r="AJ468" s="79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 customHeight="1">
      <c r="A469" s="2"/>
      <c r="B469" s="2"/>
      <c r="C469" s="2"/>
      <c r="D469" s="1362" t="s">
        <v>1353</v>
      </c>
      <c r="E469" s="1363"/>
      <c r="F469" s="1363"/>
      <c r="G469" s="1363"/>
      <c r="H469" s="1363"/>
      <c r="I469" s="1363"/>
      <c r="J469" s="1363"/>
      <c r="K469" s="1363"/>
      <c r="L469" s="1363"/>
      <c r="M469" s="1363"/>
      <c r="N469" s="1363"/>
      <c r="O469" s="1363"/>
      <c r="P469" s="1363"/>
      <c r="Q469" s="1363"/>
      <c r="R469" s="1363"/>
      <c r="S469" s="1363"/>
      <c r="T469" s="1363"/>
      <c r="U469" s="1363"/>
      <c r="V469" s="1364"/>
      <c r="W469" s="1383">
        <v>0</v>
      </c>
      <c r="X469" s="1384"/>
      <c r="Y469" s="1385"/>
      <c r="Z469" s="108"/>
      <c r="AA469" s="108"/>
      <c r="AB469" s="108"/>
      <c r="AC469" s="108"/>
      <c r="AD469" s="386"/>
      <c r="AE469" s="386"/>
      <c r="AF469" s="386"/>
      <c r="AG469" s="386"/>
      <c r="AH469" s="386"/>
      <c r="AI469" s="386"/>
      <c r="AJ469" s="792"/>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 customHeight="1">
      <c r="A470" s="2"/>
      <c r="B470" s="2"/>
      <c r="C470" s="2"/>
      <c r="D470" s="1362" t="s">
        <v>1354</v>
      </c>
      <c r="E470" s="1363"/>
      <c r="F470" s="1363"/>
      <c r="G470" s="1363"/>
      <c r="H470" s="1363"/>
      <c r="I470" s="1363"/>
      <c r="J470" s="1363"/>
      <c r="K470" s="1363"/>
      <c r="L470" s="1363"/>
      <c r="M470" s="1363"/>
      <c r="N470" s="1363"/>
      <c r="O470" s="1363"/>
      <c r="P470" s="1363"/>
      <c r="Q470" s="1363"/>
      <c r="R470" s="1363"/>
      <c r="S470" s="1363"/>
      <c r="T470" s="1363"/>
      <c r="U470" s="1363"/>
      <c r="V470" s="1364"/>
      <c r="W470" s="1383">
        <v>0</v>
      </c>
      <c r="X470" s="1384"/>
      <c r="Y470" s="1385"/>
      <c r="Z470" s="108"/>
      <c r="AA470" s="108"/>
      <c r="AB470" s="108"/>
      <c r="AC470" s="108"/>
      <c r="AD470" s="386"/>
      <c r="AE470" s="386"/>
      <c r="AF470" s="386"/>
      <c r="AG470" s="386"/>
      <c r="AH470" s="386"/>
      <c r="AI470" s="386"/>
      <c r="AJ470" s="792"/>
      <c r="AZ470" s="2"/>
      <c r="BA470" s="2" t="str">
        <f>AG591</f>
        <v>No</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 customHeight="1">
      <c r="A471" s="2"/>
      <c r="B471" s="2"/>
      <c r="C471" s="2"/>
      <c r="D471" s="1362" t="s">
        <v>1355</v>
      </c>
      <c r="E471" s="1363"/>
      <c r="F471" s="1363"/>
      <c r="G471" s="1363"/>
      <c r="H471" s="1363"/>
      <c r="I471" s="1363"/>
      <c r="J471" s="1363"/>
      <c r="K471" s="1363"/>
      <c r="L471" s="1363"/>
      <c r="M471" s="1363"/>
      <c r="N471" s="1363"/>
      <c r="O471" s="1363"/>
      <c r="P471" s="1363"/>
      <c r="Q471" s="1363"/>
      <c r="R471" s="1363"/>
      <c r="S471" s="1363"/>
      <c r="T471" s="1363"/>
      <c r="U471" s="1363"/>
      <c r="V471" s="1364"/>
      <c r="W471" s="1383">
        <v>0</v>
      </c>
      <c r="X471" s="1384"/>
      <c r="Y471" s="1385"/>
      <c r="Z471" s="108"/>
      <c r="AA471" s="108"/>
      <c r="AB471" s="108"/>
      <c r="AC471" s="108"/>
      <c r="AD471" s="386"/>
      <c r="AE471" s="386"/>
      <c r="AF471" s="386"/>
      <c r="AG471" s="386"/>
      <c r="AH471" s="386"/>
      <c r="AI471" s="386"/>
      <c r="AJ471" s="79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 customHeight="1">
      <c r="A472" s="2"/>
      <c r="B472" s="2"/>
      <c r="C472" s="2"/>
      <c r="D472" s="1362" t="s">
        <v>1356</v>
      </c>
      <c r="E472" s="1363"/>
      <c r="F472" s="1363"/>
      <c r="G472" s="1363"/>
      <c r="H472" s="1363"/>
      <c r="I472" s="1363"/>
      <c r="J472" s="1363"/>
      <c r="K472" s="1363"/>
      <c r="L472" s="1363"/>
      <c r="M472" s="1363"/>
      <c r="N472" s="1363"/>
      <c r="O472" s="1363"/>
      <c r="P472" s="1363"/>
      <c r="Q472" s="1363"/>
      <c r="R472" s="1363"/>
      <c r="S472" s="1363"/>
      <c r="T472" s="1363"/>
      <c r="U472" s="1363"/>
      <c r="V472" s="1364"/>
      <c r="W472" s="1383">
        <v>0</v>
      </c>
      <c r="X472" s="1384"/>
      <c r="Y472" s="1385"/>
      <c r="Z472" s="108"/>
      <c r="AA472" s="108"/>
      <c r="AB472" s="108"/>
      <c r="AC472" s="108"/>
      <c r="AD472" s="386"/>
      <c r="AE472" s="386"/>
      <c r="AF472" s="386"/>
      <c r="AG472" s="386"/>
      <c r="AH472" s="386"/>
      <c r="AI472" s="386"/>
      <c r="AJ472" s="79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 customHeight="1">
      <c r="A473" s="2"/>
      <c r="B473" s="2"/>
      <c r="C473" s="2"/>
      <c r="D473" s="1362" t="s">
        <v>1357</v>
      </c>
      <c r="E473" s="1363"/>
      <c r="F473" s="1363"/>
      <c r="G473" s="1363"/>
      <c r="H473" s="1363"/>
      <c r="I473" s="1363"/>
      <c r="J473" s="1363"/>
      <c r="K473" s="1363"/>
      <c r="L473" s="1363"/>
      <c r="M473" s="1363"/>
      <c r="N473" s="1363"/>
      <c r="O473" s="1363"/>
      <c r="P473" s="1363"/>
      <c r="Q473" s="1363"/>
      <c r="R473" s="1363"/>
      <c r="S473" s="1363"/>
      <c r="T473" s="1363"/>
      <c r="U473" s="1363"/>
      <c r="V473" s="1364"/>
      <c r="W473" s="1383">
        <v>0</v>
      </c>
      <c r="X473" s="1384"/>
      <c r="Y473" s="1385"/>
      <c r="Z473" s="108"/>
      <c r="AA473" s="108"/>
      <c r="AB473" s="108"/>
      <c r="AC473" s="108"/>
      <c r="AD473" s="386"/>
      <c r="AE473" s="386"/>
      <c r="AF473" s="386"/>
      <c r="AG473" s="386"/>
      <c r="AH473" s="386"/>
      <c r="AI473" s="386"/>
      <c r="AJ473" s="79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 customHeight="1">
      <c r="A474" s="2"/>
      <c r="B474" s="2"/>
      <c r="C474" s="2"/>
      <c r="D474" s="1037" t="s">
        <v>232</v>
      </c>
      <c r="E474" s="1038"/>
      <c r="F474" s="1039"/>
      <c r="G474" s="1487" t="s">
        <v>988</v>
      </c>
      <c r="H474" s="1488"/>
      <c r="I474" s="1488"/>
      <c r="J474" s="1488"/>
      <c r="K474" s="1488"/>
      <c r="L474" s="1488"/>
      <c r="M474" s="1488"/>
      <c r="N474" s="1488"/>
      <c r="O474" s="1488"/>
      <c r="P474" s="1488"/>
      <c r="Q474" s="1488"/>
      <c r="R474" s="1488"/>
      <c r="S474" s="1488"/>
      <c r="T474" s="1488"/>
      <c r="U474" s="1488"/>
      <c r="V474" s="1489"/>
      <c r="W474" s="1383">
        <f>65-17</f>
        <v>48</v>
      </c>
      <c r="X474" s="1384"/>
      <c r="Y474" s="1385"/>
      <c r="Z474" s="108"/>
      <c r="AA474" s="108"/>
      <c r="AB474" s="108"/>
      <c r="AC474" s="108"/>
      <c r="AD474" s="386"/>
      <c r="AE474" s="386"/>
      <c r="AF474" s="386"/>
      <c r="AG474" s="386"/>
      <c r="AH474" s="386"/>
      <c r="AI474" s="386"/>
      <c r="AJ474" s="79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 customHeight="1">
      <c r="A475" s="2"/>
      <c r="B475" s="2"/>
      <c r="C475" s="2"/>
      <c r="D475" s="1040" t="s">
        <v>1358</v>
      </c>
      <c r="E475" s="1041"/>
      <c r="F475" s="1041"/>
      <c r="G475" s="108"/>
      <c r="H475" s="108"/>
      <c r="I475" s="108"/>
      <c r="J475" s="108"/>
      <c r="K475" s="108"/>
      <c r="L475" s="108"/>
      <c r="M475" s="108"/>
      <c r="N475" s="108"/>
      <c r="O475" s="108"/>
      <c r="P475" s="108"/>
      <c r="Q475" s="108"/>
      <c r="R475" s="108"/>
      <c r="S475" s="108"/>
      <c r="T475" s="108"/>
      <c r="U475" s="108"/>
      <c r="V475" s="108"/>
      <c r="W475" s="1042"/>
      <c r="X475" s="1042"/>
      <c r="Y475" s="1043"/>
      <c r="Z475" s="108"/>
      <c r="AA475" s="108"/>
      <c r="AB475" s="108"/>
      <c r="AC475" s="108"/>
      <c r="AD475" s="386"/>
      <c r="AE475" s="386"/>
      <c r="AF475" s="386"/>
      <c r="AG475" s="386"/>
      <c r="AH475" s="386"/>
      <c r="AI475" s="386"/>
      <c r="AJ475" s="79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 customHeight="1">
      <c r="A476" s="2"/>
      <c r="B476" s="2"/>
      <c r="C476" s="2"/>
      <c r="D476" s="1144"/>
      <c r="E476" s="1138"/>
      <c r="F476" s="1138"/>
      <c r="G476" s="1138"/>
      <c r="H476" s="1138"/>
      <c r="I476" s="1138"/>
      <c r="J476" s="1138"/>
      <c r="K476" s="1138"/>
      <c r="L476" s="1138"/>
      <c r="M476" s="1138"/>
      <c r="N476" s="1138"/>
      <c r="O476" s="1138"/>
      <c r="P476" s="1138"/>
      <c r="Q476" s="1138"/>
      <c r="R476" s="1138"/>
      <c r="S476" s="1138"/>
      <c r="T476" s="1138"/>
      <c r="U476" s="1138"/>
      <c r="V476" s="1138"/>
      <c r="W476" s="1044"/>
      <c r="X476" s="1044"/>
      <c r="Y476" s="1045"/>
      <c r="Z476" s="108"/>
      <c r="AA476" s="108"/>
      <c r="AB476" s="108"/>
      <c r="AC476" s="108"/>
      <c r="AD476" s="386"/>
      <c r="AE476" s="386"/>
      <c r="AF476" s="386"/>
      <c r="AG476" s="386"/>
      <c r="AH476" s="386"/>
      <c r="AI476" s="386"/>
      <c r="AJ476" s="79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 customHeight="1">
      <c r="A477" s="2"/>
      <c r="B477" s="2"/>
      <c r="C477" s="2"/>
      <c r="D477" s="1144"/>
      <c r="E477" s="1138"/>
      <c r="F477" s="1138"/>
      <c r="G477" s="1138"/>
      <c r="H477" s="1138"/>
      <c r="I477" s="1138"/>
      <c r="J477" s="1138"/>
      <c r="K477" s="1138"/>
      <c r="L477" s="1138"/>
      <c r="M477" s="1138"/>
      <c r="N477" s="1138"/>
      <c r="O477" s="1138"/>
      <c r="P477" s="1138"/>
      <c r="Q477" s="1138"/>
      <c r="R477" s="1138"/>
      <c r="S477" s="1138"/>
      <c r="T477" s="1138"/>
      <c r="U477" s="1138"/>
      <c r="V477" s="1138"/>
      <c r="W477" s="1044"/>
      <c r="X477" s="1044"/>
      <c r="Y477" s="1045"/>
      <c r="Z477" s="108"/>
      <c r="AA477" s="108"/>
      <c r="AB477" s="108"/>
      <c r="AC477" s="108"/>
      <c r="AD477" s="386"/>
      <c r="AE477" s="386"/>
      <c r="AF477" s="386"/>
      <c r="AG477" s="386"/>
      <c r="AH477" s="386"/>
      <c r="AI477" s="386"/>
      <c r="AJ477" s="79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 customHeight="1">
      <c r="A478" s="2"/>
      <c r="B478" s="2"/>
      <c r="C478" s="2"/>
      <c r="D478" s="1144"/>
      <c r="E478" s="1138"/>
      <c r="F478" s="1138"/>
      <c r="G478" s="1138"/>
      <c r="H478" s="1138"/>
      <c r="I478" s="1138"/>
      <c r="J478" s="1138"/>
      <c r="K478" s="1138"/>
      <c r="L478" s="1138"/>
      <c r="M478" s="1138"/>
      <c r="N478" s="1138"/>
      <c r="O478" s="1138"/>
      <c r="P478" s="1138"/>
      <c r="Q478" s="1138"/>
      <c r="R478" s="1138"/>
      <c r="S478" s="1138"/>
      <c r="T478" s="1138"/>
      <c r="U478" s="1138"/>
      <c r="V478" s="1138"/>
      <c r="W478" s="1044"/>
      <c r="X478" s="1044"/>
      <c r="Y478" s="1045"/>
      <c r="Z478" s="108"/>
      <c r="AA478" s="108"/>
      <c r="AB478" s="108"/>
      <c r="AC478" s="108"/>
      <c r="AD478" s="386"/>
      <c r="AE478" s="386"/>
      <c r="AF478" s="386"/>
      <c r="AG478" s="386"/>
      <c r="AH478" s="386"/>
      <c r="AI478" s="386"/>
      <c r="AJ478" s="792"/>
      <c r="AZ478" s="2"/>
      <c r="BA478" s="2" t="str">
        <f>N599</f>
        <v>No</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 customHeight="1">
      <c r="AU479" s="54"/>
      <c r="AV479" s="54"/>
      <c r="AW479" s="54"/>
      <c r="AX479" s="54"/>
      <c r="AY479" s="54"/>
      <c r="AZ479" s="2"/>
      <c r="BA479" s="2" t="str">
        <f>AG599</f>
        <v>No</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 customHeight="1">
      <c r="A480" s="1427" t="s">
        <v>1359</v>
      </c>
      <c r="B480" s="1427"/>
      <c r="C480" s="1427"/>
      <c r="D480" s="1427"/>
      <c r="E480" s="1427"/>
      <c r="F480" s="1427"/>
      <c r="G480" s="1427"/>
      <c r="H480" s="1427"/>
      <c r="I480" s="1427"/>
      <c r="J480" s="1427"/>
      <c r="K480" s="1427"/>
      <c r="L480" s="1427"/>
      <c r="M480" s="1427"/>
      <c r="N480" s="1427"/>
      <c r="O480" s="1427"/>
      <c r="P480" s="1427"/>
      <c r="Q480" s="1427"/>
      <c r="R480" s="1427"/>
      <c r="S480" s="1427"/>
      <c r="T480" s="1427"/>
      <c r="U480" s="1427"/>
      <c r="V480" s="1427"/>
      <c r="W480" s="1427"/>
      <c r="X480" s="1427"/>
      <c r="Y480" s="1427"/>
      <c r="Z480" s="1427"/>
      <c r="AA480" s="1427"/>
      <c r="AB480" s="1427"/>
      <c r="AC480" s="1427"/>
      <c r="AD480" s="1427"/>
      <c r="AE480" s="1427"/>
      <c r="AF480" s="1427"/>
      <c r="AG480" s="1427"/>
      <c r="AH480" s="1427"/>
      <c r="AI480" s="1427"/>
      <c r="AJ480" s="1427"/>
      <c r="AK480" s="1427"/>
      <c r="AL480" s="1427"/>
      <c r="AM480" s="1427"/>
      <c r="AN480" s="1427"/>
      <c r="AO480" s="1427"/>
      <c r="AP480" s="1427"/>
      <c r="AQ480" s="1427"/>
      <c r="AR480" s="1427"/>
      <c r="AS480" s="1427"/>
      <c r="AT480" s="1427"/>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 customHeight="1">
      <c r="A481" s="1427"/>
      <c r="B481" s="1427"/>
      <c r="C481" s="1427"/>
      <c r="D481" s="1427"/>
      <c r="E481" s="1427"/>
      <c r="F481" s="1427"/>
      <c r="G481" s="1427"/>
      <c r="H481" s="1427"/>
      <c r="I481" s="1427"/>
      <c r="J481" s="1427"/>
      <c r="K481" s="1427"/>
      <c r="L481" s="1427"/>
      <c r="M481" s="1427"/>
      <c r="N481" s="1427"/>
      <c r="O481" s="1427"/>
      <c r="P481" s="1427"/>
      <c r="Q481" s="1427"/>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7"/>
      <c r="AL481" s="1427"/>
      <c r="AM481" s="1427"/>
      <c r="AN481" s="1427"/>
      <c r="AO481" s="1427"/>
      <c r="AP481" s="1427"/>
      <c r="AQ481" s="1427"/>
      <c r="AR481" s="1427"/>
      <c r="AS481" s="1427"/>
      <c r="AT481" s="1427"/>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 customHeight="1">
      <c r="A483" s="1" t="s">
        <v>920</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 customHeight="1">
      <c r="B485" s="1155"/>
      <c r="C485" s="4"/>
      <c r="D485" s="4"/>
      <c r="E485" s="4"/>
      <c r="F485" s="4"/>
      <c r="G485" s="4"/>
      <c r="H485" s="4"/>
      <c r="I485" s="4"/>
      <c r="J485" s="4"/>
      <c r="K485" s="4"/>
      <c r="L485" s="4"/>
      <c r="M485" s="4"/>
      <c r="N485" s="4"/>
      <c r="O485" s="4"/>
      <c r="P485" s="1156"/>
      <c r="Q485" s="1486" t="s">
        <v>1360</v>
      </c>
      <c r="R485" s="1450"/>
      <c r="S485" s="1450"/>
      <c r="T485" s="1450"/>
      <c r="U485" s="1450"/>
      <c r="V485" s="1450"/>
      <c r="W485" s="1450"/>
      <c r="X485" s="1450"/>
      <c r="Y485" s="1450"/>
      <c r="Z485" s="1450"/>
      <c r="AA485" s="1450"/>
      <c r="AB485" s="1450"/>
      <c r="AC485" s="1450"/>
      <c r="AD485" s="1450"/>
      <c r="AE485" s="1450"/>
      <c r="AF485" s="1450"/>
      <c r="AG485" s="1450"/>
      <c r="AH485" s="1450"/>
      <c r="AI485" s="1450"/>
      <c r="AJ485" s="1450"/>
      <c r="AK485" s="1451"/>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 customHeight="1">
      <c r="B486" s="1155" t="s">
        <v>1361</v>
      </c>
      <c r="C486" s="4"/>
      <c r="D486" s="4"/>
      <c r="E486" s="4"/>
      <c r="F486" s="4"/>
      <c r="G486" s="4"/>
      <c r="H486" s="4"/>
      <c r="I486" s="4"/>
      <c r="J486" s="4"/>
      <c r="K486" s="4"/>
      <c r="L486" s="4"/>
      <c r="M486" s="4"/>
      <c r="N486" s="4"/>
      <c r="O486" s="4"/>
      <c r="P486" s="4"/>
      <c r="Q486" s="1352" t="s">
        <v>1362</v>
      </c>
      <c r="R486" s="1353"/>
      <c r="S486" s="1353"/>
      <c r="T486" s="1353"/>
      <c r="U486" s="1353"/>
      <c r="V486" s="1353"/>
      <c r="W486" s="1353"/>
      <c r="X486" s="1353"/>
      <c r="Y486" s="1353"/>
      <c r="Z486" s="1353"/>
      <c r="AA486" s="1353"/>
      <c r="AB486" s="1353"/>
      <c r="AC486" s="1353"/>
      <c r="AD486" s="1353"/>
      <c r="AE486" s="1353"/>
      <c r="AF486" s="1353"/>
      <c r="AG486" s="1353"/>
      <c r="AH486" s="1353"/>
      <c r="AI486" s="1353"/>
      <c r="AJ486" s="1353"/>
      <c r="AK486" s="1354"/>
      <c r="AZ486" s="2"/>
      <c r="BB486" s="2"/>
      <c r="BC486" s="2"/>
      <c r="BD486" s="2"/>
      <c r="BE486" s="2"/>
      <c r="BF486" s="2"/>
      <c r="BG486" s="2"/>
      <c r="BH486" s="2"/>
      <c r="BI486" s="2"/>
      <c r="BJ486" s="2"/>
      <c r="BK486" s="2"/>
      <c r="BL486" s="2"/>
      <c r="BM486" s="2"/>
      <c r="BN486" s="2"/>
      <c r="BO486" s="2"/>
      <c r="BP486" s="2"/>
      <c r="BQ486" s="2"/>
      <c r="BR486" s="2"/>
      <c r="BS486" s="2"/>
      <c r="BT486" s="2"/>
      <c r="BU486" s="2"/>
      <c r="BV486" s="113" t="s">
        <v>1363</v>
      </c>
      <c r="BW486" s="114"/>
      <c r="BX486" s="114"/>
      <c r="BY486" s="114"/>
      <c r="BZ486" s="114"/>
      <c r="CA486" s="114"/>
      <c r="CB486" s="114"/>
      <c r="CC486" s="2"/>
      <c r="CD486" s="113" t="s">
        <v>1364</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 customHeight="1">
      <c r="B487" s="1155" t="s">
        <v>1365</v>
      </c>
      <c r="C487" s="4"/>
      <c r="D487" s="4"/>
      <c r="E487" s="4"/>
      <c r="F487" s="4"/>
      <c r="G487" s="4"/>
      <c r="H487" s="4"/>
      <c r="I487" s="4"/>
      <c r="J487" s="4"/>
      <c r="K487" s="4"/>
      <c r="L487" s="4"/>
      <c r="M487" s="4"/>
      <c r="N487" s="4"/>
      <c r="O487" s="4"/>
      <c r="P487" s="4"/>
      <c r="Q487" s="1352" t="s">
        <v>1366</v>
      </c>
      <c r="R487" s="1353"/>
      <c r="S487" s="1353"/>
      <c r="T487" s="1353"/>
      <c r="U487" s="1353"/>
      <c r="V487" s="1353"/>
      <c r="W487" s="1353"/>
      <c r="X487" s="1353"/>
      <c r="Y487" s="1353"/>
      <c r="Z487" s="1353"/>
      <c r="AA487" s="1353"/>
      <c r="AB487" s="1353"/>
      <c r="AC487" s="1353"/>
      <c r="AD487" s="1353"/>
      <c r="AE487" s="1353"/>
      <c r="AF487" s="1353"/>
      <c r="AG487" s="1353"/>
      <c r="AH487" s="1353"/>
      <c r="AI487" s="1353"/>
      <c r="AJ487" s="1353"/>
      <c r="AK487" s="1354"/>
      <c r="AZ487" s="2"/>
      <c r="BB487" s="2"/>
      <c r="BC487" s="2"/>
      <c r="BD487" s="2"/>
      <c r="BE487" s="2"/>
      <c r="BF487" s="2"/>
      <c r="BG487" s="2"/>
      <c r="BH487" s="2"/>
      <c r="BI487" s="2"/>
      <c r="BJ487" s="2"/>
      <c r="BK487" s="2"/>
      <c r="BL487" s="2"/>
      <c r="BM487" s="2"/>
      <c r="BN487" s="2"/>
      <c r="BO487" s="2"/>
      <c r="BP487" s="2"/>
      <c r="BQ487" s="2"/>
      <c r="BR487" s="2"/>
      <c r="BS487" s="2"/>
      <c r="BT487" s="2"/>
      <c r="BU487" s="2"/>
      <c r="BV487" s="183" t="s">
        <v>1367</v>
      </c>
      <c r="BW487" s="114"/>
      <c r="BX487" s="114"/>
      <c r="BY487" s="114"/>
      <c r="BZ487" s="114"/>
      <c r="CA487" s="114"/>
      <c r="CB487" s="114"/>
      <c r="CC487" s="2"/>
      <c r="CD487" s="183" t="s">
        <v>1368</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 customHeight="1">
      <c r="B488" s="1155" t="s">
        <v>1369</v>
      </c>
      <c r="C488" s="4"/>
      <c r="D488" s="4"/>
      <c r="E488" s="4"/>
      <c r="F488" s="4"/>
      <c r="G488" s="4"/>
      <c r="H488" s="4"/>
      <c r="I488" s="4"/>
      <c r="J488" s="4"/>
      <c r="K488" s="4"/>
      <c r="L488" s="4"/>
      <c r="M488" s="4"/>
      <c r="N488" s="4"/>
      <c r="O488" s="4"/>
      <c r="P488" s="4"/>
      <c r="Q488" s="1352" t="s">
        <v>1370</v>
      </c>
      <c r="R488" s="1353"/>
      <c r="S488" s="1353"/>
      <c r="T488" s="1353"/>
      <c r="U488" s="1353"/>
      <c r="V488" s="1353"/>
      <c r="W488" s="1353"/>
      <c r="X488" s="1353"/>
      <c r="Y488" s="1353"/>
      <c r="Z488" s="1353"/>
      <c r="AA488" s="1353"/>
      <c r="AB488" s="1353"/>
      <c r="AC488" s="1353"/>
      <c r="AD488" s="1353"/>
      <c r="AE488" s="1353"/>
      <c r="AF488" s="1353"/>
      <c r="AG488" s="1353"/>
      <c r="AH488" s="1353"/>
      <c r="AI488" s="1353"/>
      <c r="AJ488" s="1353"/>
      <c r="AK488" s="1354"/>
      <c r="AZ488" s="2"/>
      <c r="BA488" s="2"/>
      <c r="BB488" s="2"/>
      <c r="BC488" s="2"/>
      <c r="BD488" s="2"/>
      <c r="BE488" s="2"/>
      <c r="BF488" s="2"/>
      <c r="BG488" s="2"/>
      <c r="BH488" s="2"/>
      <c r="BI488" s="2"/>
      <c r="BJ488" s="2"/>
      <c r="BK488" s="2"/>
      <c r="BL488" s="2"/>
      <c r="BM488" s="2"/>
      <c r="BN488" s="2"/>
      <c r="BO488" s="2"/>
      <c r="BP488" s="2"/>
      <c r="BQ488" s="2"/>
      <c r="BR488" s="2"/>
      <c r="BS488" s="2"/>
      <c r="BT488" s="2"/>
      <c r="BU488" s="2"/>
      <c r="BV488" s="1046"/>
      <c r="BW488" s="1047"/>
      <c r="BX488" s="1048"/>
      <c r="BY488" s="1048"/>
      <c r="BZ488" s="1048"/>
      <c r="CA488" s="1048"/>
      <c r="CB488" s="104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 customHeight="1" thickBot="1">
      <c r="B489" s="1407" t="s">
        <v>1371</v>
      </c>
      <c r="C489" s="1408"/>
      <c r="D489" s="1408"/>
      <c r="E489" s="1408"/>
      <c r="F489" s="1408"/>
      <c r="G489" s="1408"/>
      <c r="H489" s="1408"/>
      <c r="I489" s="1408"/>
      <c r="J489" s="1408"/>
      <c r="K489" s="1408"/>
      <c r="L489" s="1408"/>
      <c r="M489" s="1408"/>
      <c r="N489" s="1408"/>
      <c r="O489" s="1408"/>
      <c r="P489" s="1409"/>
      <c r="Q489" s="1413" t="s">
        <v>893</v>
      </c>
      <c r="R489" s="1414"/>
      <c r="S489" s="1480" t="s">
        <v>1372</v>
      </c>
      <c r="T489" s="1481"/>
      <c r="U489" s="1481"/>
      <c r="V489" s="1481"/>
      <c r="W489" s="1481"/>
      <c r="X489" s="1481"/>
      <c r="Y489" s="1481"/>
      <c r="Z489" s="1481"/>
      <c r="AA489" s="1481"/>
      <c r="AB489" s="1481"/>
      <c r="AC489" s="1481"/>
      <c r="AD489" s="1481"/>
      <c r="AE489" s="1481"/>
      <c r="AF489" s="1481"/>
      <c r="AG489" s="1481"/>
      <c r="AH489" s="1481"/>
      <c r="AI489" s="1481"/>
      <c r="AJ489" s="1481"/>
      <c r="AK489" s="1482"/>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1373</v>
      </c>
      <c r="BW489" s="239" t="s">
        <v>1374</v>
      </c>
      <c r="BX489" s="239" t="s">
        <v>1375</v>
      </c>
      <c r="BY489" s="239" t="s">
        <v>1376</v>
      </c>
      <c r="BZ489" s="239" t="s">
        <v>1377</v>
      </c>
      <c r="CA489" s="239" t="s">
        <v>1378</v>
      </c>
      <c r="CB489" s="239" t="s">
        <v>1379</v>
      </c>
      <c r="CC489" s="2"/>
      <c r="CD489" s="239" t="s">
        <v>1374</v>
      </c>
      <c r="CE489" s="239" t="s">
        <v>1375</v>
      </c>
      <c r="CF489" s="239" t="s">
        <v>1376</v>
      </c>
      <c r="CG489" s="239" t="s">
        <v>1377</v>
      </c>
      <c r="CH489" s="239" t="s">
        <v>1378</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 customHeight="1">
      <c r="B490" s="1410"/>
      <c r="C490" s="1411"/>
      <c r="D490" s="1411"/>
      <c r="E490" s="1411"/>
      <c r="F490" s="1411"/>
      <c r="G490" s="1411"/>
      <c r="H490" s="1411"/>
      <c r="I490" s="1411"/>
      <c r="J490" s="1411"/>
      <c r="K490" s="1411"/>
      <c r="L490" s="1411"/>
      <c r="M490" s="1411"/>
      <c r="N490" s="1411"/>
      <c r="O490" s="1411"/>
      <c r="P490" s="1412"/>
      <c r="Q490" s="1415"/>
      <c r="R490" s="1416"/>
      <c r="S490" s="1483"/>
      <c r="T490" s="1423"/>
      <c r="U490" s="1423"/>
      <c r="V490" s="1423"/>
      <c r="W490" s="1423"/>
      <c r="X490" s="1423"/>
      <c r="Y490" s="1423"/>
      <c r="Z490" s="1423"/>
      <c r="AA490" s="1423"/>
      <c r="AB490" s="1423"/>
      <c r="AC490" s="1423"/>
      <c r="AD490" s="1423"/>
      <c r="AE490" s="1423"/>
      <c r="AF490" s="1423"/>
      <c r="AG490" s="1423"/>
      <c r="AH490" s="1423"/>
      <c r="AI490" s="1423"/>
      <c r="AJ490" s="1423"/>
      <c r="AK490" s="1484"/>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879</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 customHeight="1">
      <c r="B491" s="728" t="s">
        <v>1380</v>
      </c>
      <c r="C491" s="1180"/>
      <c r="D491" s="1180"/>
      <c r="E491" s="1180"/>
      <c r="F491" s="1180"/>
      <c r="G491" s="1180"/>
      <c r="H491" s="1180"/>
      <c r="I491" s="1180"/>
      <c r="J491" s="1180"/>
      <c r="K491" s="1180"/>
      <c r="L491" s="1180"/>
      <c r="M491" s="1180"/>
      <c r="N491" s="1180"/>
      <c r="O491" s="1180"/>
      <c r="P491" s="1180"/>
      <c r="Q491" s="1491" t="s">
        <v>893</v>
      </c>
      <c r="R491" s="1492"/>
      <c r="S491" s="1492"/>
      <c r="T491" s="1492"/>
      <c r="U491" s="1492"/>
      <c r="V491" s="1492"/>
      <c r="W491" s="1492"/>
      <c r="X491" s="1492"/>
      <c r="Y491" s="1492"/>
      <c r="Z491" s="1492"/>
      <c r="AA491" s="1492"/>
      <c r="AB491" s="1492"/>
      <c r="AC491" s="1492"/>
      <c r="AD491" s="1492"/>
      <c r="AE491" s="1492"/>
      <c r="AF491" s="1492"/>
      <c r="AG491" s="1492"/>
      <c r="AH491" s="1492"/>
      <c r="AI491" s="1492"/>
      <c r="AJ491" s="1492"/>
      <c r="AK491" s="1493"/>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882</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 customHeight="1">
      <c r="B492" s="1155" t="s">
        <v>1381</v>
      </c>
      <c r="C492" s="4"/>
      <c r="D492" s="4"/>
      <c r="E492" s="4"/>
      <c r="F492" s="4"/>
      <c r="G492" s="4"/>
      <c r="H492" s="4"/>
      <c r="I492" s="4"/>
      <c r="J492" s="4"/>
      <c r="K492" s="4"/>
      <c r="L492" s="4"/>
      <c r="M492" s="4"/>
      <c r="N492" s="4"/>
      <c r="O492" s="4"/>
      <c r="P492" s="4"/>
      <c r="Q492" s="1352"/>
      <c r="R492" s="1353"/>
      <c r="S492" s="1353"/>
      <c r="T492" s="1353"/>
      <c r="U492" s="1353"/>
      <c r="V492" s="1353"/>
      <c r="W492" s="1353"/>
      <c r="X492" s="1353"/>
      <c r="Y492" s="1353"/>
      <c r="Z492" s="1353"/>
      <c r="AA492" s="1353"/>
      <c r="AB492" s="1353"/>
      <c r="AC492" s="1353"/>
      <c r="AD492" s="1353"/>
      <c r="AE492" s="1353"/>
      <c r="AF492" s="1353"/>
      <c r="AG492" s="1353"/>
      <c r="AH492" s="1353"/>
      <c r="AI492" s="1353"/>
      <c r="AJ492" s="1353"/>
      <c r="AK492" s="1354"/>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887</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 customHeight="1">
      <c r="B493" s="1155" t="s">
        <v>1382</v>
      </c>
      <c r="C493" s="4"/>
      <c r="D493" s="4"/>
      <c r="E493" s="4"/>
      <c r="F493" s="4"/>
      <c r="G493" s="4"/>
      <c r="H493" s="4"/>
      <c r="I493" s="4"/>
      <c r="J493" s="4"/>
      <c r="K493" s="4"/>
      <c r="L493" s="4"/>
      <c r="M493" s="4"/>
      <c r="N493" s="4"/>
      <c r="O493" s="4"/>
      <c r="P493" s="4"/>
      <c r="Q493" s="1352" t="s">
        <v>1383</v>
      </c>
      <c r="R493" s="1353"/>
      <c r="S493" s="1353"/>
      <c r="T493" s="1353"/>
      <c r="U493" s="1353"/>
      <c r="V493" s="1353"/>
      <c r="W493" s="1353"/>
      <c r="X493" s="1353"/>
      <c r="Y493" s="1353"/>
      <c r="Z493" s="1353"/>
      <c r="AA493" s="1353"/>
      <c r="AB493" s="1353"/>
      <c r="AC493" s="1353"/>
      <c r="AD493" s="1353"/>
      <c r="AE493" s="1353"/>
      <c r="AF493" s="1353"/>
      <c r="AG493" s="1353"/>
      <c r="AH493" s="1353"/>
      <c r="AI493" s="1353"/>
      <c r="AJ493" s="1353"/>
      <c r="AK493" s="1354"/>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891</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 customHeight="1">
      <c r="B494" s="1167" t="s">
        <v>1384</v>
      </c>
      <c r="C494" s="4"/>
      <c r="D494" s="4"/>
      <c r="E494" s="4"/>
      <c r="F494" s="4"/>
      <c r="G494" s="4"/>
      <c r="H494" s="4"/>
      <c r="I494" s="4"/>
      <c r="J494" s="4"/>
      <c r="K494" s="4"/>
      <c r="L494" s="4"/>
      <c r="M494" s="4"/>
      <c r="N494" s="4"/>
      <c r="O494" s="4"/>
      <c r="P494" s="4"/>
      <c r="Q494" s="1352">
        <v>19</v>
      </c>
      <c r="R494" s="1353"/>
      <c r="S494" s="1353"/>
      <c r="T494" s="1353"/>
      <c r="U494" s="1353"/>
      <c r="V494" s="1353"/>
      <c r="W494" s="1353"/>
      <c r="X494" s="1353"/>
      <c r="Y494" s="1353"/>
      <c r="Z494" s="1353"/>
      <c r="AA494" s="1353"/>
      <c r="AB494" s="1353"/>
      <c r="AC494" s="1353"/>
      <c r="AD494" s="1353"/>
      <c r="AE494" s="1353"/>
      <c r="AF494" s="1353"/>
      <c r="AG494" s="1353"/>
      <c r="AH494" s="1353"/>
      <c r="AI494" s="1353"/>
      <c r="AJ494" s="1353"/>
      <c r="AK494" s="1354"/>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895</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 customHeight="1">
      <c r="B495" s="1167" t="s">
        <v>1385</v>
      </c>
      <c r="C495" s="4"/>
      <c r="D495" s="4"/>
      <c r="E495" s="4"/>
      <c r="F495" s="4"/>
      <c r="G495" s="4"/>
      <c r="H495" s="4"/>
      <c r="I495" s="4"/>
      <c r="J495" s="4"/>
      <c r="K495" s="4"/>
      <c r="L495" s="4"/>
      <c r="M495" s="1393"/>
      <c r="N495" s="1394"/>
      <c r="O495" s="1394"/>
      <c r="P495" s="1395"/>
      <c r="Q495" s="1167" t="s">
        <v>1386</v>
      </c>
      <c r="R495" s="4"/>
      <c r="S495" s="4"/>
      <c r="T495" s="4"/>
      <c r="U495" s="4"/>
      <c r="V495" s="4"/>
      <c r="W495" s="4"/>
      <c r="X495" s="4"/>
      <c r="Y495" s="4"/>
      <c r="Z495" s="4"/>
      <c r="AA495" s="4"/>
      <c r="AB495" s="4"/>
      <c r="AC495" s="4"/>
      <c r="AD495" s="4"/>
      <c r="AE495" s="4"/>
      <c r="AF495" s="4"/>
      <c r="AG495" s="4"/>
      <c r="AH495" s="1393">
        <v>19</v>
      </c>
      <c r="AI495" s="1394"/>
      <c r="AJ495" s="1394"/>
      <c r="AK495" s="1395"/>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897</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 customHeight="1">
      <c r="B496" s="383"/>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901</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 customHeight="1">
      <c r="A497" s="1" t="s">
        <v>961</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904</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 customHeight="1">
      <c r="B498" s="397"/>
      <c r="C498" s="383"/>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906</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86" t="s">
        <v>1387</v>
      </c>
      <c r="AD499" s="1450"/>
      <c r="AE499" s="1450"/>
      <c r="AF499" s="1450"/>
      <c r="AG499" s="1450"/>
      <c r="AH499" s="1450"/>
      <c r="AI499" s="1450"/>
      <c r="AJ499" s="1450"/>
      <c r="AK499" s="1451"/>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908</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86" t="s">
        <v>1388</v>
      </c>
      <c r="AD500" s="1450"/>
      <c r="AE500" s="1450"/>
      <c r="AF500" s="1450"/>
      <c r="AG500" s="1163" t="s">
        <v>1389</v>
      </c>
      <c r="AH500" s="1450" t="s">
        <v>1390</v>
      </c>
      <c r="AI500" s="1450"/>
      <c r="AJ500" s="1450"/>
      <c r="AK500" s="1451"/>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910</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 customHeight="1">
      <c r="B501" s="1368" t="s">
        <v>1391</v>
      </c>
      <c r="C501" s="1369"/>
      <c r="D501" s="1369"/>
      <c r="E501" s="1369"/>
      <c r="F501" s="1369"/>
      <c r="G501" s="1369"/>
      <c r="H501" s="1370"/>
      <c r="I501" s="31" t="s">
        <v>1392</v>
      </c>
      <c r="J501" s="31"/>
      <c r="K501" s="31"/>
      <c r="L501" s="31"/>
      <c r="M501" s="31"/>
      <c r="N501" s="31"/>
      <c r="O501" s="31"/>
      <c r="P501" s="31"/>
      <c r="Q501" s="31"/>
      <c r="R501" s="31"/>
      <c r="S501" s="31"/>
      <c r="T501" s="31"/>
      <c r="U501" s="31"/>
      <c r="V501" s="31"/>
      <c r="W501" s="31"/>
      <c r="AC501" s="1350">
        <v>8</v>
      </c>
      <c r="AD501" s="1351"/>
      <c r="AE501" s="1351"/>
      <c r="AF501" s="1351"/>
      <c r="AG501" s="1118" t="s">
        <v>1389</v>
      </c>
      <c r="AH501" s="1348">
        <v>2023</v>
      </c>
      <c r="AI501" s="1348"/>
      <c r="AJ501" s="1348"/>
      <c r="AK501" s="1349"/>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912</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 customHeight="1">
      <c r="B502" s="1371"/>
      <c r="C502" s="1372"/>
      <c r="D502" s="1372"/>
      <c r="E502" s="1372"/>
      <c r="F502" s="1372"/>
      <c r="G502" s="1372"/>
      <c r="H502" s="1373"/>
      <c r="I502" s="33" t="s">
        <v>1393</v>
      </c>
      <c r="J502" s="33"/>
      <c r="K502" s="33"/>
      <c r="L502" s="33"/>
      <c r="M502" s="33"/>
      <c r="N502" s="33"/>
      <c r="O502" s="33"/>
      <c r="P502" s="33"/>
      <c r="Q502" s="33"/>
      <c r="R502" s="33"/>
      <c r="S502" s="33"/>
      <c r="T502" s="33"/>
      <c r="U502" s="33"/>
      <c r="V502" s="33"/>
      <c r="W502" s="33"/>
      <c r="X502" s="33"/>
      <c r="Y502" s="33"/>
      <c r="Z502" s="33"/>
      <c r="AA502" s="33"/>
      <c r="AB502" s="33"/>
      <c r="AC502" s="1350">
        <v>2</v>
      </c>
      <c r="AD502" s="1351"/>
      <c r="AE502" s="1351"/>
      <c r="AF502" s="1351"/>
      <c r="AG502" s="1166" t="s">
        <v>1389</v>
      </c>
      <c r="AH502" s="1348">
        <v>2024</v>
      </c>
      <c r="AI502" s="1348"/>
      <c r="AJ502" s="1348"/>
      <c r="AK502" s="1349"/>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915</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 customHeight="1">
      <c r="B503" s="1368" t="s">
        <v>1394</v>
      </c>
      <c r="C503" s="1369"/>
      <c r="D503" s="1369"/>
      <c r="E503" s="1369"/>
      <c r="F503" s="1369"/>
      <c r="G503" s="1369"/>
      <c r="H503" s="1370"/>
      <c r="I503" s="31" t="s">
        <v>1395</v>
      </c>
      <c r="J503" s="31"/>
      <c r="K503" s="31"/>
      <c r="L503" s="31"/>
      <c r="M503" s="31"/>
      <c r="N503" s="31"/>
      <c r="O503" s="31"/>
      <c r="P503" s="31"/>
      <c r="Q503" s="31"/>
      <c r="R503" s="31"/>
      <c r="S503" s="31"/>
      <c r="T503" s="31"/>
      <c r="U503" s="31"/>
      <c r="V503" s="31"/>
      <c r="W503" s="31"/>
      <c r="AC503" s="1350" t="s">
        <v>299</v>
      </c>
      <c r="AD503" s="1351"/>
      <c r="AE503" s="1351"/>
      <c r="AF503" s="1351"/>
      <c r="AG503" s="1118" t="s">
        <v>1389</v>
      </c>
      <c r="AH503" s="1348"/>
      <c r="AI503" s="1348"/>
      <c r="AJ503" s="1348"/>
      <c r="AK503" s="1349"/>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917</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 customHeight="1">
      <c r="B504" s="1371"/>
      <c r="C504" s="1372"/>
      <c r="D504" s="1372"/>
      <c r="E504" s="1372"/>
      <c r="F504" s="1372"/>
      <c r="G504" s="1372"/>
      <c r="H504" s="1373"/>
      <c r="I504" t="s">
        <v>1396</v>
      </c>
      <c r="AC504" s="1350" t="s">
        <v>299</v>
      </c>
      <c r="AD504" s="1351"/>
      <c r="AE504" s="1351"/>
      <c r="AF504" s="1351"/>
      <c r="AG504" s="1118" t="s">
        <v>1389</v>
      </c>
      <c r="AH504" s="1348"/>
      <c r="AI504" s="1348"/>
      <c r="AJ504" s="1348"/>
      <c r="AK504" s="1349"/>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919</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 customHeight="1">
      <c r="B505" s="1371"/>
      <c r="C505" s="1372"/>
      <c r="D505" s="1372"/>
      <c r="E505" s="1372"/>
      <c r="F505" s="1372"/>
      <c r="G505" s="1372"/>
      <c r="H505" s="1373"/>
      <c r="I505" t="s">
        <v>1397</v>
      </c>
      <c r="AC505" s="1350">
        <v>5</v>
      </c>
      <c r="AD505" s="1351"/>
      <c r="AE505" s="1351"/>
      <c r="AF505" s="1351"/>
      <c r="AG505" s="1118" t="s">
        <v>1389</v>
      </c>
      <c r="AH505" s="1348">
        <v>2023</v>
      </c>
      <c r="AI505" s="1348"/>
      <c r="AJ505" s="1348"/>
      <c r="AK505" s="1349"/>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922</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 customHeight="1">
      <c r="B506" s="1371"/>
      <c r="C506" s="1372"/>
      <c r="D506" s="1372"/>
      <c r="E506" s="1372"/>
      <c r="F506" s="1372"/>
      <c r="G506" s="1372"/>
      <c r="H506" s="1373"/>
      <c r="I506" t="s">
        <v>1398</v>
      </c>
      <c r="AC506" s="1350">
        <v>4</v>
      </c>
      <c r="AD506" s="1351"/>
      <c r="AE506" s="1351"/>
      <c r="AF506" s="1351"/>
      <c r="AG506" s="1118" t="s">
        <v>1389</v>
      </c>
      <c r="AH506" s="1348">
        <v>2025</v>
      </c>
      <c r="AI506" s="1348"/>
      <c r="AJ506" s="1348"/>
      <c r="AK506" s="1349"/>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926</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 customHeight="1">
      <c r="B507" s="1371"/>
      <c r="C507" s="1372"/>
      <c r="D507" s="1372"/>
      <c r="E507" s="1372"/>
      <c r="F507" s="1372"/>
      <c r="G507" s="1372"/>
      <c r="H507" s="1373"/>
      <c r="I507" s="2" t="s">
        <v>1399</v>
      </c>
      <c r="AC507" s="1308">
        <v>4</v>
      </c>
      <c r="AD507" s="1309"/>
      <c r="AE507" s="1309"/>
      <c r="AF507" s="1309"/>
      <c r="AG507" s="1118" t="s">
        <v>1389</v>
      </c>
      <c r="AH507" s="1348">
        <v>2025</v>
      </c>
      <c r="AI507" s="1348"/>
      <c r="AJ507" s="1348"/>
      <c r="AK507" s="1349"/>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931</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row>
    <row r="508" spans="1:110" ht="13" customHeight="1">
      <c r="B508" s="1371"/>
      <c r="C508" s="1372"/>
      <c r="D508" s="1372"/>
      <c r="E508" s="1372"/>
      <c r="F508" s="1372"/>
      <c r="G508" s="1372"/>
      <c r="H508" s="1373"/>
      <c r="I508" s="729" t="s">
        <v>232</v>
      </c>
      <c r="J508" s="33"/>
      <c r="K508" s="33"/>
      <c r="L508" s="1386" t="s">
        <v>1400</v>
      </c>
      <c r="M508" s="1387"/>
      <c r="N508" s="1387"/>
      <c r="O508" s="1387"/>
      <c r="P508" s="1387"/>
      <c r="Q508" s="1387"/>
      <c r="R508" s="1387"/>
      <c r="S508" s="1387"/>
      <c r="T508" s="1387"/>
      <c r="U508" s="1387"/>
      <c r="V508" s="1387"/>
      <c r="W508" s="1387"/>
      <c r="X508" s="1387"/>
      <c r="Y508" s="1387"/>
      <c r="Z508" s="1387"/>
      <c r="AA508" s="1387"/>
      <c r="AB508" s="1644"/>
      <c r="AC508" s="1350" t="s">
        <v>299</v>
      </c>
      <c r="AD508" s="1351"/>
      <c r="AE508" s="1351"/>
      <c r="AF508" s="1351"/>
      <c r="AG508" s="1166" t="s">
        <v>1389</v>
      </c>
      <c r="AH508" s="1348"/>
      <c r="AI508" s="1348"/>
      <c r="AJ508" s="1348"/>
      <c r="AK508" s="1349"/>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935</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row>
    <row r="509" spans="1:110" ht="13" customHeight="1">
      <c r="B509" s="1145"/>
      <c r="C509" s="1146"/>
      <c r="D509" s="1146"/>
      <c r="E509" s="1146"/>
      <c r="F509" s="1146"/>
      <c r="G509" s="1146"/>
      <c r="H509" s="1147"/>
      <c r="I509" s="2" t="s">
        <v>1401</v>
      </c>
      <c r="AC509" s="1398" t="s">
        <v>1077</v>
      </c>
      <c r="AD509" s="1398"/>
      <c r="AE509" s="1398"/>
      <c r="AF509" s="1398"/>
      <c r="AG509" s="1118"/>
      <c r="AH509" s="1258"/>
      <c r="AI509" s="1258"/>
      <c r="AJ509" s="1258"/>
      <c r="AK509" s="1399"/>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942</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row>
    <row r="510" spans="1:110" ht="13" customHeight="1">
      <c r="B510" s="1145"/>
      <c r="C510" s="1146"/>
      <c r="D510" s="1146"/>
      <c r="E510" s="1146"/>
      <c r="F510" s="1146"/>
      <c r="G510" s="1146"/>
      <c r="H510" s="1147"/>
      <c r="I510" t="s">
        <v>1402</v>
      </c>
      <c r="AC510" s="1308"/>
      <c r="AD510" s="1309"/>
      <c r="AE510" s="1309"/>
      <c r="AF510" s="1310"/>
      <c r="AG510" s="1118"/>
      <c r="AH510" s="1258"/>
      <c r="AI510" s="1258"/>
      <c r="AJ510" s="1258"/>
      <c r="AK510" s="1399"/>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946</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row>
    <row r="511" spans="1:110" ht="13" customHeight="1">
      <c r="B511" s="1145"/>
      <c r="C511" s="1146"/>
      <c r="D511" s="1146"/>
      <c r="E511" s="1146"/>
      <c r="F511" s="1146"/>
      <c r="G511" s="1146"/>
      <c r="H511" s="1147"/>
      <c r="I511" t="s">
        <v>1403</v>
      </c>
      <c r="AC511" s="1148"/>
      <c r="AD511" s="1149"/>
      <c r="AE511" s="1149"/>
      <c r="AF511" s="1150"/>
      <c r="AG511" s="1118"/>
      <c r="AH511" s="1117"/>
      <c r="AI511" s="1117"/>
      <c r="AJ511" s="1117"/>
      <c r="AK511" s="1178"/>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950</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row>
    <row r="512" spans="1:110" ht="13" customHeight="1">
      <c r="B512" s="1145"/>
      <c r="C512" s="1146"/>
      <c r="D512" s="1146"/>
      <c r="E512" s="1146"/>
      <c r="F512" s="1146"/>
      <c r="G512" s="1146"/>
      <c r="H512" s="1147"/>
      <c r="I512" s="730" t="s">
        <v>1404</v>
      </c>
      <c r="J512" s="33"/>
      <c r="K512" s="33"/>
      <c r="L512" s="33"/>
      <c r="M512" s="33"/>
      <c r="N512" s="33"/>
      <c r="O512" s="33"/>
      <c r="P512" s="33"/>
      <c r="Q512" s="33"/>
      <c r="R512" s="33"/>
      <c r="S512" s="33"/>
      <c r="T512" s="33"/>
      <c r="U512" s="33"/>
      <c r="V512" s="33"/>
      <c r="W512" s="33"/>
      <c r="X512" s="33"/>
      <c r="Y512" s="33"/>
      <c r="Z512" s="33"/>
      <c r="AA512" s="33"/>
      <c r="AB512" s="33"/>
      <c r="AC512" s="1400"/>
      <c r="AD512" s="1401"/>
      <c r="AE512" s="1401"/>
      <c r="AF512" s="1402"/>
      <c r="AG512" s="1166"/>
      <c r="AH512" s="1403"/>
      <c r="AI512" s="1403"/>
      <c r="AJ512" s="1403"/>
      <c r="AK512" s="1404"/>
      <c r="AZ512" s="2"/>
      <c r="BA512" s="2"/>
      <c r="BB512" s="2"/>
      <c r="BC512" s="2"/>
      <c r="BD512" s="2"/>
      <c r="BE512" s="2"/>
      <c r="BF512" s="2"/>
      <c r="BG512" s="2"/>
      <c r="BH512" s="2"/>
      <c r="BI512" s="2"/>
      <c r="BJ512" s="2"/>
      <c r="BK512" s="2"/>
      <c r="BL512" s="2"/>
      <c r="BM512" s="2"/>
      <c r="BN512" s="2" t="s">
        <v>1077</v>
      </c>
      <c r="BO512" s="2"/>
      <c r="BP512" s="2"/>
      <c r="BQ512" s="2"/>
      <c r="BR512" s="2"/>
      <c r="BS512" s="2"/>
      <c r="BT512" s="2"/>
      <c r="BU512" s="2"/>
      <c r="BV512" s="241" t="s">
        <v>952</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row>
    <row r="513" spans="2:110" ht="13" customHeight="1">
      <c r="B513" s="1145"/>
      <c r="C513" s="1146"/>
      <c r="D513" s="1146"/>
      <c r="E513" s="1146"/>
      <c r="F513" s="1146"/>
      <c r="G513" s="1146"/>
      <c r="H513" s="1147"/>
      <c r="I513" s="2"/>
      <c r="L513" s="7"/>
      <c r="M513" s="7"/>
      <c r="N513" s="7"/>
      <c r="O513" s="7"/>
      <c r="P513" s="7"/>
      <c r="Q513" s="7"/>
      <c r="R513" s="7"/>
      <c r="S513" s="7"/>
      <c r="T513" s="7"/>
      <c r="U513" s="7"/>
      <c r="V513" s="7"/>
      <c r="W513" s="7"/>
      <c r="X513" s="1137"/>
      <c r="Y513" s="1137"/>
      <c r="Z513" s="1137"/>
      <c r="AA513" s="1137"/>
      <c r="AB513" s="824"/>
      <c r="AC513" s="1478" t="s">
        <v>1388</v>
      </c>
      <c r="AD513" s="1479"/>
      <c r="AE513" s="1479"/>
      <c r="AF513" s="1479"/>
      <c r="AG513" s="1166" t="s">
        <v>1389</v>
      </c>
      <c r="AH513" s="1479" t="s">
        <v>1390</v>
      </c>
      <c r="AI513" s="1479"/>
      <c r="AJ513" s="1479"/>
      <c r="AK513" s="1485"/>
      <c r="AZ513" s="2"/>
      <c r="BA513" s="2"/>
      <c r="BB513" s="2"/>
      <c r="BC513" s="2"/>
      <c r="BD513" s="2"/>
      <c r="BE513" s="2"/>
      <c r="BF513" s="2"/>
      <c r="BG513" s="2"/>
      <c r="BH513" s="2"/>
      <c r="BI513" s="2"/>
      <c r="BJ513" s="2"/>
      <c r="BK513" s="2"/>
      <c r="BL513" s="2"/>
      <c r="BM513" s="2"/>
      <c r="BN513" s="2" t="s">
        <v>1405</v>
      </c>
      <c r="BO513" s="2"/>
      <c r="BP513" s="2"/>
      <c r="BQ513" s="2"/>
      <c r="BR513" s="2"/>
      <c r="BS513" s="2"/>
      <c r="BT513" s="2"/>
      <c r="BU513" s="2"/>
      <c r="BV513" s="241" t="s">
        <v>955</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row>
    <row r="514" spans="2:110" ht="13" customHeight="1">
      <c r="B514" s="1368" t="s">
        <v>1406</v>
      </c>
      <c r="C514" s="1369"/>
      <c r="D514" s="1369"/>
      <c r="E514" s="1369"/>
      <c r="F514" s="1369"/>
      <c r="G514" s="1369"/>
      <c r="H514" s="1370"/>
      <c r="I514" s="31" t="s">
        <v>1407</v>
      </c>
      <c r="J514" s="31"/>
      <c r="K514" s="31"/>
      <c r="L514" s="31"/>
      <c r="M514" s="31"/>
      <c r="N514" s="31"/>
      <c r="O514" s="31"/>
      <c r="P514" s="31"/>
      <c r="Q514" s="31"/>
      <c r="R514" s="31"/>
      <c r="S514" s="31"/>
      <c r="T514" s="31"/>
      <c r="U514" s="31"/>
      <c r="V514" s="31"/>
      <c r="W514" s="31"/>
      <c r="AC514" s="1350">
        <v>8</v>
      </c>
      <c r="AD514" s="1351"/>
      <c r="AE514" s="1351"/>
      <c r="AF514" s="1351"/>
      <c r="AG514" s="1118" t="s">
        <v>1389</v>
      </c>
      <c r="AH514" s="1348">
        <v>2024</v>
      </c>
      <c r="AI514" s="1348"/>
      <c r="AJ514" s="1348"/>
      <c r="AK514" s="1349"/>
      <c r="AZ514" s="2"/>
      <c r="BA514" s="2"/>
      <c r="BB514" s="2"/>
      <c r="BC514" s="2"/>
      <c r="BD514" s="2"/>
      <c r="BE514" s="2"/>
      <c r="BF514" s="2"/>
      <c r="BG514" s="2"/>
      <c r="BH514" s="2"/>
      <c r="BI514" s="2"/>
      <c r="BJ514" s="2"/>
      <c r="BK514" s="2"/>
      <c r="BL514" s="2"/>
      <c r="BM514" s="2"/>
      <c r="BN514" s="2" t="s">
        <v>1408</v>
      </c>
      <c r="BO514" s="2"/>
      <c r="BP514" s="2"/>
      <c r="BQ514" s="2"/>
      <c r="BR514" s="2"/>
      <c r="BS514" s="2"/>
      <c r="BT514" s="2"/>
      <c r="BU514" s="2"/>
      <c r="BV514" s="241" t="s">
        <v>958</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row>
    <row r="515" spans="2:110" ht="13" customHeight="1">
      <c r="B515" s="1371"/>
      <c r="C515" s="1372"/>
      <c r="D515" s="1372"/>
      <c r="E515" s="1372"/>
      <c r="F515" s="1372"/>
      <c r="G515" s="1372"/>
      <c r="H515" s="1373"/>
      <c r="I515" t="s">
        <v>1409</v>
      </c>
      <c r="AC515" s="1350">
        <v>8</v>
      </c>
      <c r="AD515" s="1351"/>
      <c r="AE515" s="1351"/>
      <c r="AF515" s="1351"/>
      <c r="AG515" s="1118" t="s">
        <v>1389</v>
      </c>
      <c r="AH515" s="1348">
        <v>2024</v>
      </c>
      <c r="AI515" s="1348"/>
      <c r="AJ515" s="1348"/>
      <c r="AK515" s="1349"/>
      <c r="AZ515" s="2"/>
      <c r="BA515" s="2"/>
      <c r="BB515" s="2"/>
      <c r="BC515" s="2"/>
      <c r="BD515" s="2"/>
      <c r="BE515" s="2"/>
      <c r="BF515" s="2"/>
      <c r="BG515" s="2"/>
      <c r="BH515" s="2"/>
      <c r="BI515" s="2"/>
      <c r="BJ515" s="2"/>
      <c r="BK515" s="2"/>
      <c r="BL515" s="2"/>
      <c r="BM515" s="2"/>
      <c r="BN515" s="2" t="s">
        <v>1410</v>
      </c>
      <c r="BO515" s="2"/>
      <c r="BP515" s="2"/>
      <c r="BQ515" s="2"/>
      <c r="BR515" s="2"/>
      <c r="BS515" s="2"/>
      <c r="BT515" s="2"/>
      <c r="BU515" s="2"/>
      <c r="BV515" s="241" t="s">
        <v>960</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row>
    <row r="516" spans="2:110" ht="13" customHeight="1">
      <c r="B516" s="1371"/>
      <c r="C516" s="1372"/>
      <c r="D516" s="1372"/>
      <c r="E516" s="1372"/>
      <c r="F516" s="1372"/>
      <c r="G516" s="1372"/>
      <c r="H516" s="1373"/>
      <c r="I516" s="33" t="s">
        <v>1411</v>
      </c>
      <c r="J516" s="33"/>
      <c r="K516" s="33"/>
      <c r="L516" s="33"/>
      <c r="M516" s="33"/>
      <c r="N516" s="33"/>
      <c r="O516" s="33"/>
      <c r="P516" s="33"/>
      <c r="Q516" s="33"/>
      <c r="R516" s="33"/>
      <c r="S516" s="33"/>
      <c r="T516" s="33"/>
      <c r="U516" s="33"/>
      <c r="V516" s="33"/>
      <c r="W516" s="33"/>
      <c r="X516" s="33"/>
      <c r="Y516" s="33"/>
      <c r="Z516" s="33"/>
      <c r="AA516" s="33"/>
      <c r="AB516" s="33"/>
      <c r="AC516" s="1350">
        <v>6</v>
      </c>
      <c r="AD516" s="1351"/>
      <c r="AE516" s="1351"/>
      <c r="AF516" s="1351"/>
      <c r="AG516" s="1166" t="s">
        <v>1389</v>
      </c>
      <c r="AH516" s="1348">
        <v>2025</v>
      </c>
      <c r="AI516" s="1348"/>
      <c r="AJ516" s="1348"/>
      <c r="AK516" s="1349"/>
      <c r="AZ516" s="2"/>
      <c r="BA516" s="2"/>
      <c r="BB516" s="2"/>
      <c r="BC516" s="2"/>
      <c r="BD516" s="2"/>
      <c r="BE516" s="2"/>
      <c r="BF516" s="2"/>
      <c r="BG516" s="2"/>
      <c r="BH516" s="2"/>
      <c r="BI516" s="2"/>
      <c r="BJ516" s="2"/>
      <c r="BK516" s="2"/>
      <c r="BL516" s="2"/>
      <c r="BM516" s="2"/>
      <c r="BN516" s="2" t="s">
        <v>1412</v>
      </c>
      <c r="BO516" s="2"/>
      <c r="BP516" s="2"/>
      <c r="BQ516" s="2"/>
      <c r="BR516" s="2"/>
      <c r="BS516" s="2"/>
      <c r="BT516" s="2"/>
      <c r="BU516" s="2"/>
      <c r="BV516" s="241" t="s">
        <v>963</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row>
    <row r="517" spans="2:110" ht="13" customHeight="1">
      <c r="B517" s="1368" t="s">
        <v>1413</v>
      </c>
      <c r="C517" s="1369"/>
      <c r="D517" s="1369"/>
      <c r="E517" s="1369"/>
      <c r="F517" s="1369"/>
      <c r="G517" s="1369"/>
      <c r="H517" s="1370"/>
      <c r="I517" s="31" t="s">
        <v>1407</v>
      </c>
      <c r="J517" s="31"/>
      <c r="K517" s="31"/>
      <c r="L517" s="31"/>
      <c r="M517" s="31"/>
      <c r="N517" s="31"/>
      <c r="O517" s="31"/>
      <c r="P517" s="31"/>
      <c r="Q517" s="31"/>
      <c r="R517" s="31"/>
      <c r="S517" s="31"/>
      <c r="T517" s="31"/>
      <c r="U517" s="31"/>
      <c r="V517" s="31"/>
      <c r="W517" s="31"/>
      <c r="X517" s="31"/>
      <c r="Y517" s="31"/>
      <c r="Z517" s="31"/>
      <c r="AA517" s="31"/>
      <c r="AB517" s="31"/>
      <c r="AC517" s="1308">
        <v>8</v>
      </c>
      <c r="AD517" s="1309"/>
      <c r="AE517" s="1309"/>
      <c r="AF517" s="1309"/>
      <c r="AG517" s="1151" t="s">
        <v>1389</v>
      </c>
      <c r="AH517" s="1348">
        <v>2024</v>
      </c>
      <c r="AI517" s="1348"/>
      <c r="AJ517" s="1348"/>
      <c r="AK517" s="1349"/>
      <c r="AZ517" s="2"/>
      <c r="BB517" s="2"/>
      <c r="BC517" s="2"/>
      <c r="BD517" s="2"/>
      <c r="BE517" s="2"/>
      <c r="BF517" s="2"/>
      <c r="BG517" s="2"/>
      <c r="BH517" s="2"/>
      <c r="BI517" s="2"/>
      <c r="BJ517" s="2"/>
      <c r="BK517" s="2"/>
      <c r="BL517" s="2"/>
      <c r="BM517" s="2"/>
      <c r="BN517" s="2" t="s">
        <v>1414</v>
      </c>
      <c r="BO517" s="2"/>
      <c r="BP517" s="2"/>
      <c r="BQ517" s="2"/>
      <c r="BR517" s="2"/>
      <c r="BS517" s="2"/>
      <c r="BT517" s="2"/>
      <c r="BU517" s="2"/>
      <c r="BV517" s="241" t="s">
        <v>967</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row>
    <row r="518" spans="2:110" ht="13" customHeight="1">
      <c r="B518" s="1371"/>
      <c r="C518" s="1372"/>
      <c r="D518" s="1372"/>
      <c r="E518" s="1372"/>
      <c r="F518" s="1372"/>
      <c r="G518" s="1372"/>
      <c r="H518" s="1373"/>
      <c r="I518" t="s">
        <v>1409</v>
      </c>
      <c r="AC518" s="1350">
        <v>8</v>
      </c>
      <c r="AD518" s="1351"/>
      <c r="AE518" s="1351"/>
      <c r="AF518" s="1351"/>
      <c r="AG518" s="1118" t="s">
        <v>1389</v>
      </c>
      <c r="AH518" s="1348">
        <v>2024</v>
      </c>
      <c r="AI518" s="1348"/>
      <c r="AJ518" s="1348"/>
      <c r="AK518" s="1349"/>
      <c r="BB518" s="2"/>
      <c r="BC518" s="2"/>
      <c r="BD518" s="2"/>
      <c r="BE518" s="2"/>
      <c r="BF518" s="2"/>
      <c r="BG518" s="2"/>
      <c r="BH518" s="2"/>
      <c r="BI518" s="2"/>
      <c r="BJ518" s="2"/>
      <c r="BK518" s="2"/>
      <c r="BL518" s="2"/>
      <c r="BM518" s="2"/>
      <c r="BN518" s="2" t="s">
        <v>1415</v>
      </c>
      <c r="BO518" s="2"/>
      <c r="BP518" s="2"/>
      <c r="BQ518" s="2"/>
      <c r="BR518" s="2"/>
      <c r="BS518" s="2"/>
      <c r="BT518" s="2"/>
      <c r="BU518" s="2"/>
      <c r="BV518" s="241" t="s">
        <v>972</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row>
    <row r="519" spans="2:110" ht="13" customHeight="1">
      <c r="B519" s="1374"/>
      <c r="C519" s="1375"/>
      <c r="D519" s="1375"/>
      <c r="E519" s="1375"/>
      <c r="F519" s="1375"/>
      <c r="G519" s="1375"/>
      <c r="H519" s="1376"/>
      <c r="I519" s="33" t="s">
        <v>1411</v>
      </c>
      <c r="J519" s="33"/>
      <c r="K519" s="33"/>
      <c r="L519" s="33"/>
      <c r="M519" s="33"/>
      <c r="N519" s="33"/>
      <c r="O519" s="33"/>
      <c r="P519" s="33"/>
      <c r="Q519" s="33"/>
      <c r="R519" s="33"/>
      <c r="S519" s="33"/>
      <c r="T519" s="33"/>
      <c r="U519" s="33"/>
      <c r="V519" s="33"/>
      <c r="W519" s="33"/>
      <c r="X519" s="33"/>
      <c r="Y519" s="33"/>
      <c r="Z519" s="33"/>
      <c r="AA519" s="33"/>
      <c r="AB519" s="33"/>
      <c r="AC519" s="1350">
        <v>3</v>
      </c>
      <c r="AD519" s="1351"/>
      <c r="AE519" s="1351"/>
      <c r="AF519" s="1351"/>
      <c r="AG519" s="1166" t="s">
        <v>1389</v>
      </c>
      <c r="AH519" s="1348">
        <v>2027</v>
      </c>
      <c r="AI519" s="1348"/>
      <c r="AJ519" s="1348"/>
      <c r="AK519" s="1349"/>
      <c r="BB519" s="2"/>
      <c r="BC519" s="2"/>
      <c r="BD519" s="2"/>
      <c r="BE519" s="2"/>
      <c r="BF519" s="2"/>
      <c r="BG519" s="2"/>
      <c r="BH519" s="2"/>
      <c r="BI519" s="2"/>
      <c r="BJ519" s="2"/>
      <c r="BK519" s="2"/>
      <c r="BL519" s="2"/>
      <c r="BM519" s="2"/>
      <c r="BN519" s="2" t="s">
        <v>1416</v>
      </c>
      <c r="BO519" s="2"/>
      <c r="BP519" s="2"/>
      <c r="BQ519" s="2"/>
      <c r="BR519" s="2"/>
      <c r="BS519" s="2"/>
      <c r="BT519" s="2"/>
      <c r="BU519" s="2"/>
      <c r="BV519" s="241" t="s">
        <v>975</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row>
    <row r="520" spans="2:110" ht="13" customHeight="1">
      <c r="B520" s="1368" t="s">
        <v>1417</v>
      </c>
      <c r="C520" s="1369"/>
      <c r="D520" s="1369"/>
      <c r="E520" s="1369"/>
      <c r="F520" s="1369"/>
      <c r="G520" s="1369"/>
      <c r="H520" s="1370"/>
      <c r="I520" s="30" t="s">
        <v>1418</v>
      </c>
      <c r="J520" s="31"/>
      <c r="K520" s="31"/>
      <c r="L520" s="31"/>
      <c r="M520" s="31"/>
      <c r="N520" s="31"/>
      <c r="O520" s="1386" t="s">
        <v>1419</v>
      </c>
      <c r="P520" s="1387"/>
      <c r="Q520" s="1387"/>
      <c r="R520" s="1387"/>
      <c r="S520" s="1387"/>
      <c r="T520" s="1387"/>
      <c r="U520" s="1387"/>
      <c r="V520" s="1387"/>
      <c r="W520" s="1387"/>
      <c r="X520" s="1387"/>
      <c r="Y520" s="1387"/>
      <c r="Z520" s="1387"/>
      <c r="AA520" s="1387"/>
      <c r="AB520" s="39"/>
      <c r="AC520" s="1308" t="s">
        <v>299</v>
      </c>
      <c r="AD520" s="1309"/>
      <c r="AE520" s="1309"/>
      <c r="AF520" s="1309"/>
      <c r="AG520" s="1151" t="s">
        <v>1389</v>
      </c>
      <c r="AH520" s="1348"/>
      <c r="AI520" s="1348"/>
      <c r="AJ520" s="1348"/>
      <c r="AK520" s="1349"/>
      <c r="AZ520" s="2"/>
      <c r="BB520" s="2"/>
      <c r="BC520" s="2"/>
      <c r="BD520" s="2"/>
      <c r="BE520" s="2"/>
      <c r="BF520" s="2"/>
      <c r="BG520" s="2"/>
      <c r="BH520" s="2"/>
      <c r="BI520" s="2"/>
      <c r="BJ520" s="2"/>
      <c r="BK520" s="2"/>
      <c r="BL520" s="2"/>
      <c r="BM520" s="2"/>
      <c r="BN520" s="2" t="s">
        <v>1420</v>
      </c>
      <c r="BO520" s="2"/>
      <c r="BP520" s="2"/>
      <c r="BQ520" s="2"/>
      <c r="BR520" s="2"/>
      <c r="BS520" s="2"/>
      <c r="BT520" s="2"/>
      <c r="BU520" s="2"/>
      <c r="BV520" s="241" t="s">
        <v>977</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row>
    <row r="521" spans="2:110" ht="13" customHeight="1">
      <c r="B521" s="1371"/>
      <c r="C521" s="1372"/>
      <c r="D521" s="1372"/>
      <c r="E521" s="1372"/>
      <c r="F521" s="1372"/>
      <c r="G521" s="1372"/>
      <c r="H521" s="1373"/>
      <c r="I521" s="66" t="s">
        <v>43</v>
      </c>
      <c r="AB521" s="42"/>
      <c r="AC521" s="1350">
        <v>6</v>
      </c>
      <c r="AD521" s="1351"/>
      <c r="AE521" s="1351"/>
      <c r="AF521" s="1351"/>
      <c r="AG521" s="1118" t="s">
        <v>1389</v>
      </c>
      <c r="AH521" s="1348">
        <v>2023</v>
      </c>
      <c r="AI521" s="1348"/>
      <c r="AJ521" s="1348"/>
      <c r="AK521" s="1349"/>
      <c r="AZ521" s="2"/>
      <c r="BB521" s="2"/>
      <c r="BC521" s="2"/>
      <c r="BD521" s="2"/>
      <c r="BE521" s="2"/>
      <c r="BF521" s="2"/>
      <c r="BG521" s="2"/>
      <c r="BH521" s="2"/>
      <c r="BI521" s="2"/>
      <c r="BJ521" s="2"/>
      <c r="BK521" s="2"/>
      <c r="BL521" s="2"/>
      <c r="BM521" s="2"/>
      <c r="BN521" s="2" t="s">
        <v>1421</v>
      </c>
      <c r="BO521" s="2"/>
      <c r="BP521" s="2"/>
      <c r="BQ521" s="2"/>
      <c r="BR521" s="2"/>
      <c r="BS521" s="2"/>
      <c r="BT521" s="2"/>
      <c r="BU521" s="2"/>
      <c r="BV521" s="241" t="s">
        <v>979</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row>
    <row r="522" spans="2:110" ht="13" customHeight="1">
      <c r="B522" s="1371"/>
      <c r="C522" s="1372"/>
      <c r="D522" s="1372"/>
      <c r="E522" s="1372"/>
      <c r="F522" s="1372"/>
      <c r="G522" s="1372"/>
      <c r="H522" s="1373"/>
      <c r="I522" s="32" t="s">
        <v>1422</v>
      </c>
      <c r="J522" s="33"/>
      <c r="K522" s="33"/>
      <c r="L522" s="33"/>
      <c r="M522" s="33"/>
      <c r="N522" s="33"/>
      <c r="O522" s="33"/>
      <c r="P522" s="33"/>
      <c r="Q522" s="33"/>
      <c r="R522" s="33"/>
      <c r="S522" s="33"/>
      <c r="T522" s="33"/>
      <c r="U522" s="33"/>
      <c r="V522" s="33"/>
      <c r="W522" s="33"/>
      <c r="X522" s="33"/>
      <c r="Y522" s="33"/>
      <c r="Z522" s="33"/>
      <c r="AA522" s="33"/>
      <c r="AB522" s="34"/>
      <c r="AC522" s="1350">
        <v>8</v>
      </c>
      <c r="AD522" s="1351"/>
      <c r="AE522" s="1351"/>
      <c r="AF522" s="1351"/>
      <c r="AG522" s="1166" t="s">
        <v>1389</v>
      </c>
      <c r="AH522" s="1348">
        <v>2023</v>
      </c>
      <c r="AI522" s="1348"/>
      <c r="AJ522" s="1348"/>
      <c r="AK522" s="1349"/>
      <c r="AZ522" s="2"/>
      <c r="BA522" s="2"/>
      <c r="BB522" s="2"/>
      <c r="BC522" s="2"/>
      <c r="BD522" s="2"/>
      <c r="BE522" s="2"/>
      <c r="BF522" s="2"/>
      <c r="BG522" s="2"/>
      <c r="BH522" s="2"/>
      <c r="BI522" s="2"/>
      <c r="BJ522" s="2"/>
      <c r="BK522" s="2"/>
      <c r="BL522" s="2"/>
      <c r="BM522" s="2"/>
      <c r="BN522" s="2" t="s">
        <v>1423</v>
      </c>
      <c r="BO522" s="2"/>
      <c r="BP522" s="2"/>
      <c r="BQ522" s="2"/>
      <c r="BR522" s="2"/>
      <c r="BS522" s="2"/>
      <c r="BT522" s="2"/>
      <c r="BU522" s="2"/>
      <c r="BV522" s="241" t="s">
        <v>985</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row>
    <row r="523" spans="2:110" ht="13" customHeight="1">
      <c r="B523" s="1371"/>
      <c r="C523" s="1372"/>
      <c r="D523" s="1372"/>
      <c r="E523" s="1372"/>
      <c r="F523" s="1372"/>
      <c r="G523" s="1372"/>
      <c r="H523" s="1373"/>
      <c r="I523" s="31" t="s">
        <v>1424</v>
      </c>
      <c r="J523" s="31"/>
      <c r="K523" s="31"/>
      <c r="L523" s="31"/>
      <c r="M523" s="31"/>
      <c r="N523" s="31"/>
      <c r="O523" s="1386" t="s">
        <v>1425</v>
      </c>
      <c r="P523" s="1387"/>
      <c r="Q523" s="1387"/>
      <c r="R523" s="1387"/>
      <c r="S523" s="1387"/>
      <c r="T523" s="1387"/>
      <c r="U523" s="1387"/>
      <c r="V523" s="1387"/>
      <c r="W523" s="1387"/>
      <c r="X523" s="1387"/>
      <c r="Y523" s="1387"/>
      <c r="Z523" s="1387"/>
      <c r="AA523" s="1387"/>
      <c r="AC523" s="1350" t="s">
        <v>299</v>
      </c>
      <c r="AD523" s="1351"/>
      <c r="AE523" s="1351"/>
      <c r="AF523" s="1351"/>
      <c r="AG523" s="1118" t="s">
        <v>1389</v>
      </c>
      <c r="AH523" s="1348"/>
      <c r="AI523" s="1348"/>
      <c r="AJ523" s="1348"/>
      <c r="AK523" s="1349"/>
      <c r="AZ523" s="2"/>
      <c r="BA523" s="2"/>
      <c r="BB523" s="2"/>
      <c r="BC523" s="2"/>
      <c r="BD523" s="2"/>
      <c r="BE523" s="2"/>
      <c r="BF523" s="2"/>
      <c r="BG523" s="2"/>
      <c r="BH523" s="2"/>
      <c r="BI523" s="2"/>
      <c r="BJ523" s="2"/>
      <c r="BK523" s="2"/>
      <c r="BL523" s="2"/>
      <c r="BM523" s="2"/>
      <c r="BN523" s="2" t="s">
        <v>1426</v>
      </c>
      <c r="BO523" s="2"/>
      <c r="BP523" s="2"/>
      <c r="BQ523" s="2"/>
      <c r="BR523" s="2"/>
      <c r="BS523" s="2"/>
      <c r="BT523" s="2"/>
      <c r="BU523" s="2"/>
      <c r="BV523" s="241" t="s">
        <v>990</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row>
    <row r="524" spans="2:110" ht="13" customHeight="1">
      <c r="B524" s="1371"/>
      <c r="C524" s="1372"/>
      <c r="D524" s="1372"/>
      <c r="E524" s="1372"/>
      <c r="F524" s="1372"/>
      <c r="G524" s="1372"/>
      <c r="H524" s="1373"/>
      <c r="I524" t="s">
        <v>43</v>
      </c>
      <c r="AC524" s="1350">
        <v>4</v>
      </c>
      <c r="AD524" s="1351"/>
      <c r="AE524" s="1351"/>
      <c r="AF524" s="1351"/>
      <c r="AG524" s="1118" t="s">
        <v>1389</v>
      </c>
      <c r="AH524" s="1348">
        <v>2024</v>
      </c>
      <c r="AI524" s="1348"/>
      <c r="AJ524" s="1348"/>
      <c r="AK524" s="1349"/>
      <c r="AZ524" s="2"/>
      <c r="BA524" s="2"/>
      <c r="BB524" s="2"/>
      <c r="BC524" s="2"/>
      <c r="BD524" s="2"/>
      <c r="BE524" s="2"/>
      <c r="BF524" s="2"/>
      <c r="BG524" s="2"/>
      <c r="BH524" s="2"/>
      <c r="BI524" s="2"/>
      <c r="BJ524" s="2"/>
      <c r="BK524" s="2"/>
      <c r="BL524" s="2"/>
      <c r="BM524" s="2"/>
      <c r="BN524" s="2" t="s">
        <v>1427</v>
      </c>
      <c r="BO524" s="2"/>
      <c r="BP524" s="2"/>
      <c r="BQ524" s="2"/>
      <c r="BR524" s="2"/>
      <c r="BS524" s="2"/>
      <c r="BT524" s="2"/>
      <c r="BU524" s="2"/>
      <c r="BV524" s="241" t="s">
        <v>995</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row>
    <row r="525" spans="2:110" ht="13" customHeight="1">
      <c r="B525" s="1371"/>
      <c r="C525" s="1372"/>
      <c r="D525" s="1372"/>
      <c r="E525" s="1372"/>
      <c r="F525" s="1372"/>
      <c r="G525" s="1372"/>
      <c r="H525" s="1373"/>
      <c r="I525" s="33" t="s">
        <v>1422</v>
      </c>
      <c r="J525" s="33"/>
      <c r="K525" s="33"/>
      <c r="L525" s="33"/>
      <c r="M525" s="33"/>
      <c r="N525" s="33"/>
      <c r="O525" s="33"/>
      <c r="P525" s="33"/>
      <c r="Q525" s="33"/>
      <c r="R525" s="33"/>
      <c r="S525" s="33"/>
      <c r="T525" s="33"/>
      <c r="U525" s="33"/>
      <c r="V525" s="33"/>
      <c r="W525" s="33"/>
      <c r="X525" s="33"/>
      <c r="Y525" s="33"/>
      <c r="Z525" s="33"/>
      <c r="AA525" s="33"/>
      <c r="AB525" s="33"/>
      <c r="AC525" s="1350">
        <v>6</v>
      </c>
      <c r="AD525" s="1351"/>
      <c r="AE525" s="1351"/>
      <c r="AF525" s="1351"/>
      <c r="AG525" s="1166" t="s">
        <v>1389</v>
      </c>
      <c r="AH525" s="1348">
        <v>2024</v>
      </c>
      <c r="AI525" s="1348"/>
      <c r="AJ525" s="1348"/>
      <c r="AK525" s="1349"/>
      <c r="AZ525" s="2"/>
      <c r="BA525" s="2"/>
      <c r="BB525" s="2"/>
      <c r="BC525" s="2"/>
      <c r="BD525" s="2"/>
      <c r="BE525" s="2"/>
      <c r="BF525" s="2"/>
      <c r="BG525" s="2"/>
      <c r="BH525" s="2"/>
      <c r="BI525" s="2"/>
      <c r="BJ525" s="2"/>
      <c r="BK525" s="2"/>
      <c r="BL525" s="2"/>
      <c r="BM525" s="2"/>
      <c r="BN525" s="2" t="s">
        <v>1428</v>
      </c>
      <c r="BO525" s="2"/>
      <c r="BP525" s="2"/>
      <c r="BQ525" s="2"/>
      <c r="BR525" s="2"/>
      <c r="BS525" s="2"/>
      <c r="BT525" s="2"/>
      <c r="BU525" s="2"/>
      <c r="BV525" s="241" t="s">
        <v>999</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 customHeight="1">
      <c r="B526" s="1371"/>
      <c r="C526" s="1372"/>
      <c r="D526" s="1372"/>
      <c r="E526" s="1372"/>
      <c r="F526" s="1372"/>
      <c r="G526" s="1372"/>
      <c r="H526" s="1373"/>
      <c r="I526" s="31" t="s">
        <v>1424</v>
      </c>
      <c r="J526" s="31"/>
      <c r="K526" s="31"/>
      <c r="L526" s="31"/>
      <c r="M526" s="31"/>
      <c r="N526" s="31"/>
      <c r="O526" s="1386" t="s">
        <v>1400</v>
      </c>
      <c r="P526" s="1387"/>
      <c r="Q526" s="1387"/>
      <c r="R526" s="1387"/>
      <c r="S526" s="1387"/>
      <c r="T526" s="1387"/>
      <c r="U526" s="1387"/>
      <c r="V526" s="1387"/>
      <c r="W526" s="1387"/>
      <c r="X526" s="1387"/>
      <c r="Y526" s="1387"/>
      <c r="Z526" s="1387"/>
      <c r="AA526" s="1387"/>
      <c r="AC526" s="1350" t="s">
        <v>299</v>
      </c>
      <c r="AD526" s="1351"/>
      <c r="AE526" s="1351"/>
      <c r="AF526" s="1351"/>
      <c r="AG526" s="1118" t="s">
        <v>1389</v>
      </c>
      <c r="AH526" s="1348"/>
      <c r="AI526" s="1348"/>
      <c r="AJ526" s="1348"/>
      <c r="AK526" s="1349"/>
      <c r="AZ526" s="2"/>
      <c r="BA526" s="2"/>
      <c r="BB526" s="2"/>
      <c r="BC526" s="2"/>
      <c r="BD526" s="2"/>
      <c r="BE526" s="2"/>
      <c r="BF526" s="2"/>
      <c r="BG526" s="2"/>
      <c r="BH526" s="2"/>
      <c r="BI526" s="2"/>
      <c r="BJ526" s="2"/>
      <c r="BK526" s="2"/>
      <c r="BL526" s="2"/>
      <c r="BM526" s="2"/>
      <c r="BN526" s="2" t="s">
        <v>1429</v>
      </c>
      <c r="BO526" s="2"/>
      <c r="BP526" s="2"/>
      <c r="BQ526" s="2"/>
      <c r="BR526" s="2"/>
      <c r="BS526" s="2"/>
      <c r="BT526" s="2"/>
      <c r="BU526" s="2"/>
      <c r="BV526" s="241" t="s">
        <v>1004</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 customHeight="1">
      <c r="B527" s="1371"/>
      <c r="C527" s="1372"/>
      <c r="D527" s="1372"/>
      <c r="E527" s="1372"/>
      <c r="F527" s="1372"/>
      <c r="G527" s="1372"/>
      <c r="H527" s="1373"/>
      <c r="I527" t="s">
        <v>43</v>
      </c>
      <c r="AC527" s="1350" t="s">
        <v>299</v>
      </c>
      <c r="AD527" s="1351"/>
      <c r="AE527" s="1351"/>
      <c r="AF527" s="1351"/>
      <c r="AG527" s="1118" t="s">
        <v>1389</v>
      </c>
      <c r="AH527" s="1348"/>
      <c r="AI527" s="1348"/>
      <c r="AJ527" s="1348"/>
      <c r="AK527" s="1349"/>
      <c r="AZ527" s="2"/>
      <c r="BA527" s="2"/>
      <c r="BB527" s="2"/>
      <c r="BC527" s="2"/>
      <c r="BD527" s="2"/>
      <c r="BE527" s="2"/>
      <c r="BF527" s="2"/>
      <c r="BG527" s="2"/>
      <c r="BH527" s="2"/>
      <c r="BI527" s="2"/>
      <c r="BJ527" s="2"/>
      <c r="BK527" s="2"/>
      <c r="BL527" s="2"/>
      <c r="BM527" s="2"/>
      <c r="BN527" s="2" t="s">
        <v>1430</v>
      </c>
      <c r="BO527" s="2"/>
      <c r="BP527" s="2"/>
      <c r="BQ527" s="2"/>
      <c r="BR527" s="2"/>
      <c r="BS527" s="2"/>
      <c r="BT527" s="2"/>
      <c r="BU527" s="2"/>
      <c r="BV527" s="241" t="s">
        <v>1007</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 customHeight="1">
      <c r="B528" s="1371"/>
      <c r="C528" s="1372"/>
      <c r="D528" s="1372"/>
      <c r="E528" s="1372"/>
      <c r="F528" s="1372"/>
      <c r="G528" s="1372"/>
      <c r="H528" s="1373"/>
      <c r="I528" s="33" t="s">
        <v>1422</v>
      </c>
      <c r="J528" s="33"/>
      <c r="K528" s="33"/>
      <c r="L528" s="33"/>
      <c r="M528" s="33"/>
      <c r="N528" s="33"/>
      <c r="O528" s="33"/>
      <c r="P528" s="33"/>
      <c r="Q528" s="33"/>
      <c r="R528" s="33"/>
      <c r="S528" s="33"/>
      <c r="T528" s="33"/>
      <c r="U528" s="33"/>
      <c r="V528" s="33"/>
      <c r="W528" s="33"/>
      <c r="X528" s="33"/>
      <c r="Y528" s="33"/>
      <c r="Z528" s="33"/>
      <c r="AA528" s="33"/>
      <c r="AB528" s="33"/>
      <c r="AC528" s="1350" t="s">
        <v>299</v>
      </c>
      <c r="AD528" s="1351"/>
      <c r="AE528" s="1351"/>
      <c r="AF528" s="1351"/>
      <c r="AG528" s="1166" t="s">
        <v>1389</v>
      </c>
      <c r="AH528" s="1348"/>
      <c r="AI528" s="1348"/>
      <c r="AJ528" s="1348"/>
      <c r="AK528" s="1349"/>
      <c r="AZ528" s="2"/>
      <c r="BA528" s="2"/>
      <c r="BB528" s="2"/>
      <c r="BC528" s="2"/>
      <c r="BD528" s="2"/>
      <c r="BE528" s="2"/>
      <c r="BF528" s="2"/>
      <c r="BG528" s="2"/>
      <c r="BH528" s="2"/>
      <c r="BI528" s="2"/>
      <c r="BJ528" s="2"/>
      <c r="BK528" s="2"/>
      <c r="BL528" s="2"/>
      <c r="BM528" s="2"/>
      <c r="BN528" s="2" t="s">
        <v>1431</v>
      </c>
      <c r="BO528" s="2"/>
      <c r="BP528" s="2"/>
      <c r="BQ528" s="2"/>
      <c r="BR528" s="2"/>
      <c r="BS528" s="2"/>
      <c r="BT528" s="2"/>
      <c r="BU528" s="2"/>
      <c r="BV528" s="241" t="s">
        <v>1012</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 customHeight="1">
      <c r="B529" s="1371"/>
      <c r="C529" s="1372"/>
      <c r="D529" s="1372"/>
      <c r="E529" s="1372"/>
      <c r="F529" s="1372"/>
      <c r="G529" s="1372"/>
      <c r="H529" s="1373"/>
      <c r="I529" s="31" t="s">
        <v>1424</v>
      </c>
      <c r="J529" s="31"/>
      <c r="K529" s="31"/>
      <c r="L529" s="31"/>
      <c r="M529" s="31"/>
      <c r="N529" s="31"/>
      <c r="O529" s="1386" t="s">
        <v>1400</v>
      </c>
      <c r="P529" s="1387"/>
      <c r="Q529" s="1387"/>
      <c r="R529" s="1387"/>
      <c r="S529" s="1387"/>
      <c r="T529" s="1387"/>
      <c r="U529" s="1387"/>
      <c r="V529" s="1387"/>
      <c r="W529" s="1387"/>
      <c r="X529" s="1387"/>
      <c r="Y529" s="1387"/>
      <c r="Z529" s="1387"/>
      <c r="AA529" s="1387"/>
      <c r="AC529" s="1350" t="s">
        <v>299</v>
      </c>
      <c r="AD529" s="1351"/>
      <c r="AE529" s="1351"/>
      <c r="AF529" s="1351"/>
      <c r="AG529" s="1118" t="s">
        <v>1389</v>
      </c>
      <c r="AH529" s="1348"/>
      <c r="AI529" s="1348"/>
      <c r="AJ529" s="1348"/>
      <c r="AK529" s="1349"/>
      <c r="AZ529" s="2"/>
      <c r="BA529" s="2"/>
      <c r="BB529" s="2"/>
      <c r="BC529" s="2"/>
      <c r="BD529" s="2"/>
      <c r="BE529" s="2"/>
      <c r="BF529" s="2"/>
      <c r="BG529" s="2"/>
      <c r="BH529" s="2"/>
      <c r="BI529" s="2"/>
      <c r="BJ529" s="2"/>
      <c r="BK529" s="2"/>
      <c r="BL529" s="2"/>
      <c r="BM529" s="2"/>
      <c r="BN529" s="2" t="s">
        <v>1432</v>
      </c>
      <c r="BO529" s="2"/>
      <c r="BP529" s="2"/>
      <c r="BQ529" s="2"/>
      <c r="BR529" s="2"/>
      <c r="BS529" s="2"/>
      <c r="BT529" s="2"/>
      <c r="BU529" s="2"/>
      <c r="BV529" s="241" t="s">
        <v>1016</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 customHeight="1">
      <c r="B530" s="1371"/>
      <c r="C530" s="1372"/>
      <c r="D530" s="1372"/>
      <c r="E530" s="1372"/>
      <c r="F530" s="1372"/>
      <c r="G530" s="1372"/>
      <c r="H530" s="1373"/>
      <c r="I530" t="s">
        <v>43</v>
      </c>
      <c r="AC530" s="1350" t="s">
        <v>299</v>
      </c>
      <c r="AD530" s="1351"/>
      <c r="AE530" s="1351"/>
      <c r="AF530" s="1351"/>
      <c r="AG530" s="1118" t="s">
        <v>1389</v>
      </c>
      <c r="AH530" s="1348"/>
      <c r="AI530" s="1348"/>
      <c r="AJ530" s="1348"/>
      <c r="AK530" s="1349"/>
      <c r="AZ530" s="2"/>
      <c r="BA530" s="2"/>
      <c r="BB530" s="2"/>
      <c r="BC530" s="2"/>
      <c r="BD530" s="2"/>
      <c r="BE530" s="2"/>
      <c r="BF530" s="2"/>
      <c r="BG530" s="2"/>
      <c r="BH530" s="2"/>
      <c r="BI530" s="2"/>
      <c r="BJ530" s="2"/>
      <c r="BK530" s="2"/>
      <c r="BL530" s="2"/>
      <c r="BM530" s="2"/>
      <c r="BN530" s="2" t="s">
        <v>1433</v>
      </c>
      <c r="BO530" s="2"/>
      <c r="BP530" s="2"/>
      <c r="BQ530" s="2"/>
      <c r="BR530" s="2"/>
      <c r="BS530" s="2"/>
      <c r="BT530" s="2"/>
      <c r="BU530" s="2"/>
      <c r="BV530" s="241" t="s">
        <v>983</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 customHeight="1">
      <c r="B531" s="1371"/>
      <c r="C531" s="1372"/>
      <c r="D531" s="1372"/>
      <c r="E531" s="1372"/>
      <c r="F531" s="1372"/>
      <c r="G531" s="1372"/>
      <c r="H531" s="1373"/>
      <c r="I531" s="33" t="s">
        <v>1422</v>
      </c>
      <c r="J531" s="33"/>
      <c r="K531" s="33"/>
      <c r="L531" s="33"/>
      <c r="M531" s="33"/>
      <c r="N531" s="33"/>
      <c r="O531" s="33"/>
      <c r="P531" s="33"/>
      <c r="Q531" s="33"/>
      <c r="R531" s="33"/>
      <c r="S531" s="33"/>
      <c r="T531" s="33"/>
      <c r="U531" s="33"/>
      <c r="V531" s="33"/>
      <c r="W531" s="33"/>
      <c r="X531" s="33"/>
      <c r="Y531" s="33"/>
      <c r="Z531" s="33"/>
      <c r="AA531" s="33"/>
      <c r="AB531" s="33"/>
      <c r="AC531" s="1350" t="s">
        <v>299</v>
      </c>
      <c r="AD531" s="1351"/>
      <c r="AE531" s="1351"/>
      <c r="AF531" s="1351"/>
      <c r="AG531" s="1166" t="s">
        <v>1389</v>
      </c>
      <c r="AH531" s="1348"/>
      <c r="AI531" s="1348"/>
      <c r="AJ531" s="1348"/>
      <c r="AK531" s="1349"/>
      <c r="AZ531" s="2"/>
      <c r="BA531" s="2"/>
      <c r="BB531" s="2"/>
      <c r="BC531" s="2"/>
      <c r="BD531" s="2"/>
      <c r="BE531" s="2"/>
      <c r="BF531" s="2"/>
      <c r="BG531" s="2"/>
      <c r="BH531" s="2"/>
      <c r="BI531" s="2"/>
      <c r="BJ531" s="2"/>
      <c r="BK531" s="2"/>
      <c r="BL531" s="2"/>
      <c r="BM531" s="2"/>
      <c r="BN531" s="2" t="s">
        <v>1434</v>
      </c>
      <c r="BO531" s="2"/>
      <c r="BP531" s="2"/>
      <c r="BQ531" s="2"/>
      <c r="BR531" s="2"/>
      <c r="BS531" s="2"/>
      <c r="BT531" s="2"/>
      <c r="BU531" s="2"/>
      <c r="BV531" s="241" t="s">
        <v>1023</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 customHeight="1">
      <c r="B532" s="1371"/>
      <c r="C532" s="1372"/>
      <c r="D532" s="1372"/>
      <c r="E532" s="1372"/>
      <c r="F532" s="1372"/>
      <c r="G532" s="1372"/>
      <c r="H532" s="1373"/>
      <c r="I532" s="31" t="s">
        <v>1424</v>
      </c>
      <c r="J532" s="31"/>
      <c r="K532" s="31"/>
      <c r="L532" s="31"/>
      <c r="M532" s="31"/>
      <c r="N532" s="31"/>
      <c r="O532" s="1386" t="s">
        <v>1400</v>
      </c>
      <c r="P532" s="1387"/>
      <c r="Q532" s="1387"/>
      <c r="R532" s="1387"/>
      <c r="S532" s="1387"/>
      <c r="T532" s="1387"/>
      <c r="U532" s="1387"/>
      <c r="V532" s="1387"/>
      <c r="W532" s="1387"/>
      <c r="X532" s="1387"/>
      <c r="Y532" s="1387"/>
      <c r="Z532" s="1387"/>
      <c r="AA532" s="1387"/>
      <c r="AC532" s="1350" t="s">
        <v>299</v>
      </c>
      <c r="AD532" s="1351"/>
      <c r="AE532" s="1351"/>
      <c r="AF532" s="1351"/>
      <c r="AG532" s="1118" t="s">
        <v>1389</v>
      </c>
      <c r="AH532" s="1348"/>
      <c r="AI532" s="1348"/>
      <c r="AJ532" s="1348"/>
      <c r="AK532" s="1349"/>
      <c r="AZ532" s="2"/>
      <c r="BA532" s="2"/>
      <c r="BB532" s="2"/>
      <c r="BC532" s="2"/>
      <c r="BD532" s="2"/>
      <c r="BE532" s="2"/>
      <c r="BF532" s="2"/>
      <c r="BG532" s="2"/>
      <c r="BH532" s="2"/>
      <c r="BI532" s="2"/>
      <c r="BJ532" s="2"/>
      <c r="BK532" s="2"/>
      <c r="BL532" s="2"/>
      <c r="BM532" s="2"/>
      <c r="BN532" s="2" t="s">
        <v>1435</v>
      </c>
      <c r="BO532" s="2"/>
      <c r="BP532" s="2"/>
      <c r="BQ532" s="2"/>
      <c r="BR532" s="2"/>
      <c r="BS532" s="2"/>
      <c r="BT532" s="2"/>
      <c r="BU532" s="2"/>
      <c r="BV532" s="241" t="s">
        <v>1027</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 customHeight="1">
      <c r="B533" s="1371"/>
      <c r="C533" s="1372"/>
      <c r="D533" s="1372"/>
      <c r="E533" s="1372"/>
      <c r="F533" s="1372"/>
      <c r="G533" s="1372"/>
      <c r="H533" s="1373"/>
      <c r="I533" t="s">
        <v>43</v>
      </c>
      <c r="AC533" s="1350" t="s">
        <v>299</v>
      </c>
      <c r="AD533" s="1351"/>
      <c r="AE533" s="1351"/>
      <c r="AF533" s="1351"/>
      <c r="AG533" s="1166" t="s">
        <v>1389</v>
      </c>
      <c r="AH533" s="1348"/>
      <c r="AI533" s="1348"/>
      <c r="AJ533" s="1348"/>
      <c r="AK533" s="1349"/>
      <c r="AZ533" s="2"/>
      <c r="BA533" s="2"/>
      <c r="BB533" s="2"/>
      <c r="BC533" s="2"/>
      <c r="BD533" s="2"/>
      <c r="BE533" s="2"/>
      <c r="BF533" s="2"/>
      <c r="BG533" s="2"/>
      <c r="BH533" s="2"/>
      <c r="BI533" s="2"/>
      <c r="BJ533" s="2"/>
      <c r="BK533" s="2"/>
      <c r="BL533" s="2"/>
      <c r="BM533" s="2"/>
      <c r="BN533" s="2" t="s">
        <v>1436</v>
      </c>
      <c r="BO533" s="2"/>
      <c r="BP533" s="2"/>
      <c r="BQ533" s="2"/>
      <c r="BR533" s="2"/>
      <c r="BS533" s="2"/>
      <c r="BT533" s="2"/>
      <c r="BU533" s="2"/>
      <c r="BV533" s="241" t="s">
        <v>1031</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 customHeight="1">
      <c r="B534" s="1371"/>
      <c r="C534" s="1372"/>
      <c r="D534" s="1372"/>
      <c r="E534" s="1372"/>
      <c r="F534" s="1372"/>
      <c r="G534" s="1372"/>
      <c r="H534" s="1373"/>
      <c r="I534" s="33" t="s">
        <v>1422</v>
      </c>
      <c r="J534" s="33"/>
      <c r="K534" s="33"/>
      <c r="L534" s="33"/>
      <c r="M534" s="33"/>
      <c r="N534" s="33"/>
      <c r="O534" s="33"/>
      <c r="P534" s="33"/>
      <c r="Q534" s="33"/>
      <c r="R534" s="33"/>
      <c r="S534" s="33"/>
      <c r="T534" s="33"/>
      <c r="U534" s="33"/>
      <c r="V534" s="33"/>
      <c r="W534" s="33"/>
      <c r="X534" s="33"/>
      <c r="Y534" s="33"/>
      <c r="Z534" s="33"/>
      <c r="AA534" s="33"/>
      <c r="AB534" s="33"/>
      <c r="AC534" s="1350" t="s">
        <v>299</v>
      </c>
      <c r="AD534" s="1351"/>
      <c r="AE534" s="1351"/>
      <c r="AF534" s="1351"/>
      <c r="AG534" s="1118" t="s">
        <v>1389</v>
      </c>
      <c r="AH534" s="1348"/>
      <c r="AI534" s="1348"/>
      <c r="AJ534" s="1348"/>
      <c r="AK534" s="1349"/>
      <c r="AZ534" s="2"/>
      <c r="BA534" s="2"/>
      <c r="BB534" s="2"/>
      <c r="BC534" s="2"/>
      <c r="BD534" s="2"/>
      <c r="BE534" s="2"/>
      <c r="BF534" s="2"/>
      <c r="BG534" s="2"/>
      <c r="BH534" s="2"/>
      <c r="BI534" s="2"/>
      <c r="BJ534" s="2"/>
      <c r="BK534" s="2"/>
      <c r="BL534" s="2"/>
      <c r="BM534" s="2"/>
      <c r="BN534" s="2" t="s">
        <v>1437</v>
      </c>
      <c r="BO534" s="2"/>
      <c r="BP534" s="2"/>
      <c r="BQ534" s="2"/>
      <c r="BR534" s="2"/>
      <c r="BS534" s="2"/>
      <c r="BT534" s="2"/>
      <c r="BU534" s="2"/>
      <c r="BV534" s="241" t="s">
        <v>1036</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 customHeight="1">
      <c r="B535" s="1371"/>
      <c r="C535" s="1372"/>
      <c r="D535" s="1372"/>
      <c r="E535" s="1372"/>
      <c r="F535" s="1372"/>
      <c r="G535" s="1372"/>
      <c r="H535" s="1373"/>
      <c r="I535" s="31" t="s">
        <v>1424</v>
      </c>
      <c r="J535" s="31"/>
      <c r="K535" s="31"/>
      <c r="L535" s="31"/>
      <c r="M535" s="31"/>
      <c r="N535" s="31"/>
      <c r="O535" s="1386" t="s">
        <v>1400</v>
      </c>
      <c r="P535" s="1387"/>
      <c r="Q535" s="1387"/>
      <c r="R535" s="1387"/>
      <c r="S535" s="1387"/>
      <c r="T535" s="1387"/>
      <c r="U535" s="1387"/>
      <c r="V535" s="1387"/>
      <c r="W535" s="1387"/>
      <c r="X535" s="1387"/>
      <c r="Y535" s="1387"/>
      <c r="Z535" s="1387"/>
      <c r="AA535" s="1387"/>
      <c r="AC535" s="1350" t="s">
        <v>299</v>
      </c>
      <c r="AD535" s="1351"/>
      <c r="AE535" s="1351"/>
      <c r="AF535" s="1351"/>
      <c r="AG535" s="1166" t="s">
        <v>1389</v>
      </c>
      <c r="AH535" s="1348"/>
      <c r="AI535" s="1348"/>
      <c r="AJ535" s="1348"/>
      <c r="AK535" s="1349"/>
      <c r="AZ535" s="2"/>
      <c r="BA535" s="2"/>
      <c r="BB535" s="2"/>
      <c r="BC535" s="2"/>
      <c r="BD535" s="2"/>
      <c r="BE535" s="2"/>
      <c r="BF535" s="2"/>
      <c r="BG535" s="2"/>
      <c r="BH535" s="2"/>
      <c r="BI535" s="2"/>
      <c r="BJ535" s="2"/>
      <c r="BK535" s="2"/>
      <c r="BL535" s="2"/>
      <c r="BM535" s="2"/>
      <c r="BN535" s="2" t="s">
        <v>1438</v>
      </c>
      <c r="BO535" s="2"/>
      <c r="BP535" s="2"/>
      <c r="BQ535" s="2"/>
      <c r="BR535" s="2"/>
      <c r="BS535" s="2"/>
      <c r="BT535" s="2"/>
      <c r="BU535" s="2"/>
      <c r="BV535" s="241" t="s">
        <v>1039</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 customHeight="1">
      <c r="B536" s="1371"/>
      <c r="C536" s="1372"/>
      <c r="D536" s="1372"/>
      <c r="E536" s="1372"/>
      <c r="F536" s="1372"/>
      <c r="G536" s="1372"/>
      <c r="H536" s="1373"/>
      <c r="I536" t="s">
        <v>43</v>
      </c>
      <c r="AC536" s="1350" t="s">
        <v>299</v>
      </c>
      <c r="AD536" s="1351"/>
      <c r="AE536" s="1351"/>
      <c r="AF536" s="1351"/>
      <c r="AG536" s="1118" t="s">
        <v>1389</v>
      </c>
      <c r="AH536" s="1348"/>
      <c r="AI536" s="1348"/>
      <c r="AJ536" s="1348"/>
      <c r="AK536" s="1349"/>
      <c r="AZ536" s="2"/>
      <c r="BA536" s="2"/>
      <c r="BB536" s="2"/>
      <c r="BC536" s="2"/>
      <c r="BD536" s="2"/>
      <c r="BE536" s="2"/>
      <c r="BF536" s="2"/>
      <c r="BG536" s="2"/>
      <c r="BH536" s="2"/>
      <c r="BI536" s="2"/>
      <c r="BJ536" s="2"/>
      <c r="BK536" s="2"/>
      <c r="BL536" s="2"/>
      <c r="BM536" s="2"/>
      <c r="BN536" s="2" t="s">
        <v>1439</v>
      </c>
      <c r="BO536" s="2"/>
      <c r="BP536" s="2"/>
      <c r="BQ536" s="2"/>
      <c r="BR536" s="2"/>
      <c r="BS536" s="2"/>
      <c r="BT536" s="2"/>
      <c r="BU536" s="2"/>
      <c r="BV536" s="241" t="s">
        <v>1044</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 customHeight="1">
      <c r="B537" s="1371"/>
      <c r="C537" s="1372"/>
      <c r="D537" s="1372"/>
      <c r="E537" s="1372"/>
      <c r="F537" s="1372"/>
      <c r="G537" s="1372"/>
      <c r="H537" s="1373"/>
      <c r="I537" s="33" t="s">
        <v>1422</v>
      </c>
      <c r="J537" s="33"/>
      <c r="K537" s="33"/>
      <c r="L537" s="33"/>
      <c r="M537" s="33"/>
      <c r="N537" s="33"/>
      <c r="O537" s="33"/>
      <c r="P537" s="33"/>
      <c r="Q537" s="33"/>
      <c r="R537" s="33"/>
      <c r="S537" s="33"/>
      <c r="T537" s="33"/>
      <c r="U537" s="33"/>
      <c r="V537" s="33"/>
      <c r="W537" s="33"/>
      <c r="X537" s="33"/>
      <c r="Y537" s="33"/>
      <c r="Z537" s="33"/>
      <c r="AA537" s="33"/>
      <c r="AB537" s="33"/>
      <c r="AC537" s="1350" t="s">
        <v>299</v>
      </c>
      <c r="AD537" s="1351"/>
      <c r="AE537" s="1351"/>
      <c r="AF537" s="1351"/>
      <c r="AG537" s="1166" t="s">
        <v>1389</v>
      </c>
      <c r="AH537" s="1348"/>
      <c r="AI537" s="1348"/>
      <c r="AJ537" s="1348"/>
      <c r="AK537" s="1349"/>
      <c r="AZ537" s="2"/>
      <c r="BA537" s="2"/>
      <c r="BB537" s="2"/>
      <c r="BC537" s="2"/>
      <c r="BD537" s="2"/>
      <c r="BE537" s="2"/>
      <c r="BF537" s="2"/>
      <c r="BG537" s="2"/>
      <c r="BH537" s="2"/>
      <c r="BI537" s="2"/>
      <c r="BJ537" s="2"/>
      <c r="BK537" s="2"/>
      <c r="BL537" s="2"/>
      <c r="BM537" s="2"/>
      <c r="BN537" s="2" t="s">
        <v>1440</v>
      </c>
      <c r="BO537" s="2"/>
      <c r="BP537" s="2"/>
      <c r="BQ537" s="2"/>
      <c r="BR537" s="2"/>
      <c r="BS537" s="2"/>
      <c r="BT537" s="2"/>
      <c r="BU537" s="2"/>
      <c r="BV537" s="241" t="s">
        <v>1048</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 customHeight="1">
      <c r="B538" s="1371"/>
      <c r="C538" s="1372"/>
      <c r="D538" s="1372"/>
      <c r="E538" s="1372"/>
      <c r="F538" s="1372"/>
      <c r="G538" s="1372"/>
      <c r="H538" s="1373"/>
      <c r="I538" s="31" t="s">
        <v>1441</v>
      </c>
      <c r="J538" s="31"/>
      <c r="K538" s="31"/>
      <c r="L538" s="31"/>
      <c r="M538" s="31"/>
      <c r="N538" s="31"/>
      <c r="O538" s="31"/>
      <c r="P538" s="31"/>
      <c r="Q538" s="31"/>
      <c r="R538" s="31"/>
      <c r="S538" s="31"/>
      <c r="T538" s="31"/>
      <c r="U538" s="31"/>
      <c r="V538" s="31"/>
      <c r="W538" s="31"/>
      <c r="AC538" s="1350">
        <v>9</v>
      </c>
      <c r="AD538" s="1351"/>
      <c r="AE538" s="1351"/>
      <c r="AF538" s="1351"/>
      <c r="AG538" s="1166" t="s">
        <v>1389</v>
      </c>
      <c r="AH538" s="1348">
        <v>2025</v>
      </c>
      <c r="AI538" s="1348"/>
      <c r="AJ538" s="1348"/>
      <c r="AK538" s="1349"/>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1054</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 customHeight="1">
      <c r="B539" s="1371"/>
      <c r="C539" s="1372"/>
      <c r="D539" s="1372"/>
      <c r="E539" s="1372"/>
      <c r="F539" s="1372"/>
      <c r="G539" s="1372"/>
      <c r="H539" s="1373"/>
      <c r="I539" t="s">
        <v>1442</v>
      </c>
      <c r="AC539" s="1350">
        <v>6</v>
      </c>
      <c r="AD539" s="1351"/>
      <c r="AE539" s="1351"/>
      <c r="AF539" s="1351"/>
      <c r="AG539" s="1118" t="s">
        <v>1389</v>
      </c>
      <c r="AH539" s="1348">
        <v>2025</v>
      </c>
      <c r="AI539" s="1348"/>
      <c r="AJ539" s="1348"/>
      <c r="AK539" s="1349"/>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1057</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 customHeight="1">
      <c r="B540" s="1371"/>
      <c r="C540" s="1372"/>
      <c r="D540" s="1372"/>
      <c r="E540" s="1372"/>
      <c r="F540" s="1372"/>
      <c r="G540" s="1372"/>
      <c r="H540" s="1373"/>
      <c r="I540" t="s">
        <v>1443</v>
      </c>
      <c r="AC540" s="1350">
        <v>3</v>
      </c>
      <c r="AD540" s="1351"/>
      <c r="AE540" s="1351"/>
      <c r="AF540" s="1351"/>
      <c r="AG540" s="1166" t="s">
        <v>1389</v>
      </c>
      <c r="AH540" s="1348">
        <v>2027</v>
      </c>
      <c r="AI540" s="1348"/>
      <c r="AJ540" s="1348"/>
      <c r="AK540" s="1349"/>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1062</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 customHeight="1">
      <c r="B541" s="1371"/>
      <c r="C541" s="1372"/>
      <c r="D541" s="1372"/>
      <c r="E541" s="1372"/>
      <c r="F541" s="1372"/>
      <c r="G541" s="1372"/>
      <c r="H541" s="1373"/>
      <c r="I541" t="s">
        <v>1444</v>
      </c>
      <c r="AC541" s="1350">
        <v>6</v>
      </c>
      <c r="AD541" s="1351"/>
      <c r="AE541" s="1351"/>
      <c r="AF541" s="1351"/>
      <c r="AG541" s="1166" t="s">
        <v>1389</v>
      </c>
      <c r="AH541" s="1348">
        <v>2027</v>
      </c>
      <c r="AI541" s="1348"/>
      <c r="AJ541" s="1348"/>
      <c r="AK541" s="1349"/>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1066</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 customHeight="1">
      <c r="B542" s="1374"/>
      <c r="C542" s="1375"/>
      <c r="D542" s="1375"/>
      <c r="E542" s="1375"/>
      <c r="F542" s="1375"/>
      <c r="G542" s="1375"/>
      <c r="H542" s="1376"/>
      <c r="I542" s="33" t="s">
        <v>1445</v>
      </c>
      <c r="J542" s="33"/>
      <c r="K542" s="33"/>
      <c r="L542" s="33"/>
      <c r="M542" s="33"/>
      <c r="N542" s="33"/>
      <c r="O542" s="33"/>
      <c r="P542" s="33"/>
      <c r="Q542" s="33"/>
      <c r="R542" s="33"/>
      <c r="S542" s="33"/>
      <c r="T542" s="33"/>
      <c r="U542" s="33"/>
      <c r="V542" s="33"/>
      <c r="W542" s="33"/>
      <c r="X542" s="33"/>
      <c r="Y542" s="33"/>
      <c r="Z542" s="33"/>
      <c r="AA542" s="33"/>
      <c r="AB542" s="33"/>
      <c r="AC542" s="1350">
        <v>9</v>
      </c>
      <c r="AD542" s="1351"/>
      <c r="AE542" s="1351"/>
      <c r="AF542" s="1351"/>
      <c r="AG542" s="1166" t="s">
        <v>1389</v>
      </c>
      <c r="AH542" s="1348">
        <v>2027</v>
      </c>
      <c r="AI542" s="1348"/>
      <c r="AJ542" s="1348"/>
      <c r="AK542" s="1349"/>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1069</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 customHeight="1">
      <c r="B543" s="401"/>
      <c r="C543" s="1146"/>
      <c r="D543" s="1146"/>
      <c r="E543" s="1146"/>
      <c r="F543" s="1146"/>
      <c r="G543" s="1146"/>
      <c r="H543" s="1146"/>
      <c r="AB543" s="1146"/>
      <c r="AU543" s="731"/>
      <c r="AV543" s="731"/>
      <c r="AW543" s="731"/>
      <c r="AX543" s="731"/>
      <c r="AY543" s="731"/>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1" t="s">
        <v>1073</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 customHeight="1">
      <c r="A544" s="1231" t="s">
        <v>1446</v>
      </c>
      <c r="B544" s="1231"/>
      <c r="C544" s="1231"/>
      <c r="D544" s="1231"/>
      <c r="E544" s="1231"/>
      <c r="F544" s="1231"/>
      <c r="G544" s="1231"/>
      <c r="H544" s="1231"/>
      <c r="I544" s="1231"/>
      <c r="J544" s="1231"/>
      <c r="K544" s="1231"/>
      <c r="L544" s="1231"/>
      <c r="M544" s="1231"/>
      <c r="N544" s="1231"/>
      <c r="O544" s="1231"/>
      <c r="P544" s="1231"/>
      <c r="Q544" s="1231"/>
      <c r="R544" s="1231"/>
      <c r="S544" s="1231"/>
      <c r="T544" s="1231"/>
      <c r="U544" s="1231"/>
      <c r="V544" s="1231"/>
      <c r="W544" s="1231"/>
      <c r="X544" s="1231"/>
      <c r="Y544" s="1231"/>
      <c r="Z544" s="1231"/>
      <c r="AA544" s="1231"/>
      <c r="AB544" s="1231"/>
      <c r="AC544" s="1231"/>
      <c r="AD544" s="1231"/>
      <c r="AE544" s="1231"/>
      <c r="AF544" s="1231"/>
      <c r="AG544" s="1231"/>
      <c r="AH544" s="1231"/>
      <c r="AI544" s="1231"/>
      <c r="AJ544" s="1231"/>
      <c r="AK544" s="1231"/>
      <c r="AL544" s="1231"/>
      <c r="AM544" s="1231"/>
      <c r="AN544" s="1231"/>
      <c r="AO544" s="1231"/>
      <c r="AP544" s="1231"/>
      <c r="AQ544" s="1231"/>
      <c r="AR544" s="1231"/>
      <c r="AS544" s="1231"/>
      <c r="AT544" s="1231"/>
      <c r="AU544" s="731"/>
      <c r="AV544" s="731"/>
      <c r="AW544" s="731"/>
      <c r="AX544" s="731"/>
      <c r="AY544" s="731"/>
      <c r="BB544" s="2"/>
      <c r="BC544" s="2"/>
      <c r="BD544" s="2"/>
      <c r="BE544" s="2"/>
      <c r="BF544" s="2"/>
      <c r="BG544" s="2"/>
      <c r="BH544" s="2"/>
      <c r="BI544" s="2"/>
      <c r="BJ544" s="2"/>
      <c r="BK544" s="2"/>
      <c r="BL544" s="2"/>
      <c r="BM544" s="2"/>
      <c r="BN544" s="2"/>
      <c r="BO544" s="2"/>
      <c r="BP544" s="2"/>
      <c r="BQ544" s="2"/>
      <c r="BR544" s="2"/>
      <c r="BS544" s="2"/>
      <c r="BT544" s="2"/>
      <c r="BU544" s="2"/>
      <c r="BV544" s="241" t="s">
        <v>1075</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 customHeight="1">
      <c r="A545" s="1231"/>
      <c r="B545" s="1231"/>
      <c r="C545" s="1231"/>
      <c r="D545" s="1231"/>
      <c r="E545" s="1231"/>
      <c r="F545" s="1231"/>
      <c r="G545" s="1231"/>
      <c r="H545" s="1231"/>
      <c r="I545" s="1231"/>
      <c r="J545" s="1231"/>
      <c r="K545" s="1231"/>
      <c r="L545" s="1231"/>
      <c r="M545" s="1231"/>
      <c r="N545" s="1231"/>
      <c r="O545" s="1231"/>
      <c r="P545" s="1231"/>
      <c r="Q545" s="1231"/>
      <c r="R545" s="1231"/>
      <c r="S545" s="1231"/>
      <c r="T545" s="1231"/>
      <c r="U545" s="1231"/>
      <c r="V545" s="1231"/>
      <c r="W545" s="1231"/>
      <c r="X545" s="1231"/>
      <c r="Y545" s="1231"/>
      <c r="Z545" s="1231"/>
      <c r="AA545" s="1231"/>
      <c r="AB545" s="1231"/>
      <c r="AC545" s="1231"/>
      <c r="AD545" s="1231"/>
      <c r="AE545" s="1231"/>
      <c r="AF545" s="1231"/>
      <c r="AG545" s="1231"/>
      <c r="AH545" s="1231"/>
      <c r="AI545" s="1231"/>
      <c r="AJ545" s="1231"/>
      <c r="AK545" s="1231"/>
      <c r="AL545" s="1231"/>
      <c r="AM545" s="1231"/>
      <c r="AN545" s="1231"/>
      <c r="AO545" s="1231"/>
      <c r="AP545" s="1231"/>
      <c r="AQ545" s="1231"/>
      <c r="AR545" s="1231"/>
      <c r="AS545" s="1231"/>
      <c r="AT545" s="1231"/>
      <c r="BB545" s="2"/>
      <c r="BC545" s="2"/>
      <c r="BD545" s="2"/>
      <c r="BE545" s="2"/>
      <c r="BF545" s="2"/>
      <c r="BG545" s="2"/>
      <c r="BH545" s="2"/>
      <c r="BI545" s="2"/>
      <c r="BJ545" s="2"/>
      <c r="BK545" s="2"/>
      <c r="BL545" s="2"/>
      <c r="BM545" s="2"/>
      <c r="BN545" s="2"/>
      <c r="BO545" s="2"/>
      <c r="BP545" s="2"/>
      <c r="BQ545" s="2"/>
      <c r="BR545" s="2"/>
      <c r="BS545" s="2"/>
      <c r="BT545" s="2"/>
      <c r="BU545" s="2"/>
      <c r="BV545" s="241" t="s">
        <v>1079</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 customHeight="1">
      <c r="BB546" s="2"/>
      <c r="BC546" s="2"/>
      <c r="BD546" s="2"/>
      <c r="BE546" s="2"/>
      <c r="BF546" s="2"/>
      <c r="BG546" s="2"/>
      <c r="BH546" s="2"/>
      <c r="BI546" s="2"/>
      <c r="BJ546" s="2"/>
      <c r="BK546" s="2"/>
      <c r="BL546" s="2"/>
      <c r="BM546" s="2"/>
      <c r="BN546" s="2"/>
      <c r="BO546" s="2"/>
      <c r="BP546" s="2"/>
      <c r="BQ546" s="2"/>
      <c r="BR546" s="2"/>
      <c r="BS546" s="2"/>
      <c r="BT546" s="2"/>
      <c r="BU546" s="2"/>
      <c r="BV546" s="241" t="s">
        <v>1083</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 customHeight="1" thickBot="1">
      <c r="A547" s="1" t="s">
        <v>920</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1" t="s">
        <v>1087</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 customHeight="1">
      <c r="A549" s="1"/>
      <c r="B549" s="1"/>
      <c r="C549" s="1"/>
      <c r="D549" s="1" t="s">
        <v>1447</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 customHeight="1">
      <c r="B550" s="383"/>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 customHeight="1">
      <c r="B551" s="1368" t="s">
        <v>1448</v>
      </c>
      <c r="C551" s="1369"/>
      <c r="D551" s="1369"/>
      <c r="E551" s="1369"/>
      <c r="F551" s="1369"/>
      <c r="G551" s="1369"/>
      <c r="H551" s="1369"/>
      <c r="I551" s="1369"/>
      <c r="J551" s="1369"/>
      <c r="K551" s="1369"/>
      <c r="L551" s="1370"/>
      <c r="M551" s="1368" t="s">
        <v>1449</v>
      </c>
      <c r="N551" s="1369"/>
      <c r="O551" s="1369"/>
      <c r="P551" s="1370"/>
      <c r="Q551" s="1368" t="s">
        <v>1450</v>
      </c>
      <c r="R551" s="1369"/>
      <c r="S551" s="1370"/>
      <c r="T551" s="1368" t="s">
        <v>1451</v>
      </c>
      <c r="U551" s="1369"/>
      <c r="V551" s="1370"/>
      <c r="W551" s="1368" t="s">
        <v>1452</v>
      </c>
      <c r="X551" s="1369"/>
      <c r="Y551" s="1370"/>
      <c r="Z551" s="1368" t="s">
        <v>1453</v>
      </c>
      <c r="AA551" s="1369"/>
      <c r="AB551" s="1369"/>
      <c r="AC551" s="1369"/>
      <c r="AD551" s="1370"/>
      <c r="AE551" s="1368" t="s">
        <v>1454</v>
      </c>
      <c r="AF551" s="1369"/>
      <c r="AG551" s="1369"/>
      <c r="AH551" s="1370"/>
      <c r="AI551" s="1368" t="s">
        <v>1455</v>
      </c>
      <c r="AJ551" s="1369"/>
      <c r="AK551" s="1369"/>
      <c r="AL551" s="1370"/>
      <c r="AM551" s="1368" t="s">
        <v>1456</v>
      </c>
      <c r="AN551" s="1369"/>
      <c r="AO551" s="1369"/>
      <c r="AP551" s="1369"/>
      <c r="AQ551" s="1369"/>
      <c r="AR551" s="1369"/>
      <c r="AS551" s="1370"/>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 customHeight="1">
      <c r="B552" s="1371"/>
      <c r="C552" s="1372"/>
      <c r="D552" s="1372"/>
      <c r="E552" s="1372"/>
      <c r="F552" s="1372"/>
      <c r="G552" s="1372"/>
      <c r="H552" s="1372"/>
      <c r="I552" s="1372"/>
      <c r="J552" s="1372"/>
      <c r="K552" s="1372"/>
      <c r="L552" s="1373"/>
      <c r="M552" s="1371"/>
      <c r="N552" s="1372"/>
      <c r="O552" s="1372"/>
      <c r="P552" s="1373"/>
      <c r="Q552" s="1371"/>
      <c r="R552" s="1372"/>
      <c r="S552" s="1373"/>
      <c r="T552" s="1371"/>
      <c r="U552" s="1372"/>
      <c r="V552" s="1373"/>
      <c r="W552" s="1371"/>
      <c r="X552" s="1372"/>
      <c r="Y552" s="1373"/>
      <c r="Z552" s="1371"/>
      <c r="AA552" s="1372"/>
      <c r="AB552" s="1372"/>
      <c r="AC552" s="1372"/>
      <c r="AD552" s="1373"/>
      <c r="AE552" s="1371"/>
      <c r="AF552" s="1372"/>
      <c r="AG552" s="1372"/>
      <c r="AH552" s="1373"/>
      <c r="AI552" s="1371"/>
      <c r="AJ552" s="1372"/>
      <c r="AK552" s="1372"/>
      <c r="AL552" s="1373"/>
      <c r="AM552" s="1371"/>
      <c r="AN552" s="1372"/>
      <c r="AO552" s="1372"/>
      <c r="AP552" s="1372"/>
      <c r="AQ552" s="1372"/>
      <c r="AR552" s="1372"/>
      <c r="AS552" s="1373"/>
      <c r="AU552" s="959"/>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 customHeight="1">
      <c r="B553" s="1374"/>
      <c r="C553" s="1375"/>
      <c r="D553" s="1375"/>
      <c r="E553" s="1375"/>
      <c r="F553" s="1375"/>
      <c r="G553" s="1375"/>
      <c r="H553" s="1375"/>
      <c r="I553" s="1375"/>
      <c r="J553" s="1375"/>
      <c r="K553" s="1375"/>
      <c r="L553" s="1376"/>
      <c r="M553" s="1374"/>
      <c r="N553" s="1375"/>
      <c r="O553" s="1375"/>
      <c r="P553" s="1376"/>
      <c r="Q553" s="1374"/>
      <c r="R553" s="1375"/>
      <c r="S553" s="1376"/>
      <c r="T553" s="1374"/>
      <c r="U553" s="1375"/>
      <c r="V553" s="1376"/>
      <c r="W553" s="1374"/>
      <c r="X553" s="1375"/>
      <c r="Y553" s="1376"/>
      <c r="Z553" s="1374"/>
      <c r="AA553" s="1375"/>
      <c r="AB553" s="1375"/>
      <c r="AC553" s="1375"/>
      <c r="AD553" s="1376"/>
      <c r="AE553" s="1374"/>
      <c r="AF553" s="1375"/>
      <c r="AG553" s="1375"/>
      <c r="AH553" s="1376"/>
      <c r="AI553" s="1374"/>
      <c r="AJ553" s="1375"/>
      <c r="AK553" s="1375"/>
      <c r="AL553" s="1376"/>
      <c r="AM553" s="1374"/>
      <c r="AN553" s="1375"/>
      <c r="AO553" s="1375"/>
      <c r="AP553" s="1375"/>
      <c r="AQ553" s="1375"/>
      <c r="AR553" s="1375"/>
      <c r="AS553" s="1376"/>
      <c r="AU553" s="959"/>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 customHeight="1">
      <c r="B554" s="35" t="s">
        <v>17</v>
      </c>
      <c r="C554" s="1452" t="s">
        <v>1457</v>
      </c>
      <c r="D554" s="1452"/>
      <c r="E554" s="1452"/>
      <c r="F554" s="1452"/>
      <c r="G554" s="1452"/>
      <c r="H554" s="1452"/>
      <c r="I554" s="1452"/>
      <c r="J554" s="1452"/>
      <c r="K554" s="1452"/>
      <c r="L554" s="1452"/>
      <c r="M554" s="1452" t="s">
        <v>1431</v>
      </c>
      <c r="N554" s="1452"/>
      <c r="O554" s="1452"/>
      <c r="P554" s="1452"/>
      <c r="Q554" s="1358">
        <v>24</v>
      </c>
      <c r="R554" s="1358"/>
      <c r="S554" s="1359"/>
      <c r="T554" s="1357"/>
      <c r="U554" s="1358"/>
      <c r="V554" s="1359"/>
      <c r="W554" s="1380">
        <v>0.06</v>
      </c>
      <c r="X554" s="1381"/>
      <c r="Y554" s="1382"/>
      <c r="Z554" s="1456" t="s">
        <v>1458</v>
      </c>
      <c r="AA554" s="1456"/>
      <c r="AB554" s="1456"/>
      <c r="AC554" s="1456"/>
      <c r="AD554" s="1456"/>
      <c r="AE554" s="1377">
        <v>1</v>
      </c>
      <c r="AF554" s="1378"/>
      <c r="AG554" s="1378"/>
      <c r="AH554" s="1379"/>
      <c r="AI554" s="1453"/>
      <c r="AJ554" s="1454"/>
      <c r="AK554" s="1454"/>
      <c r="AL554" s="1455"/>
      <c r="AM554" s="1365">
        <v>28826216</v>
      </c>
      <c r="AN554" s="1366"/>
      <c r="AO554" s="1366"/>
      <c r="AP554" s="1366"/>
      <c r="AQ554" s="1366"/>
      <c r="AR554" s="1366"/>
      <c r="AS554" s="1367"/>
      <c r="AT554" s="960"/>
      <c r="AU554" s="959"/>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 customHeight="1">
      <c r="B555" s="36" t="s">
        <v>30</v>
      </c>
      <c r="C555" s="1360" t="s">
        <v>1459</v>
      </c>
      <c r="D555" s="1360"/>
      <c r="E555" s="1360"/>
      <c r="F555" s="1360"/>
      <c r="G555" s="1360"/>
      <c r="H555" s="1360"/>
      <c r="I555" s="1360"/>
      <c r="J555" s="1360"/>
      <c r="K555" s="1360"/>
      <c r="L555" s="1360"/>
      <c r="M555" s="1452" t="s">
        <v>1430</v>
      </c>
      <c r="N555" s="1452"/>
      <c r="O555" s="1452"/>
      <c r="P555" s="1452"/>
      <c r="Q555" s="1357">
        <v>24</v>
      </c>
      <c r="R555" s="1358"/>
      <c r="S555" s="1359"/>
      <c r="T555" s="1357"/>
      <c r="U555" s="1358"/>
      <c r="V555" s="1359"/>
      <c r="W555" s="1380">
        <v>6.5000000000000002E-2</v>
      </c>
      <c r="X555" s="1381"/>
      <c r="Y555" s="1382"/>
      <c r="Z555" s="1456" t="s">
        <v>1458</v>
      </c>
      <c r="AA555" s="1456"/>
      <c r="AB555" s="1456"/>
      <c r="AC555" s="1456"/>
      <c r="AD555" s="1456"/>
      <c r="AE555" s="1377">
        <v>1</v>
      </c>
      <c r="AF555" s="1378"/>
      <c r="AG555" s="1378"/>
      <c r="AH555" s="1379"/>
      <c r="AI555" s="1453"/>
      <c r="AJ555" s="1454"/>
      <c r="AK555" s="1454"/>
      <c r="AL555" s="1455"/>
      <c r="AM555" s="1365">
        <v>3325673</v>
      </c>
      <c r="AN555" s="1366"/>
      <c r="AO555" s="1366"/>
      <c r="AP555" s="1366"/>
      <c r="AQ555" s="1366"/>
      <c r="AR555" s="1366"/>
      <c r="AS555" s="1367"/>
      <c r="AT555" s="960" t="str">
        <f>IF(AND(NOT(C554=""),C555="",NOT(C556="")),"!","")</f>
        <v/>
      </c>
      <c r="AU555" s="959"/>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 customHeight="1">
      <c r="B556" s="36" t="s">
        <v>38</v>
      </c>
      <c r="C556" s="1360" t="s">
        <v>1460</v>
      </c>
      <c r="D556" s="1360"/>
      <c r="E556" s="1360"/>
      <c r="F556" s="1360"/>
      <c r="G556" s="1360"/>
      <c r="H556" s="1360"/>
      <c r="I556" s="1360"/>
      <c r="J556" s="1360"/>
      <c r="K556" s="1360"/>
      <c r="L556" s="1360"/>
      <c r="M556" s="1452" t="s">
        <v>1416</v>
      </c>
      <c r="N556" s="1452"/>
      <c r="O556" s="1452"/>
      <c r="P556" s="1452"/>
      <c r="Q556" s="1357"/>
      <c r="R556" s="1358"/>
      <c r="S556" s="1359"/>
      <c r="T556" s="1357"/>
      <c r="U556" s="1358"/>
      <c r="V556" s="1359"/>
      <c r="W556" s="1380"/>
      <c r="X556" s="1381"/>
      <c r="Y556" s="1382"/>
      <c r="Z556" s="1456" t="s">
        <v>1077</v>
      </c>
      <c r="AA556" s="1456"/>
      <c r="AB556" s="1456"/>
      <c r="AC556" s="1456"/>
      <c r="AD556" s="1456"/>
      <c r="AE556" s="1377"/>
      <c r="AF556" s="1378"/>
      <c r="AG556" s="1378"/>
      <c r="AH556" s="1379"/>
      <c r="AI556" s="1453"/>
      <c r="AJ556" s="1454"/>
      <c r="AK556" s="1454"/>
      <c r="AL556" s="1455"/>
      <c r="AM556" s="1365">
        <v>5574370</v>
      </c>
      <c r="AN556" s="1366"/>
      <c r="AO556" s="1366"/>
      <c r="AP556" s="1366"/>
      <c r="AQ556" s="1366"/>
      <c r="AR556" s="1366"/>
      <c r="AS556" s="1367"/>
      <c r="AT556" s="960" t="str">
        <f>IF(AND(NOT(C555=""),C556="",NOT(C557="")),"!","")</f>
        <v/>
      </c>
      <c r="AU556" s="959"/>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 customHeight="1">
      <c r="B557" s="36" t="s">
        <v>81</v>
      </c>
      <c r="C557" s="1360" t="s">
        <v>1461</v>
      </c>
      <c r="D557" s="1360"/>
      <c r="E557" s="1360"/>
      <c r="F557" s="1360"/>
      <c r="G557" s="1360"/>
      <c r="H557" s="1360"/>
      <c r="I557" s="1360"/>
      <c r="J557" s="1360"/>
      <c r="K557" s="1360"/>
      <c r="L557" s="1360"/>
      <c r="M557" s="1452" t="s">
        <v>1416</v>
      </c>
      <c r="N557" s="1452"/>
      <c r="O557" s="1452"/>
      <c r="P557" s="1452"/>
      <c r="Q557" s="1357"/>
      <c r="R557" s="1358"/>
      <c r="S557" s="1359"/>
      <c r="T557" s="1357"/>
      <c r="U557" s="1358"/>
      <c r="V557" s="1359"/>
      <c r="W557" s="1380"/>
      <c r="X557" s="1381"/>
      <c r="Y557" s="1382"/>
      <c r="Z557" s="1456" t="s">
        <v>1077</v>
      </c>
      <c r="AA557" s="1456"/>
      <c r="AB557" s="1456"/>
      <c r="AC557" s="1456"/>
      <c r="AD557" s="1456"/>
      <c r="AE557" s="1377"/>
      <c r="AF557" s="1378"/>
      <c r="AG557" s="1378"/>
      <c r="AH557" s="1379"/>
      <c r="AI557" s="1453"/>
      <c r="AJ557" s="1454"/>
      <c r="AK557" s="1454"/>
      <c r="AL557" s="1455"/>
      <c r="AM557" s="1365">
        <v>2925000</v>
      </c>
      <c r="AN557" s="1366"/>
      <c r="AO557" s="1366"/>
      <c r="AP557" s="1366"/>
      <c r="AQ557" s="1366"/>
      <c r="AR557" s="1366"/>
      <c r="AS557" s="1367"/>
      <c r="AT557" s="960" t="str">
        <f>IF(AND(NOT(C556=""),C557="",NOT(C558="")),"!","")</f>
        <v/>
      </c>
      <c r="AU557" s="959"/>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 customHeight="1">
      <c r="B558" s="36" t="s">
        <v>85</v>
      </c>
      <c r="C558" s="1360" t="s">
        <v>1462</v>
      </c>
      <c r="D558" s="1360"/>
      <c r="E558" s="1360"/>
      <c r="F558" s="1360"/>
      <c r="G558" s="1360"/>
      <c r="H558" s="1360"/>
      <c r="I558" s="1360"/>
      <c r="J558" s="1360"/>
      <c r="K558" s="1360"/>
      <c r="L558" s="1360"/>
      <c r="M558" s="1452" t="s">
        <v>1408</v>
      </c>
      <c r="N558" s="1452"/>
      <c r="O558" s="1452"/>
      <c r="P558" s="1452"/>
      <c r="Q558" s="1357"/>
      <c r="R558" s="1358"/>
      <c r="S558" s="1359"/>
      <c r="T558" s="1357"/>
      <c r="U558" s="1358"/>
      <c r="V558" s="1359"/>
      <c r="W558" s="1380"/>
      <c r="X558" s="1381"/>
      <c r="Y558" s="1382"/>
      <c r="Z558" s="1456" t="s">
        <v>1077</v>
      </c>
      <c r="AA558" s="1456"/>
      <c r="AB558" s="1456"/>
      <c r="AC558" s="1456"/>
      <c r="AD558" s="1456"/>
      <c r="AE558" s="1377"/>
      <c r="AF558" s="1378"/>
      <c r="AG558" s="1378"/>
      <c r="AH558" s="1379"/>
      <c r="AI558" s="1453"/>
      <c r="AJ558" s="1454"/>
      <c r="AK558" s="1454"/>
      <c r="AL558" s="1455"/>
      <c r="AM558" s="1365">
        <f>55233895-40651259</f>
        <v>14582636</v>
      </c>
      <c r="AN558" s="1366"/>
      <c r="AO558" s="1366"/>
      <c r="AP558" s="1366"/>
      <c r="AQ558" s="1366"/>
      <c r="AR558" s="1366"/>
      <c r="AS558" s="1367"/>
      <c r="AT558" s="960" t="str">
        <f t="shared" ref="AT558:AT565" si="0">IF(AND(NOT(C557=""),C558="",NOT(C559="")),"!","")</f>
        <v/>
      </c>
      <c r="AU558" s="959"/>
      <c r="BB558" s="2"/>
      <c r="BC558" s="2"/>
      <c r="BD558" s="2"/>
      <c r="BE558" s="2"/>
      <c r="BF558" s="2"/>
      <c r="BG558" s="2"/>
      <c r="BH558" s="2" t="s">
        <v>85</v>
      </c>
      <c r="BI558" s="2" t="str">
        <f>N665</f>
        <v>No</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 customHeight="1">
      <c r="B559" s="36" t="s">
        <v>1463</v>
      </c>
      <c r="C559" s="1360"/>
      <c r="D559" s="1360"/>
      <c r="E559" s="1360"/>
      <c r="F559" s="1360"/>
      <c r="G559" s="1360"/>
      <c r="H559" s="1360"/>
      <c r="I559" s="1360"/>
      <c r="J559" s="1360"/>
      <c r="K559" s="1360"/>
      <c r="L559" s="1360"/>
      <c r="M559" s="1452" t="s">
        <v>1077</v>
      </c>
      <c r="N559" s="1452"/>
      <c r="O559" s="1452"/>
      <c r="P559" s="1452"/>
      <c r="Q559" s="1357"/>
      <c r="R559" s="1358"/>
      <c r="S559" s="1359"/>
      <c r="T559" s="1357"/>
      <c r="U559" s="1358"/>
      <c r="V559" s="1359"/>
      <c r="W559" s="1380"/>
      <c r="X559" s="1381"/>
      <c r="Y559" s="1382"/>
      <c r="Z559" s="1456" t="s">
        <v>1077</v>
      </c>
      <c r="AA559" s="1456"/>
      <c r="AB559" s="1456"/>
      <c r="AC559" s="1456"/>
      <c r="AD559" s="1456"/>
      <c r="AE559" s="1377"/>
      <c r="AF559" s="1378"/>
      <c r="AG559" s="1378"/>
      <c r="AH559" s="1379"/>
      <c r="AI559" s="1453"/>
      <c r="AJ559" s="1454"/>
      <c r="AK559" s="1454"/>
      <c r="AL559" s="1455"/>
      <c r="AM559" s="1365"/>
      <c r="AN559" s="1366"/>
      <c r="AO559" s="1366"/>
      <c r="AP559" s="1366"/>
      <c r="AQ559" s="1366"/>
      <c r="AR559" s="1366"/>
      <c r="AS559" s="1367"/>
      <c r="AT559" s="960" t="str">
        <f t="shared" si="0"/>
        <v/>
      </c>
      <c r="AU559" s="959"/>
      <c r="BB559" s="2"/>
      <c r="BC559" s="2"/>
      <c r="BD559" s="2"/>
      <c r="BE559" s="2"/>
      <c r="BF559" s="2"/>
      <c r="BG559" s="2"/>
      <c r="BH559" s="2" t="s">
        <v>1463</v>
      </c>
      <c r="BI559" s="2" t="str">
        <f>AG665</f>
        <v>No</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 customHeight="1">
      <c r="B560" s="36" t="s">
        <v>1464</v>
      </c>
      <c r="C560" s="1360"/>
      <c r="D560" s="1360"/>
      <c r="E560" s="1360"/>
      <c r="F560" s="1360"/>
      <c r="G560" s="1360"/>
      <c r="H560" s="1360"/>
      <c r="I560" s="1360"/>
      <c r="J560" s="1360"/>
      <c r="K560" s="1360"/>
      <c r="L560" s="1360"/>
      <c r="M560" s="1452" t="s">
        <v>1077</v>
      </c>
      <c r="N560" s="1452"/>
      <c r="O560" s="1452"/>
      <c r="P560" s="1452"/>
      <c r="Q560" s="1357"/>
      <c r="R560" s="1358"/>
      <c r="S560" s="1359"/>
      <c r="T560" s="1357"/>
      <c r="U560" s="1358"/>
      <c r="V560" s="1359"/>
      <c r="W560" s="1380"/>
      <c r="X560" s="1381"/>
      <c r="Y560" s="1382"/>
      <c r="Z560" s="1456" t="s">
        <v>1077</v>
      </c>
      <c r="AA560" s="1456"/>
      <c r="AB560" s="1456"/>
      <c r="AC560" s="1456"/>
      <c r="AD560" s="1456"/>
      <c r="AE560" s="1377"/>
      <c r="AF560" s="1378"/>
      <c r="AG560" s="1378"/>
      <c r="AH560" s="1379"/>
      <c r="AI560" s="1453"/>
      <c r="AJ560" s="1454"/>
      <c r="AK560" s="1454"/>
      <c r="AL560" s="1455"/>
      <c r="AM560" s="1365"/>
      <c r="AN560" s="1366"/>
      <c r="AO560" s="1366"/>
      <c r="AP560" s="1366"/>
      <c r="AQ560" s="1366"/>
      <c r="AR560" s="1366"/>
      <c r="AS560" s="1367"/>
      <c r="AT560" s="960" t="str">
        <f t="shared" si="0"/>
        <v/>
      </c>
      <c r="AU560" s="959"/>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 customHeight="1">
      <c r="B561" s="36" t="s">
        <v>1465</v>
      </c>
      <c r="C561" s="1360"/>
      <c r="D561" s="1360"/>
      <c r="E561" s="1360"/>
      <c r="F561" s="1360"/>
      <c r="G561" s="1360"/>
      <c r="H561" s="1360"/>
      <c r="I561" s="1360"/>
      <c r="J561" s="1360"/>
      <c r="K561" s="1360"/>
      <c r="L561" s="1360"/>
      <c r="M561" s="1452" t="s">
        <v>1077</v>
      </c>
      <c r="N561" s="1452"/>
      <c r="O561" s="1452"/>
      <c r="P561" s="1452"/>
      <c r="Q561" s="1357"/>
      <c r="R561" s="1358"/>
      <c r="S561" s="1359"/>
      <c r="T561" s="1357"/>
      <c r="U561" s="1358"/>
      <c r="V561" s="1359"/>
      <c r="W561" s="1380"/>
      <c r="X561" s="1381"/>
      <c r="Y561" s="1382"/>
      <c r="Z561" s="1456" t="s">
        <v>1077</v>
      </c>
      <c r="AA561" s="1456"/>
      <c r="AB561" s="1456"/>
      <c r="AC561" s="1456"/>
      <c r="AD561" s="1456"/>
      <c r="AE561" s="1377"/>
      <c r="AF561" s="1378"/>
      <c r="AG561" s="1378"/>
      <c r="AH561" s="1379"/>
      <c r="AI561" s="1453"/>
      <c r="AJ561" s="1454"/>
      <c r="AK561" s="1454"/>
      <c r="AL561" s="1455"/>
      <c r="AM561" s="1365"/>
      <c r="AN561" s="1366"/>
      <c r="AO561" s="1366"/>
      <c r="AP561" s="1366"/>
      <c r="AQ561" s="1366"/>
      <c r="AR561" s="1366"/>
      <c r="AS561" s="1367"/>
      <c r="AT561" s="960" t="str">
        <f t="shared" si="0"/>
        <v/>
      </c>
      <c r="AU561" s="959"/>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 customHeight="1">
      <c r="B562" s="36" t="s">
        <v>1466</v>
      </c>
      <c r="C562" s="1360"/>
      <c r="D562" s="1360"/>
      <c r="E562" s="1360"/>
      <c r="F562" s="1360"/>
      <c r="G562" s="1360"/>
      <c r="H562" s="1360"/>
      <c r="I562" s="1360"/>
      <c r="J562" s="1360"/>
      <c r="K562" s="1360"/>
      <c r="L562" s="1360"/>
      <c r="M562" s="1452" t="s">
        <v>1077</v>
      </c>
      <c r="N562" s="1452"/>
      <c r="O562" s="1452"/>
      <c r="P562" s="1452"/>
      <c r="Q562" s="1357"/>
      <c r="R562" s="1358"/>
      <c r="S562" s="1359"/>
      <c r="T562" s="1357"/>
      <c r="U562" s="1358"/>
      <c r="V562" s="1359"/>
      <c r="W562" s="1380"/>
      <c r="X562" s="1381"/>
      <c r="Y562" s="1382"/>
      <c r="Z562" s="1456" t="s">
        <v>1077</v>
      </c>
      <c r="AA562" s="1456"/>
      <c r="AB562" s="1456"/>
      <c r="AC562" s="1456"/>
      <c r="AD562" s="1456"/>
      <c r="AE562" s="1377"/>
      <c r="AF562" s="1378"/>
      <c r="AG562" s="1378"/>
      <c r="AH562" s="1379"/>
      <c r="AI562" s="1453"/>
      <c r="AJ562" s="1454"/>
      <c r="AK562" s="1454"/>
      <c r="AL562" s="1455"/>
      <c r="AM562" s="1365"/>
      <c r="AN562" s="1366"/>
      <c r="AO562" s="1366"/>
      <c r="AP562" s="1366"/>
      <c r="AQ562" s="1366"/>
      <c r="AR562" s="1366"/>
      <c r="AS562" s="1367"/>
      <c r="AT562" s="960" t="str">
        <f t="shared" si="0"/>
        <v/>
      </c>
      <c r="AU562" s="959"/>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 customHeight="1">
      <c r="B563" s="36" t="s">
        <v>1467</v>
      </c>
      <c r="C563" s="1360"/>
      <c r="D563" s="1360"/>
      <c r="E563" s="1360"/>
      <c r="F563" s="1360"/>
      <c r="G563" s="1360"/>
      <c r="H563" s="1360"/>
      <c r="I563" s="1360"/>
      <c r="J563" s="1360"/>
      <c r="K563" s="1360"/>
      <c r="L563" s="1360"/>
      <c r="M563" s="1452" t="s">
        <v>1077</v>
      </c>
      <c r="N563" s="1452"/>
      <c r="O563" s="1452"/>
      <c r="P563" s="1452"/>
      <c r="Q563" s="1357"/>
      <c r="R563" s="1358"/>
      <c r="S563" s="1359"/>
      <c r="T563" s="1357"/>
      <c r="U563" s="1358"/>
      <c r="V563" s="1359"/>
      <c r="W563" s="1380"/>
      <c r="X563" s="1381"/>
      <c r="Y563" s="1382"/>
      <c r="Z563" s="1456" t="s">
        <v>1077</v>
      </c>
      <c r="AA563" s="1456"/>
      <c r="AB563" s="1456"/>
      <c r="AC563" s="1456"/>
      <c r="AD563" s="1456"/>
      <c r="AE563" s="1377"/>
      <c r="AF563" s="1378"/>
      <c r="AG563" s="1378"/>
      <c r="AH563" s="1379"/>
      <c r="AI563" s="1453"/>
      <c r="AJ563" s="1454"/>
      <c r="AK563" s="1454"/>
      <c r="AL563" s="1455"/>
      <c r="AM563" s="1365"/>
      <c r="AN563" s="1366"/>
      <c r="AO563" s="1366"/>
      <c r="AP563" s="1366"/>
      <c r="AQ563" s="1366"/>
      <c r="AR563" s="1366"/>
      <c r="AS563" s="1367"/>
      <c r="AT563" s="960"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 customHeight="1">
      <c r="B564" s="36" t="s">
        <v>1468</v>
      </c>
      <c r="C564" s="1360"/>
      <c r="D564" s="1360"/>
      <c r="E564" s="1360"/>
      <c r="F564" s="1360"/>
      <c r="G564" s="1360"/>
      <c r="H564" s="1360"/>
      <c r="I564" s="1360"/>
      <c r="J564" s="1360"/>
      <c r="K564" s="1360"/>
      <c r="L564" s="1360"/>
      <c r="M564" s="1452" t="s">
        <v>1077</v>
      </c>
      <c r="N564" s="1452"/>
      <c r="O564" s="1452"/>
      <c r="P564" s="1452"/>
      <c r="Q564" s="1357"/>
      <c r="R564" s="1358"/>
      <c r="S564" s="1359"/>
      <c r="T564" s="1357"/>
      <c r="U564" s="1358"/>
      <c r="V564" s="1359"/>
      <c r="W564" s="1380"/>
      <c r="X564" s="1381"/>
      <c r="Y564" s="1382"/>
      <c r="Z564" s="1456" t="s">
        <v>1077</v>
      </c>
      <c r="AA564" s="1456"/>
      <c r="AB564" s="1456"/>
      <c r="AC564" s="1456"/>
      <c r="AD564" s="1456"/>
      <c r="AE564" s="1377"/>
      <c r="AF564" s="1378"/>
      <c r="AG564" s="1378"/>
      <c r="AH564" s="1379"/>
      <c r="AI564" s="1453"/>
      <c r="AJ564" s="1454"/>
      <c r="AK564" s="1454"/>
      <c r="AL564" s="1455"/>
      <c r="AM564" s="1365"/>
      <c r="AN564" s="1366"/>
      <c r="AO564" s="1366"/>
      <c r="AP564" s="1366"/>
      <c r="AQ564" s="1366"/>
      <c r="AR564" s="1366"/>
      <c r="AS564" s="1367"/>
      <c r="AT564" s="960"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 customHeight="1">
      <c r="B565" s="36" t="s">
        <v>1469</v>
      </c>
      <c r="C565" s="1360"/>
      <c r="D565" s="1360"/>
      <c r="E565" s="1360"/>
      <c r="F565" s="1360"/>
      <c r="G565" s="1360"/>
      <c r="H565" s="1360"/>
      <c r="I565" s="1360"/>
      <c r="J565" s="1360"/>
      <c r="K565" s="1360"/>
      <c r="L565" s="1360"/>
      <c r="M565" s="1452" t="s">
        <v>1077</v>
      </c>
      <c r="N565" s="1452"/>
      <c r="O565" s="1452"/>
      <c r="P565" s="1452"/>
      <c r="Q565" s="1357"/>
      <c r="R565" s="1358"/>
      <c r="S565" s="1359"/>
      <c r="T565" s="1357"/>
      <c r="U565" s="1358"/>
      <c r="V565" s="1359"/>
      <c r="W565" s="1380"/>
      <c r="X565" s="1381"/>
      <c r="Y565" s="1382"/>
      <c r="Z565" s="1456" t="s">
        <v>1077</v>
      </c>
      <c r="AA565" s="1456"/>
      <c r="AB565" s="1456"/>
      <c r="AC565" s="1456"/>
      <c r="AD565" s="1456"/>
      <c r="AE565" s="1377"/>
      <c r="AF565" s="1378"/>
      <c r="AG565" s="1378"/>
      <c r="AH565" s="1379"/>
      <c r="AI565" s="1453"/>
      <c r="AJ565" s="1454"/>
      <c r="AK565" s="1454"/>
      <c r="AL565" s="1455"/>
      <c r="AM565" s="1365"/>
      <c r="AN565" s="1366"/>
      <c r="AO565" s="1366"/>
      <c r="AP565" s="1366"/>
      <c r="AQ565" s="1366"/>
      <c r="AR565" s="1366"/>
      <c r="AS565" s="1367"/>
      <c r="AT565" s="960"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 customHeight="1">
      <c r="B566" s="1435" t="s">
        <v>1470</v>
      </c>
      <c r="C566" s="1436"/>
      <c r="D566" s="1436"/>
      <c r="E566" s="1436"/>
      <c r="F566" s="1436"/>
      <c r="G566" s="1436"/>
      <c r="H566" s="1436"/>
      <c r="I566" s="1436"/>
      <c r="J566" s="1436"/>
      <c r="K566" s="1436"/>
      <c r="L566" s="1436"/>
      <c r="M566" s="1436"/>
      <c r="N566" s="1436"/>
      <c r="O566" s="1436"/>
      <c r="P566" s="1436"/>
      <c r="Q566" s="1436"/>
      <c r="R566" s="1436"/>
      <c r="S566" s="1436"/>
      <c r="T566" s="1436"/>
      <c r="U566" s="1437"/>
      <c r="V566" s="1436"/>
      <c r="W566" s="1436"/>
      <c r="X566" s="1436"/>
      <c r="Y566" s="1436"/>
      <c r="Z566" s="1436"/>
      <c r="AA566" s="1436"/>
      <c r="AB566" s="1436"/>
      <c r="AC566" s="1436"/>
      <c r="AD566" s="1436"/>
      <c r="AE566" s="1436"/>
      <c r="AF566" s="1436"/>
      <c r="AG566" s="1436"/>
      <c r="AH566" s="1436"/>
      <c r="AI566" s="1436"/>
      <c r="AJ566" s="1436"/>
      <c r="AK566" s="1436"/>
      <c r="AL566" s="1438"/>
      <c r="AM566" s="1564">
        <f>SUM(AM554:AS565)</f>
        <v>55233895</v>
      </c>
      <c r="AN566" s="1565"/>
      <c r="AO566" s="1565"/>
      <c r="AP566" s="1565"/>
      <c r="AQ566" s="1565"/>
      <c r="AR566" s="1565"/>
      <c r="AS566" s="1566"/>
      <c r="BB566" s="2"/>
      <c r="BC566" s="2"/>
      <c r="BD566" s="2"/>
      <c r="BE566" s="2"/>
      <c r="BF566" s="2"/>
      <c r="BG566" s="2"/>
      <c r="BH566" s="2" t="s">
        <v>1464</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1465</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 customHeight="1">
      <c r="A568" s="37" t="s">
        <v>17</v>
      </c>
      <c r="B568" t="s">
        <v>1471</v>
      </c>
      <c r="G568" s="1460" t="str">
        <f>C554</f>
        <v>Citi Tax-exempt Construction Loan</v>
      </c>
      <c r="H568" s="1460"/>
      <c r="I568" s="1460"/>
      <c r="J568" s="1460"/>
      <c r="K568" s="1460"/>
      <c r="L568" s="1460"/>
      <c r="M568" s="1460"/>
      <c r="N568" s="1460"/>
      <c r="O568" s="1460"/>
      <c r="P568" s="1460"/>
      <c r="Q568" s="1460"/>
      <c r="R568" s="1460"/>
      <c r="S568" s="7"/>
      <c r="T568" s="37" t="s">
        <v>30</v>
      </c>
      <c r="U568" t="s">
        <v>1471</v>
      </c>
      <c r="Z568" s="1460" t="str">
        <f>C555</f>
        <v>Citi Taxable Construction Loan</v>
      </c>
      <c r="AA568" s="1460"/>
      <c r="AB568" s="1460"/>
      <c r="AC568" s="1460"/>
      <c r="AD568" s="1460"/>
      <c r="AE568" s="1460"/>
      <c r="AF568" s="1460"/>
      <c r="AG568" s="1460"/>
      <c r="AH568" s="1460"/>
      <c r="AI568" s="1460"/>
      <c r="AJ568" s="1460"/>
      <c r="AK568" s="1460"/>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 customHeight="1">
      <c r="A569" s="18"/>
      <c r="B569" t="s">
        <v>1111</v>
      </c>
      <c r="G569" s="1405" t="s">
        <v>1472</v>
      </c>
      <c r="H569" s="1405"/>
      <c r="I569" s="1405"/>
      <c r="J569" s="1405"/>
      <c r="K569" s="1405"/>
      <c r="L569" s="1405"/>
      <c r="M569" s="1405"/>
      <c r="N569" s="1405"/>
      <c r="O569" s="1405"/>
      <c r="P569" s="1405"/>
      <c r="Q569" s="1405"/>
      <c r="R569" s="1405"/>
      <c r="S569" s="7"/>
      <c r="T569" s="18"/>
      <c r="U569" t="s">
        <v>1111</v>
      </c>
      <c r="Z569" s="1405" t="s">
        <v>1472</v>
      </c>
      <c r="AA569" s="1405"/>
      <c r="AB569" s="1405"/>
      <c r="AC569" s="1405"/>
      <c r="AD569" s="1405"/>
      <c r="AE569" s="1405"/>
      <c r="AF569" s="1405"/>
      <c r="AG569" s="1405"/>
      <c r="AH569" s="1405"/>
      <c r="AI569" s="1405"/>
      <c r="AJ569" s="1405"/>
      <c r="AK569" s="1405"/>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 customHeight="1">
      <c r="A570" s="18"/>
      <c r="B570" t="s">
        <v>980</v>
      </c>
      <c r="G570" s="1405" t="s">
        <v>1473</v>
      </c>
      <c r="H570" s="1405"/>
      <c r="I570" s="1405"/>
      <c r="J570" s="1405"/>
      <c r="K570" s="1405"/>
      <c r="L570" s="1405"/>
      <c r="M570" s="1405"/>
      <c r="N570" s="1405"/>
      <c r="O570" s="1405"/>
      <c r="P570" s="1405"/>
      <c r="Q570" s="1405"/>
      <c r="R570" s="1405"/>
      <c r="T570" s="18"/>
      <c r="U570" t="s">
        <v>980</v>
      </c>
      <c r="Z570" s="1353" t="s">
        <v>1473</v>
      </c>
      <c r="AA570" s="1353"/>
      <c r="AB570" s="1353"/>
      <c r="AC570" s="1353"/>
      <c r="AD570" s="1353"/>
      <c r="AE570" s="1353"/>
      <c r="AF570" s="1353"/>
      <c r="AG570" s="1353"/>
      <c r="AH570" s="1353"/>
      <c r="AI570" s="1353"/>
      <c r="AJ570" s="1353"/>
      <c r="AK570" s="1353"/>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 customHeight="1">
      <c r="A571" s="18"/>
      <c r="B571" t="s">
        <v>1474</v>
      </c>
      <c r="G571" s="1405" t="s">
        <v>1475</v>
      </c>
      <c r="H571" s="1405"/>
      <c r="I571" s="1405"/>
      <c r="J571" s="1405"/>
      <c r="K571" s="1405"/>
      <c r="L571" s="1405"/>
      <c r="M571" s="1405"/>
      <c r="N571" s="1405"/>
      <c r="O571" s="1405"/>
      <c r="P571" s="1405"/>
      <c r="Q571" s="1405"/>
      <c r="R571" s="1405"/>
      <c r="S571" s="7"/>
      <c r="T571" s="18"/>
      <c r="U571" t="s">
        <v>1474</v>
      </c>
      <c r="Z571" s="1353" t="s">
        <v>1475</v>
      </c>
      <c r="AA571" s="1353"/>
      <c r="AB571" s="1353"/>
      <c r="AC571" s="1353"/>
      <c r="AD571" s="1353"/>
      <c r="AE571" s="1353"/>
      <c r="AF571" s="1353"/>
      <c r="AG571" s="1353"/>
      <c r="AH571" s="1353"/>
      <c r="AI571" s="1353"/>
      <c r="AJ571" s="1353"/>
      <c r="AK571" s="1353"/>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 customHeight="1">
      <c r="A572" s="18"/>
      <c r="B572" t="s">
        <v>883</v>
      </c>
      <c r="G572" s="1418" t="s">
        <v>1476</v>
      </c>
      <c r="H572" s="1418"/>
      <c r="I572" s="1418"/>
      <c r="J572" s="1418"/>
      <c r="K572" s="1418"/>
      <c r="L572" s="1418"/>
      <c r="O572" s="840" t="s">
        <v>1120</v>
      </c>
      <c r="P572" s="1434"/>
      <c r="Q572" s="1434"/>
      <c r="R572" s="1434"/>
      <c r="S572" s="9"/>
      <c r="T572" s="18"/>
      <c r="U572" t="s">
        <v>883</v>
      </c>
      <c r="Z572" s="1418" t="s">
        <v>1476</v>
      </c>
      <c r="AA572" s="1418"/>
      <c r="AB572" s="1418"/>
      <c r="AC572" s="1418"/>
      <c r="AD572" s="1418"/>
      <c r="AE572" s="1418"/>
      <c r="AH572" s="840" t="s">
        <v>1120</v>
      </c>
      <c r="AI572" s="1434"/>
      <c r="AJ572" s="1434"/>
      <c r="AK572" s="1434"/>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 customHeight="1">
      <c r="A573" s="18"/>
      <c r="B573" t="s">
        <v>1477</v>
      </c>
      <c r="H573" s="1405" t="s">
        <v>1478</v>
      </c>
      <c r="I573" s="1405"/>
      <c r="J573" s="1405"/>
      <c r="K573" s="1405"/>
      <c r="L573" s="1405"/>
      <c r="M573" s="1405"/>
      <c r="N573" s="1405"/>
      <c r="O573" s="1405"/>
      <c r="P573" s="1405"/>
      <c r="Q573" s="1405"/>
      <c r="R573" s="1405"/>
      <c r="S573" s="7"/>
      <c r="T573" s="18"/>
      <c r="U573" t="s">
        <v>1477</v>
      </c>
      <c r="AA573" s="1405" t="s">
        <v>1478</v>
      </c>
      <c r="AB573" s="1405"/>
      <c r="AC573" s="1405"/>
      <c r="AD573" s="1405"/>
      <c r="AE573" s="1405"/>
      <c r="AF573" s="1405"/>
      <c r="AG573" s="1405"/>
      <c r="AH573" s="1405"/>
      <c r="AI573" s="1405"/>
      <c r="AJ573" s="1405"/>
      <c r="AK573" s="1405"/>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 customHeight="1">
      <c r="A574" s="18"/>
      <c r="B574" s="216" t="s">
        <v>1479</v>
      </c>
      <c r="H574" s="7"/>
      <c r="I574" s="7"/>
      <c r="J574" s="7"/>
      <c r="K574" s="7"/>
      <c r="L574" s="7"/>
      <c r="M574" s="1531"/>
      <c r="N574" s="1531"/>
      <c r="O574" s="1531"/>
      <c r="P574" s="1531"/>
      <c r="Q574" s="1531"/>
      <c r="R574" s="1531"/>
      <c r="S574" s="7"/>
      <c r="T574" s="18"/>
      <c r="U574" s="216" t="s">
        <v>1479</v>
      </c>
      <c r="AA574" s="7"/>
      <c r="AB574" s="7"/>
      <c r="AC574" s="7"/>
      <c r="AD574" s="7"/>
      <c r="AE574" s="7"/>
      <c r="AF574" s="1531"/>
      <c r="AG574" s="1531"/>
      <c r="AH574" s="1531"/>
      <c r="AI574" s="1531"/>
      <c r="AJ574" s="1531"/>
      <c r="AK574" s="1531"/>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 customHeight="1">
      <c r="A575" s="18"/>
      <c r="B575" t="s">
        <v>1480</v>
      </c>
      <c r="N575" s="1361" t="s">
        <v>837</v>
      </c>
      <c r="O575" s="1361"/>
      <c r="T575" s="18"/>
      <c r="U575" t="s">
        <v>1480</v>
      </c>
      <c r="AG575" s="1361" t="s">
        <v>837</v>
      </c>
      <c r="AH575" s="1361"/>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 customHeight="1">
      <c r="A577" s="37" t="s">
        <v>38</v>
      </c>
      <c r="B577" t="s">
        <v>1471</v>
      </c>
      <c r="G577" s="1460" t="str">
        <f>C556</f>
        <v>Federal LIHTC Equity</v>
      </c>
      <c r="H577" s="1460"/>
      <c r="I577" s="1460"/>
      <c r="J577" s="1460"/>
      <c r="K577" s="1460"/>
      <c r="L577" s="1460"/>
      <c r="M577" s="1460"/>
      <c r="N577" s="1460"/>
      <c r="O577" s="1460"/>
      <c r="P577" s="1460"/>
      <c r="Q577" s="1460"/>
      <c r="R577" s="1460"/>
      <c r="T577" s="37" t="s">
        <v>81</v>
      </c>
      <c r="U577" t="s">
        <v>1471</v>
      </c>
      <c r="Z577" s="1460" t="str">
        <f>C557</f>
        <v>State LIHTC Equity</v>
      </c>
      <c r="AA577" s="1460"/>
      <c r="AB577" s="1460"/>
      <c r="AC577" s="1460"/>
      <c r="AD577" s="1460"/>
      <c r="AE577" s="1460"/>
      <c r="AF577" s="1460"/>
      <c r="AG577" s="1460"/>
      <c r="AH577" s="1460"/>
      <c r="AI577" s="1460"/>
      <c r="AJ577" s="1460"/>
      <c r="AK577" s="1460"/>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 customHeight="1">
      <c r="A578" s="18"/>
      <c r="B578" t="s">
        <v>1111</v>
      </c>
      <c r="G578" s="1405" t="s">
        <v>1481</v>
      </c>
      <c r="H578" s="1405"/>
      <c r="I578" s="1405"/>
      <c r="J578" s="1405"/>
      <c r="K578" s="1405"/>
      <c r="L578" s="1405"/>
      <c r="M578" s="1405"/>
      <c r="N578" s="1405"/>
      <c r="O578" s="1405"/>
      <c r="P578" s="1405"/>
      <c r="Q578" s="1405"/>
      <c r="R578" s="1405"/>
      <c r="T578" s="18"/>
      <c r="U578" t="s">
        <v>1111</v>
      </c>
      <c r="Z578" s="1405" t="s">
        <v>1481</v>
      </c>
      <c r="AA578" s="1405"/>
      <c r="AB578" s="1405"/>
      <c r="AC578" s="1405"/>
      <c r="AD578" s="1405"/>
      <c r="AE578" s="1405"/>
      <c r="AF578" s="1405"/>
      <c r="AG578" s="1405"/>
      <c r="AH578" s="1405"/>
      <c r="AI578" s="1405"/>
      <c r="AJ578" s="1405"/>
      <c r="AK578" s="1405"/>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 customHeight="1">
      <c r="A579" s="18"/>
      <c r="B579" t="s">
        <v>980</v>
      </c>
      <c r="G579" s="1353" t="s">
        <v>1211</v>
      </c>
      <c r="H579" s="1353"/>
      <c r="I579" s="1353"/>
      <c r="J579" s="1353"/>
      <c r="K579" s="1353"/>
      <c r="L579" s="1353"/>
      <c r="M579" s="1353"/>
      <c r="N579" s="1353"/>
      <c r="O579" s="1353"/>
      <c r="P579" s="1353"/>
      <c r="Q579" s="1353"/>
      <c r="R579" s="1353"/>
      <c r="T579" s="18"/>
      <c r="U579" t="s">
        <v>980</v>
      </c>
      <c r="Z579" s="1353" t="s">
        <v>1211</v>
      </c>
      <c r="AA579" s="1353"/>
      <c r="AB579" s="1353"/>
      <c r="AC579" s="1353"/>
      <c r="AD579" s="1353"/>
      <c r="AE579" s="1353"/>
      <c r="AF579" s="1353"/>
      <c r="AG579" s="1353"/>
      <c r="AH579" s="1353"/>
      <c r="AI579" s="1353"/>
      <c r="AJ579" s="1353"/>
      <c r="AK579" s="1353"/>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 customHeight="1">
      <c r="A580" s="18"/>
      <c r="B580" t="s">
        <v>1474</v>
      </c>
      <c r="G580" s="1353" t="s">
        <v>1213</v>
      </c>
      <c r="H580" s="1353"/>
      <c r="I580" s="1353"/>
      <c r="J580" s="1353"/>
      <c r="K580" s="1353"/>
      <c r="L580" s="1353"/>
      <c r="M580" s="1353"/>
      <c r="N580" s="1353"/>
      <c r="O580" s="1353"/>
      <c r="P580" s="1353"/>
      <c r="Q580" s="1353"/>
      <c r="R580" s="1353"/>
      <c r="T580" s="18"/>
      <c r="U580" t="s">
        <v>1474</v>
      </c>
      <c r="Z580" s="1353" t="s">
        <v>1213</v>
      </c>
      <c r="AA580" s="1353"/>
      <c r="AB580" s="1353"/>
      <c r="AC580" s="1353"/>
      <c r="AD580" s="1353"/>
      <c r="AE580" s="1353"/>
      <c r="AF580" s="1353"/>
      <c r="AG580" s="1353"/>
      <c r="AH580" s="1353"/>
      <c r="AI580" s="1353"/>
      <c r="AJ580" s="1353"/>
      <c r="AK580" s="1353"/>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 customHeight="1">
      <c r="A581" s="18"/>
      <c r="B581" t="s">
        <v>883</v>
      </c>
      <c r="G581" s="1418" t="s">
        <v>1482</v>
      </c>
      <c r="H581" s="1418"/>
      <c r="I581" s="1418"/>
      <c r="J581" s="1418"/>
      <c r="K581" s="1418"/>
      <c r="L581" s="1418"/>
      <c r="O581" s="840" t="s">
        <v>1120</v>
      </c>
      <c r="P581" s="1434"/>
      <c r="Q581" s="1434"/>
      <c r="R581" s="1434"/>
      <c r="T581" s="18"/>
      <c r="U581" t="s">
        <v>883</v>
      </c>
      <c r="Z581" s="1418" t="s">
        <v>1482</v>
      </c>
      <c r="AA581" s="1418"/>
      <c r="AB581" s="1418"/>
      <c r="AC581" s="1418"/>
      <c r="AD581" s="1418"/>
      <c r="AE581" s="1418"/>
      <c r="AH581" s="840" t="s">
        <v>1120</v>
      </c>
      <c r="AI581" s="1434"/>
      <c r="AJ581" s="1434"/>
      <c r="AK581" s="1434"/>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 customHeight="1">
      <c r="A582" s="18"/>
      <c r="B582" t="s">
        <v>1477</v>
      </c>
      <c r="H582" s="1405" t="s">
        <v>1483</v>
      </c>
      <c r="I582" s="1405"/>
      <c r="J582" s="1405"/>
      <c r="K582" s="1405"/>
      <c r="L582" s="1405"/>
      <c r="M582" s="1405"/>
      <c r="N582" s="1405"/>
      <c r="O582" s="1405"/>
      <c r="P582" s="1405"/>
      <c r="Q582" s="1405"/>
      <c r="R582" s="1405"/>
      <c r="T582" s="18"/>
      <c r="U582" t="s">
        <v>1477</v>
      </c>
      <c r="AA582" s="1405" t="s">
        <v>1483</v>
      </c>
      <c r="AB582" s="1405"/>
      <c r="AC582" s="1405"/>
      <c r="AD582" s="1405"/>
      <c r="AE582" s="1405"/>
      <c r="AF582" s="1405"/>
      <c r="AG582" s="1405"/>
      <c r="AH582" s="1405"/>
      <c r="AI582" s="1405"/>
      <c r="AJ582" s="1405"/>
      <c r="AK582" s="1405"/>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 customHeight="1">
      <c r="A583" s="18"/>
      <c r="B583" t="s">
        <v>1480</v>
      </c>
      <c r="N583" s="1361" t="s">
        <v>837</v>
      </c>
      <c r="O583" s="1361"/>
      <c r="T583" s="18"/>
      <c r="U583" t="s">
        <v>1480</v>
      </c>
      <c r="AG583" s="1361" t="s">
        <v>837</v>
      </c>
      <c r="AH583" s="1361"/>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 customHeight="1">
      <c r="A585" s="37" t="s">
        <v>85</v>
      </c>
      <c r="B585" t="s">
        <v>1471</v>
      </c>
      <c r="G585" s="1460" t="str">
        <f>C558</f>
        <v>Deferred Cost</v>
      </c>
      <c r="H585" s="1460"/>
      <c r="I585" s="1460"/>
      <c r="J585" s="1460"/>
      <c r="K585" s="1460"/>
      <c r="L585" s="1460"/>
      <c r="M585" s="1460"/>
      <c r="N585" s="1460"/>
      <c r="O585" s="1460"/>
      <c r="P585" s="1460"/>
      <c r="Q585" s="1460"/>
      <c r="R585" s="1460"/>
      <c r="T585" s="37" t="s">
        <v>1463</v>
      </c>
      <c r="U585" t="s">
        <v>1471</v>
      </c>
      <c r="Z585" s="1460">
        <f>C559</f>
        <v>0</v>
      </c>
      <c r="AA585" s="1460"/>
      <c r="AB585" s="1460"/>
      <c r="AC585" s="1460"/>
      <c r="AD585" s="1460"/>
      <c r="AE585" s="1460"/>
      <c r="AF585" s="1460"/>
      <c r="AG585" s="1460"/>
      <c r="AH585" s="1460"/>
      <c r="AI585" s="1460"/>
      <c r="AJ585" s="1460"/>
      <c r="AK585" s="1460"/>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 customHeight="1">
      <c r="A586" s="18"/>
      <c r="B586" t="s">
        <v>1111</v>
      </c>
      <c r="G586" s="1405" t="s">
        <v>1484</v>
      </c>
      <c r="H586" s="1405"/>
      <c r="I586" s="1405"/>
      <c r="J586" s="1405"/>
      <c r="K586" s="1405"/>
      <c r="L586" s="1405"/>
      <c r="M586" s="1405"/>
      <c r="N586" s="1405"/>
      <c r="O586" s="1405"/>
      <c r="P586" s="1405"/>
      <c r="Q586" s="1405"/>
      <c r="R586" s="1405"/>
      <c r="T586" s="18"/>
      <c r="U586" t="s">
        <v>1111</v>
      </c>
      <c r="Z586" s="1405"/>
      <c r="AA586" s="1405"/>
      <c r="AB586" s="1405"/>
      <c r="AC586" s="1405"/>
      <c r="AD586" s="1405"/>
      <c r="AE586" s="1405"/>
      <c r="AF586" s="1405"/>
      <c r="AG586" s="1405"/>
      <c r="AH586" s="1405"/>
      <c r="AI586" s="1405"/>
      <c r="AJ586" s="1405"/>
      <c r="AK586" s="1405"/>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 customHeight="1">
      <c r="A587" s="18"/>
      <c r="B587" t="s">
        <v>980</v>
      </c>
      <c r="G587" s="1405" t="s">
        <v>1004</v>
      </c>
      <c r="H587" s="1405"/>
      <c r="I587" s="1405"/>
      <c r="J587" s="1405"/>
      <c r="K587" s="1405"/>
      <c r="L587" s="1405"/>
      <c r="M587" s="1405"/>
      <c r="N587" s="1405"/>
      <c r="O587" s="1405"/>
      <c r="P587" s="1405"/>
      <c r="Q587" s="1405"/>
      <c r="R587" s="1405"/>
      <c r="T587" s="18"/>
      <c r="U587" t="s">
        <v>980</v>
      </c>
      <c r="Z587" s="1353"/>
      <c r="AA587" s="1353"/>
      <c r="AB587" s="1353"/>
      <c r="AC587" s="1353"/>
      <c r="AD587" s="1353"/>
      <c r="AE587" s="1353"/>
      <c r="AF587" s="1353"/>
      <c r="AG587" s="1353"/>
      <c r="AH587" s="1353"/>
      <c r="AI587" s="1353"/>
      <c r="AJ587" s="1353"/>
      <c r="AK587" s="1353"/>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 customHeight="1">
      <c r="A588" s="18"/>
      <c r="B588" t="s">
        <v>1474</v>
      </c>
      <c r="G588" s="1405" t="s">
        <v>1117</v>
      </c>
      <c r="H588" s="1405"/>
      <c r="I588" s="1405"/>
      <c r="J588" s="1405"/>
      <c r="K588" s="1405"/>
      <c r="L588" s="1405"/>
      <c r="M588" s="1405"/>
      <c r="N588" s="1405"/>
      <c r="O588" s="1405"/>
      <c r="P588" s="1405"/>
      <c r="Q588" s="1405"/>
      <c r="R588" s="1405"/>
      <c r="T588" s="18"/>
      <c r="U588" t="s">
        <v>1474</v>
      </c>
      <c r="Z588" s="1353"/>
      <c r="AA588" s="1353"/>
      <c r="AB588" s="1353"/>
      <c r="AC588" s="1353"/>
      <c r="AD588" s="1353"/>
      <c r="AE588" s="1353"/>
      <c r="AF588" s="1353"/>
      <c r="AG588" s="1353"/>
      <c r="AH588" s="1353"/>
      <c r="AI588" s="1353"/>
      <c r="AJ588" s="1353"/>
      <c r="AK588" s="1353"/>
    </row>
    <row r="589" spans="1:110" ht="13" customHeight="1">
      <c r="A589" s="18"/>
      <c r="B589" t="s">
        <v>883</v>
      </c>
      <c r="G589" s="1418" t="s">
        <v>1119</v>
      </c>
      <c r="H589" s="1418"/>
      <c r="I589" s="1418"/>
      <c r="J589" s="1418"/>
      <c r="K589" s="1418"/>
      <c r="L589" s="1418"/>
      <c r="O589" s="840" t="s">
        <v>1120</v>
      </c>
      <c r="P589" s="1434"/>
      <c r="Q589" s="1434"/>
      <c r="R589" s="1434"/>
      <c r="T589" s="18"/>
      <c r="U589" t="s">
        <v>883</v>
      </c>
      <c r="Z589" s="1418"/>
      <c r="AA589" s="1418"/>
      <c r="AB589" s="1418"/>
      <c r="AC589" s="1418"/>
      <c r="AD589" s="1418"/>
      <c r="AE589" s="1418"/>
      <c r="AH589" s="840" t="s">
        <v>1120</v>
      </c>
      <c r="AI589" s="1434"/>
      <c r="AJ589" s="1434"/>
      <c r="AK589" s="1434"/>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 customHeight="1">
      <c r="A590" s="18"/>
      <c r="B590" t="s">
        <v>1477</v>
      </c>
      <c r="H590" s="1405" t="s">
        <v>1478</v>
      </c>
      <c r="I590" s="1405"/>
      <c r="J590" s="1405"/>
      <c r="K590" s="1405"/>
      <c r="L590" s="1405"/>
      <c r="M590" s="1405"/>
      <c r="N590" s="1405"/>
      <c r="O590" s="1405"/>
      <c r="P590" s="1405"/>
      <c r="Q590" s="1405"/>
      <c r="R590" s="1405"/>
      <c r="T590" s="18"/>
      <c r="U590" t="s">
        <v>1477</v>
      </c>
      <c r="AA590" s="1405"/>
      <c r="AB590" s="1405"/>
      <c r="AC590" s="1405"/>
      <c r="AD590" s="1405"/>
      <c r="AE590" s="1405"/>
      <c r="AF590" s="1405"/>
      <c r="AG590" s="1405"/>
      <c r="AH590" s="1405"/>
      <c r="AI590" s="1405"/>
      <c r="AJ590" s="1405"/>
      <c r="AK590" s="1405"/>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 customHeight="1">
      <c r="A591" s="18"/>
      <c r="B591" t="s">
        <v>1480</v>
      </c>
      <c r="N591" s="1361" t="s">
        <v>837</v>
      </c>
      <c r="O591" s="1361"/>
      <c r="T591" s="18"/>
      <c r="U591" t="s">
        <v>1480</v>
      </c>
      <c r="AG591" s="1361" t="s">
        <v>893</v>
      </c>
      <c r="AH591" s="1361"/>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 customHeight="1">
      <c r="A593" s="37" t="s">
        <v>1464</v>
      </c>
      <c r="B593" t="s">
        <v>1471</v>
      </c>
      <c r="G593" s="1460">
        <f>C560</f>
        <v>0</v>
      </c>
      <c r="H593" s="1460"/>
      <c r="I593" s="1460"/>
      <c r="J593" s="1460"/>
      <c r="K593" s="1460"/>
      <c r="L593" s="1460"/>
      <c r="M593" s="1460"/>
      <c r="N593" s="1460"/>
      <c r="O593" s="1460"/>
      <c r="P593" s="1460"/>
      <c r="Q593" s="1460"/>
      <c r="R593" s="1460"/>
      <c r="T593" s="37" t="s">
        <v>1465</v>
      </c>
      <c r="U593" t="s">
        <v>1471</v>
      </c>
      <c r="Z593" s="1460">
        <f>C561</f>
        <v>0</v>
      </c>
      <c r="AA593" s="1460"/>
      <c r="AB593" s="1460"/>
      <c r="AC593" s="1460"/>
      <c r="AD593" s="1460"/>
      <c r="AE593" s="1460"/>
      <c r="AF593" s="1460"/>
      <c r="AG593" s="1460"/>
      <c r="AH593" s="1460"/>
      <c r="AI593" s="1460"/>
      <c r="AJ593" s="1460"/>
      <c r="AK593" s="1460"/>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 customHeight="1">
      <c r="A594" s="18"/>
      <c r="B594" t="s">
        <v>1111</v>
      </c>
      <c r="C594"/>
      <c r="D594"/>
      <c r="E594"/>
      <c r="F594"/>
      <c r="G594" s="1405"/>
      <c r="H594" s="1405"/>
      <c r="I594" s="1405"/>
      <c r="J594" s="1405"/>
      <c r="K594" s="1405"/>
      <c r="L594" s="1405"/>
      <c r="M594" s="1405"/>
      <c r="N594" s="1405"/>
      <c r="O594" s="1405"/>
      <c r="P594" s="1405"/>
      <c r="Q594" s="1405"/>
      <c r="R594" s="1405"/>
      <c r="S594"/>
      <c r="T594" s="18"/>
      <c r="U594" t="s">
        <v>1111</v>
      </c>
      <c r="V594"/>
      <c r="W594"/>
      <c r="X594"/>
      <c r="Y594"/>
      <c r="Z594" s="1405"/>
      <c r="AA594" s="1405"/>
      <c r="AB594" s="1405"/>
      <c r="AC594" s="1405"/>
      <c r="AD594" s="1405"/>
      <c r="AE594" s="1405"/>
      <c r="AF594" s="1405"/>
      <c r="AG594" s="1405"/>
      <c r="AH594" s="1405"/>
      <c r="AI594" s="1405"/>
      <c r="AJ594" s="1405"/>
      <c r="AK594" s="1405"/>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 customHeight="1">
      <c r="A595" s="18"/>
      <c r="B595" t="s">
        <v>980</v>
      </c>
      <c r="C595"/>
      <c r="D595"/>
      <c r="E595"/>
      <c r="F595"/>
      <c r="G595" s="1405"/>
      <c r="H595" s="1405"/>
      <c r="I595" s="1405"/>
      <c r="J595" s="1405"/>
      <c r="K595" s="1405"/>
      <c r="L595" s="1405"/>
      <c r="M595" s="1405"/>
      <c r="N595" s="1405"/>
      <c r="O595" s="1405"/>
      <c r="P595" s="1405"/>
      <c r="Q595" s="1405"/>
      <c r="R595" s="1405"/>
      <c r="S595"/>
      <c r="T595" s="18"/>
      <c r="U595" t="s">
        <v>980</v>
      </c>
      <c r="V595"/>
      <c r="W595"/>
      <c r="X595"/>
      <c r="Y595"/>
      <c r="Z595" s="1353"/>
      <c r="AA595" s="1353"/>
      <c r="AB595" s="1353"/>
      <c r="AC595" s="1353"/>
      <c r="AD595" s="1353"/>
      <c r="AE595" s="1353"/>
      <c r="AF595" s="1353"/>
      <c r="AG595" s="1353"/>
      <c r="AH595" s="1353"/>
      <c r="AI595" s="1353"/>
      <c r="AJ595" s="1353"/>
      <c r="AK595" s="1353"/>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1485</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1486</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1487</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 customHeight="1">
      <c r="A596" s="18"/>
      <c r="B596" t="s">
        <v>1474</v>
      </c>
      <c r="C596"/>
      <c r="D596"/>
      <c r="E596"/>
      <c r="F596"/>
      <c r="G596" s="1405"/>
      <c r="H596" s="1405"/>
      <c r="I596" s="1405"/>
      <c r="J596" s="1405"/>
      <c r="K596" s="1405"/>
      <c r="L596" s="1405"/>
      <c r="M596" s="1405"/>
      <c r="N596" s="1405"/>
      <c r="O596" s="1405"/>
      <c r="P596" s="1405"/>
      <c r="Q596" s="1405"/>
      <c r="R596" s="1405"/>
      <c r="S596"/>
      <c r="T596" s="18"/>
      <c r="U596" t="s">
        <v>1474</v>
      </c>
      <c r="V596"/>
      <c r="W596"/>
      <c r="X596"/>
      <c r="Y596"/>
      <c r="Z596" s="1353"/>
      <c r="AA596" s="1353"/>
      <c r="AB596" s="1353"/>
      <c r="AC596" s="1353"/>
      <c r="AD596" s="1353"/>
      <c r="AE596" s="1353"/>
      <c r="AF596" s="1353"/>
      <c r="AG596" s="1353"/>
      <c r="AH596" s="1353"/>
      <c r="AI596" s="1353"/>
      <c r="AJ596" s="1353"/>
      <c r="AK596" s="1353"/>
      <c r="AL596"/>
      <c r="AM596"/>
      <c r="AN596"/>
      <c r="AO596"/>
      <c r="AP596"/>
      <c r="AQ596"/>
      <c r="AR596"/>
      <c r="AS596"/>
      <c r="AT596"/>
      <c r="AU596"/>
      <c r="AV596"/>
      <c r="AW596"/>
      <c r="AX596"/>
      <c r="AY596"/>
      <c r="AZ596" s="2"/>
      <c r="BA596" s="2" t="s">
        <v>1374</v>
      </c>
      <c r="BB596" s="2"/>
      <c r="BC596" s="2"/>
      <c r="BD596" s="2"/>
      <c r="BE596" s="1167" t="s">
        <v>1488</v>
      </c>
      <c r="BF596" s="1169"/>
      <c r="BG596" s="1340"/>
      <c r="BH596" s="1342"/>
      <c r="BI596" s="1167" t="s">
        <v>1489</v>
      </c>
      <c r="BJ596" s="1169"/>
      <c r="BK596" s="1340"/>
      <c r="BL596" s="1342"/>
      <c r="BM596" s="2"/>
      <c r="BN596" s="1475" t="s">
        <v>1490</v>
      </c>
      <c r="BO596" s="1476"/>
      <c r="BP596" s="1476"/>
      <c r="BQ596" s="1476"/>
      <c r="BR596" s="1477"/>
      <c r="BS596" s="1474" t="s">
        <v>1375</v>
      </c>
      <c r="BT596" s="1474"/>
      <c r="BU596" s="1474"/>
      <c r="BV596" s="1474"/>
      <c r="BW596" s="1474"/>
      <c r="BX596" s="1474" t="s">
        <v>1376</v>
      </c>
      <c r="BY596" s="1474"/>
      <c r="BZ596" s="1474"/>
      <c r="CA596" s="1474"/>
      <c r="CB596" s="1474"/>
      <c r="CC596" s="1474" t="s">
        <v>1377</v>
      </c>
      <c r="CD596" s="1474"/>
      <c r="CE596" s="1474"/>
      <c r="CF596" s="1474"/>
      <c r="CG596" s="1474"/>
      <c r="CH596" s="1474" t="s">
        <v>1491</v>
      </c>
      <c r="CI596" s="1474"/>
      <c r="CJ596" s="1474"/>
      <c r="CK596" s="1474"/>
      <c r="CL596" s="1474"/>
      <c r="CM596" s="1474" t="s">
        <v>1379</v>
      </c>
      <c r="CN596" s="1474"/>
      <c r="CO596" s="1474"/>
      <c r="CP596" s="1474"/>
      <c r="CQ596" s="1474"/>
      <c r="CR596" s="1160"/>
      <c r="CS596" s="1474" t="s">
        <v>1490</v>
      </c>
      <c r="CT596" s="1474"/>
      <c r="CU596" s="1474"/>
      <c r="CV596" s="1474"/>
      <c r="CW596" s="1474"/>
      <c r="CX596" s="1474" t="s">
        <v>1375</v>
      </c>
      <c r="CY596" s="1474"/>
      <c r="CZ596" s="1474"/>
      <c r="DA596" s="1474"/>
      <c r="DB596" s="1474"/>
      <c r="DC596" s="1474" t="s">
        <v>1376</v>
      </c>
      <c r="DD596" s="1474"/>
      <c r="DE596" s="1474"/>
      <c r="DF596" s="1474"/>
      <c r="DG596" s="1474"/>
      <c r="DH596" s="1474" t="s">
        <v>1377</v>
      </c>
      <c r="DI596" s="1474"/>
      <c r="DJ596" s="1474"/>
      <c r="DK596" s="1474"/>
      <c r="DL596" s="1474"/>
      <c r="DM596" s="1474" t="s">
        <v>1491</v>
      </c>
      <c r="DN596" s="1474"/>
      <c r="DO596" s="1474"/>
      <c r="DP596" s="1474"/>
      <c r="DQ596" s="1474"/>
      <c r="DR596" s="1474" t="s">
        <v>1379</v>
      </c>
      <c r="DS596" s="1474"/>
      <c r="DT596" s="1474"/>
      <c r="DU596" s="1474"/>
      <c r="DV596" s="1474"/>
      <c r="DW596" s="2"/>
      <c r="DX596" s="1474" t="s">
        <v>1490</v>
      </c>
      <c r="DY596" s="1474"/>
      <c r="DZ596" s="1474"/>
      <c r="EA596" s="1474"/>
      <c r="EB596" s="1474"/>
      <c r="EC596" s="1474" t="s">
        <v>1375</v>
      </c>
      <c r="ED596" s="1474"/>
      <c r="EE596" s="1474"/>
      <c r="EF596" s="1474"/>
      <c r="EG596" s="1474"/>
      <c r="EH596" s="1474" t="s">
        <v>1376</v>
      </c>
      <c r="EI596" s="1474"/>
      <c r="EJ596" s="1474"/>
      <c r="EK596" s="1474"/>
      <c r="EL596" s="1474"/>
      <c r="EM596" s="1474" t="s">
        <v>1377</v>
      </c>
      <c r="EN596" s="1474"/>
      <c r="EO596" s="1474"/>
      <c r="EP596" s="1474"/>
      <c r="EQ596" s="1474"/>
      <c r="ER596" s="1474" t="s">
        <v>1491</v>
      </c>
      <c r="ES596" s="1474"/>
      <c r="ET596" s="1474"/>
      <c r="EU596" s="1474"/>
      <c r="EV596" s="1474"/>
      <c r="EW596" s="1474" t="s">
        <v>1379</v>
      </c>
      <c r="EX596" s="1474"/>
      <c r="EY596" s="1474"/>
      <c r="EZ596" s="1474"/>
      <c r="FA596" s="1474"/>
    </row>
    <row r="597" spans="1:157" s="3" customFormat="1" ht="13" customHeight="1">
      <c r="A597" s="18"/>
      <c r="B597" t="s">
        <v>883</v>
      </c>
      <c r="C597"/>
      <c r="D597"/>
      <c r="E597"/>
      <c r="F597"/>
      <c r="G597" s="1418"/>
      <c r="H597" s="1418"/>
      <c r="I597" s="1418"/>
      <c r="J597" s="1418"/>
      <c r="K597" s="1418"/>
      <c r="L597" s="1418"/>
      <c r="M597"/>
      <c r="N597"/>
      <c r="O597" s="840" t="s">
        <v>1120</v>
      </c>
      <c r="P597" s="1434"/>
      <c r="Q597" s="1434"/>
      <c r="R597" s="1434"/>
      <c r="S597"/>
      <c r="T597" s="18"/>
      <c r="U597" t="s">
        <v>883</v>
      </c>
      <c r="V597"/>
      <c r="W597"/>
      <c r="X597"/>
      <c r="Y597"/>
      <c r="Z597" s="1418"/>
      <c r="AA597" s="1418"/>
      <c r="AB597" s="1418"/>
      <c r="AC597" s="1418"/>
      <c r="AD597" s="1418"/>
      <c r="AE597" s="1418"/>
      <c r="AF597"/>
      <c r="AG597"/>
      <c r="AH597" s="840" t="s">
        <v>1120</v>
      </c>
      <c r="AI597" s="1434"/>
      <c r="AJ597" s="1434"/>
      <c r="AK597" s="1434"/>
      <c r="AL597"/>
      <c r="AM597"/>
      <c r="AN597"/>
      <c r="AO597"/>
      <c r="AP597"/>
      <c r="AQ597"/>
      <c r="AR597"/>
      <c r="AS597"/>
      <c r="AT597"/>
      <c r="AU597"/>
      <c r="AV597"/>
      <c r="AW597"/>
      <c r="AX597"/>
      <c r="AY597"/>
      <c r="AZ597" s="2"/>
      <c r="BA597" s="2" t="s">
        <v>1375</v>
      </c>
      <c r="BB597" s="2"/>
      <c r="BC597" s="2"/>
      <c r="BD597" s="2"/>
      <c r="BE597" s="1340">
        <f t="shared" ref="BE597:BE631" si="1">IF(AND(AC718&lt;=0.5,AC718&gt;=0.36),1,0)</f>
        <v>0</v>
      </c>
      <c r="BF597" s="1342"/>
      <c r="BG597" s="1340">
        <f t="shared" ref="BG597:BG631" si="2">IF(BE597=1,G718,0)</f>
        <v>0</v>
      </c>
      <c r="BH597" s="1342"/>
      <c r="BI597" s="1340">
        <f t="shared" ref="BI597:BI631" si="3">IF(AND(AC718&lt;=0.35,AC718&gt;0),1,0)</f>
        <v>0</v>
      </c>
      <c r="BJ597" s="1342"/>
      <c r="BK597" s="1340">
        <f t="shared" ref="BK597:BK631" si="4">IF(BI597=1,G718,0)</f>
        <v>0</v>
      </c>
      <c r="BL597" s="1342"/>
      <c r="BM597" s="2"/>
      <c r="BN597" s="1344">
        <f t="shared" ref="BN597:BN631" si="5">IF(B718="SRO/Studio",G718,0)</f>
        <v>0</v>
      </c>
      <c r="BO597" s="1345"/>
      <c r="BP597" s="1345"/>
      <c r="BQ597" s="1345"/>
      <c r="BR597" s="1346"/>
      <c r="BS597" s="1347">
        <f t="shared" ref="BS597:BS631" si="6">IF(B718="1 Bedroom",G718,0)</f>
        <v>4</v>
      </c>
      <c r="BT597" s="1347"/>
      <c r="BU597" s="1347"/>
      <c r="BV597" s="1347"/>
      <c r="BW597" s="1347"/>
      <c r="BX597" s="1347">
        <f t="shared" ref="BX597:BX631" si="7">IF(B718="2 Bedrooms",G718,0)</f>
        <v>0</v>
      </c>
      <c r="BY597" s="1347"/>
      <c r="BZ597" s="1347"/>
      <c r="CA597" s="1347"/>
      <c r="CB597" s="1347"/>
      <c r="CC597" s="1347">
        <f t="shared" ref="CC597:CC631" si="8">IF(B718="3 Bedrooms",G718,0)</f>
        <v>0</v>
      </c>
      <c r="CD597" s="1347"/>
      <c r="CE597" s="1347"/>
      <c r="CF597" s="1347"/>
      <c r="CG597" s="1347"/>
      <c r="CH597" s="1347">
        <f t="shared" ref="CH597:CH631" si="9">IF(B718="4 Bedrooms",G718,0)</f>
        <v>0</v>
      </c>
      <c r="CI597" s="1347"/>
      <c r="CJ597" s="1347"/>
      <c r="CK597" s="1347"/>
      <c r="CL597" s="1347"/>
      <c r="CM597" s="1347">
        <f t="shared" ref="CM597:CM631" si="10">IF(B718="5 Bedrooms",G718,0)</f>
        <v>0</v>
      </c>
      <c r="CN597" s="1347"/>
      <c r="CO597" s="1347"/>
      <c r="CP597" s="1347"/>
      <c r="CQ597" s="1347"/>
      <c r="CR597" s="1141"/>
      <c r="CS597" s="1343">
        <f t="shared" ref="CS597:CS631" si="11">IF(AND(B718="SRO/Studio",AC718&lt;=0.3),G718,0)</f>
        <v>0</v>
      </c>
      <c r="CT597" s="1343"/>
      <c r="CU597" s="1343"/>
      <c r="CV597" s="1343"/>
      <c r="CW597" s="1343"/>
      <c r="CX597" s="1343">
        <f t="shared" ref="CX597:CX631" si="12">IF(AND(B718="1 Bedroom",AC718&lt;=0.3),G718,0)</f>
        <v>0</v>
      </c>
      <c r="CY597" s="1343"/>
      <c r="CZ597" s="1343"/>
      <c r="DA597" s="1343"/>
      <c r="DB597" s="1343"/>
      <c r="DC597" s="1343">
        <f t="shared" ref="DC597:DC631" si="13">IF(AND(B718="2 Bedrooms",AC718&lt;=0.3),G718,0)</f>
        <v>0</v>
      </c>
      <c r="DD597" s="1343"/>
      <c r="DE597" s="1343"/>
      <c r="DF597" s="1343"/>
      <c r="DG597" s="1343"/>
      <c r="DH597" s="1343">
        <f t="shared" ref="DH597:DH631" si="14">IF(AND(B718="3 Bedrooms",AC718&lt;=0.3),G718,0)</f>
        <v>0</v>
      </c>
      <c r="DI597" s="1343"/>
      <c r="DJ597" s="1343"/>
      <c r="DK597" s="1343"/>
      <c r="DL597" s="1343"/>
      <c r="DM597" s="1343">
        <f t="shared" ref="DM597:DM631" si="15">IF(AND(B718="4 Bedrooms",AC718&lt;=0.3),G718,0)</f>
        <v>0</v>
      </c>
      <c r="DN597" s="1343"/>
      <c r="DO597" s="1343"/>
      <c r="DP597" s="1343"/>
      <c r="DQ597" s="1343"/>
      <c r="DR597" s="1343">
        <f t="shared" ref="DR597:DR631" si="16">IF(AND(B718="5 Bedrooms",AC718&lt;=0.3),G718,0)</f>
        <v>0</v>
      </c>
      <c r="DS597" s="1343"/>
      <c r="DT597" s="1343"/>
      <c r="DU597" s="1343"/>
      <c r="DV597" s="1343"/>
      <c r="DW597" s="2"/>
      <c r="DX597" s="1340" t="str">
        <f t="shared" ref="DX597:DX631" si="17">IF(BN597&gt;0,O718,"")</f>
        <v/>
      </c>
      <c r="DY597" s="1341"/>
      <c r="DZ597" s="1341"/>
      <c r="EA597" s="1341"/>
      <c r="EB597" s="1342"/>
      <c r="EC597" s="1340">
        <f t="shared" ref="EC597:EC631" ca="1" si="18">IF(BS597&gt;0,O718,"")</f>
        <v>2481.4</v>
      </c>
      <c r="ED597" s="1341"/>
      <c r="EE597" s="1341"/>
      <c r="EF597" s="1341"/>
      <c r="EG597" s="1342"/>
      <c r="EH597" s="1340" t="str">
        <f t="shared" ref="EH597:EH631" si="19">IF(BX597&gt;0,O718,"")</f>
        <v/>
      </c>
      <c r="EI597" s="1341"/>
      <c r="EJ597" s="1341"/>
      <c r="EK597" s="1341"/>
      <c r="EL597" s="1342"/>
      <c r="EM597" s="1340" t="str">
        <f t="shared" ref="EM597:EM631" si="20">IF(CC597&gt;0,O718,"")</f>
        <v/>
      </c>
      <c r="EN597" s="1341"/>
      <c r="EO597" s="1341"/>
      <c r="EP597" s="1341"/>
      <c r="EQ597" s="1342"/>
      <c r="ER597" s="1340" t="str">
        <f t="shared" ref="ER597:ER631" si="21">IF(CH597&gt;0,O718,"")</f>
        <v/>
      </c>
      <c r="ES597" s="1341"/>
      <c r="ET597" s="1341"/>
      <c r="EU597" s="1341"/>
      <c r="EV597" s="1342"/>
      <c r="EW597" s="1340" t="str">
        <f t="shared" ref="EW597:EW631" si="22">IF(CM597&gt;0,O718,"")</f>
        <v/>
      </c>
      <c r="EX597" s="1341"/>
      <c r="EY597" s="1341"/>
      <c r="EZ597" s="1341"/>
      <c r="FA597" s="1342"/>
    </row>
    <row r="598" spans="1:157" s="3" customFormat="1" ht="13" customHeight="1">
      <c r="A598" s="18"/>
      <c r="B598" t="s">
        <v>1477</v>
      </c>
      <c r="C598"/>
      <c r="D598"/>
      <c r="E598"/>
      <c r="F598"/>
      <c r="G598"/>
      <c r="H598" s="1405"/>
      <c r="I598" s="1405"/>
      <c r="J598" s="1405"/>
      <c r="K598" s="1405"/>
      <c r="L598" s="1405"/>
      <c r="M598" s="1405"/>
      <c r="N598" s="1405"/>
      <c r="O598" s="1405"/>
      <c r="P598" s="1405"/>
      <c r="Q598" s="1405"/>
      <c r="R598" s="1405"/>
      <c r="S598"/>
      <c r="T598" s="18"/>
      <c r="U598" t="s">
        <v>1477</v>
      </c>
      <c r="V598"/>
      <c r="W598"/>
      <c r="X598"/>
      <c r="Y598"/>
      <c r="Z598"/>
      <c r="AA598" s="1405"/>
      <c r="AB598" s="1405"/>
      <c r="AC598" s="1405"/>
      <c r="AD598" s="1405"/>
      <c r="AE598" s="1405"/>
      <c r="AF598" s="1405"/>
      <c r="AG598" s="1405"/>
      <c r="AH598" s="1405"/>
      <c r="AI598" s="1405"/>
      <c r="AJ598" s="1405"/>
      <c r="AK598" s="1405"/>
      <c r="AL598"/>
      <c r="AM598"/>
      <c r="AN598"/>
      <c r="AO598"/>
      <c r="AP598"/>
      <c r="AQ598"/>
      <c r="AR598"/>
      <c r="AS598"/>
      <c r="AT598"/>
      <c r="AU598"/>
      <c r="AV598"/>
      <c r="AW598"/>
      <c r="AX598"/>
      <c r="AY598"/>
      <c r="AZ598" s="2"/>
      <c r="BA598" s="2" t="s">
        <v>1376</v>
      </c>
      <c r="BB598" s="2"/>
      <c r="BC598" s="2"/>
      <c r="BD598" s="2"/>
      <c r="BE598" s="1340">
        <f t="shared" si="1"/>
        <v>1</v>
      </c>
      <c r="BF598" s="1342"/>
      <c r="BG598" s="1340">
        <f t="shared" si="2"/>
        <v>15</v>
      </c>
      <c r="BH598" s="1342"/>
      <c r="BI598" s="1340">
        <f t="shared" si="3"/>
        <v>0</v>
      </c>
      <c r="BJ598" s="1342"/>
      <c r="BK598" s="1340">
        <f t="shared" si="4"/>
        <v>0</v>
      </c>
      <c r="BL598" s="1342"/>
      <c r="BM598" s="2"/>
      <c r="BN598" s="1344">
        <f t="shared" si="5"/>
        <v>0</v>
      </c>
      <c r="BO598" s="1345"/>
      <c r="BP598" s="1345"/>
      <c r="BQ598" s="1345"/>
      <c r="BR598" s="1346"/>
      <c r="BS598" s="1347">
        <f t="shared" si="6"/>
        <v>15</v>
      </c>
      <c r="BT598" s="1347"/>
      <c r="BU598" s="1347"/>
      <c r="BV598" s="1347"/>
      <c r="BW598" s="1347"/>
      <c r="BX598" s="1347">
        <f t="shared" si="7"/>
        <v>0</v>
      </c>
      <c r="BY598" s="1347"/>
      <c r="BZ598" s="1347"/>
      <c r="CA598" s="1347"/>
      <c r="CB598" s="1347"/>
      <c r="CC598" s="1347">
        <f t="shared" si="8"/>
        <v>0</v>
      </c>
      <c r="CD598" s="1347"/>
      <c r="CE598" s="1347"/>
      <c r="CF598" s="1347"/>
      <c r="CG598" s="1347"/>
      <c r="CH598" s="1347">
        <f t="shared" si="9"/>
        <v>0</v>
      </c>
      <c r="CI598" s="1347"/>
      <c r="CJ598" s="1347"/>
      <c r="CK598" s="1347"/>
      <c r="CL598" s="1347"/>
      <c r="CM598" s="1347">
        <f t="shared" si="10"/>
        <v>0</v>
      </c>
      <c r="CN598" s="1347"/>
      <c r="CO598" s="1347"/>
      <c r="CP598" s="1347"/>
      <c r="CQ598" s="1347"/>
      <c r="CR598" s="1141"/>
      <c r="CS598" s="1343">
        <f t="shared" si="11"/>
        <v>0</v>
      </c>
      <c r="CT598" s="1343"/>
      <c r="CU598" s="1343"/>
      <c r="CV598" s="1343"/>
      <c r="CW598" s="1343"/>
      <c r="CX598" s="1343">
        <f t="shared" si="12"/>
        <v>0</v>
      </c>
      <c r="CY598" s="1343"/>
      <c r="CZ598" s="1343"/>
      <c r="DA598" s="1343"/>
      <c r="DB598" s="1343"/>
      <c r="DC598" s="1343">
        <f t="shared" si="13"/>
        <v>0</v>
      </c>
      <c r="DD598" s="1343"/>
      <c r="DE598" s="1343"/>
      <c r="DF598" s="1343"/>
      <c r="DG598" s="1343"/>
      <c r="DH598" s="1343">
        <f t="shared" si="14"/>
        <v>0</v>
      </c>
      <c r="DI598" s="1343"/>
      <c r="DJ598" s="1343"/>
      <c r="DK598" s="1343"/>
      <c r="DL598" s="1343"/>
      <c r="DM598" s="1343">
        <f t="shared" si="15"/>
        <v>0</v>
      </c>
      <c r="DN598" s="1343"/>
      <c r="DO598" s="1343"/>
      <c r="DP598" s="1343"/>
      <c r="DQ598" s="1343"/>
      <c r="DR598" s="1343">
        <f t="shared" si="16"/>
        <v>0</v>
      </c>
      <c r="DS598" s="1343"/>
      <c r="DT598" s="1343"/>
      <c r="DU598" s="1343"/>
      <c r="DV598" s="1343"/>
      <c r="DW598" s="2"/>
      <c r="DX598" s="1340" t="str">
        <f t="shared" si="17"/>
        <v/>
      </c>
      <c r="DY598" s="1341"/>
      <c r="DZ598" s="1341"/>
      <c r="EA598" s="1341"/>
      <c r="EB598" s="1342"/>
      <c r="EC598" s="1340">
        <f t="shared" ca="1" si="18"/>
        <v>1747</v>
      </c>
      <c r="ED598" s="1341"/>
      <c r="EE598" s="1341"/>
      <c r="EF598" s="1341"/>
      <c r="EG598" s="1342"/>
      <c r="EH598" s="1340" t="str">
        <f t="shared" si="19"/>
        <v/>
      </c>
      <c r="EI598" s="1341"/>
      <c r="EJ598" s="1341"/>
      <c r="EK598" s="1341"/>
      <c r="EL598" s="1342"/>
      <c r="EM598" s="1340" t="str">
        <f t="shared" si="20"/>
        <v/>
      </c>
      <c r="EN598" s="1341"/>
      <c r="EO598" s="1341"/>
      <c r="EP598" s="1341"/>
      <c r="EQ598" s="1342"/>
      <c r="ER598" s="1340" t="str">
        <f t="shared" si="21"/>
        <v/>
      </c>
      <c r="ES598" s="1341"/>
      <c r="ET598" s="1341"/>
      <c r="EU598" s="1341"/>
      <c r="EV598" s="1342"/>
      <c r="EW598" s="1340" t="str">
        <f t="shared" si="22"/>
        <v/>
      </c>
      <c r="EX598" s="1341"/>
      <c r="EY598" s="1341"/>
      <c r="EZ598" s="1341"/>
      <c r="FA598" s="1342"/>
    </row>
    <row r="599" spans="1:157" ht="13" customHeight="1">
      <c r="A599" s="18"/>
      <c r="B599" t="s">
        <v>1480</v>
      </c>
      <c r="N599" s="1361" t="s">
        <v>893</v>
      </c>
      <c r="O599" s="1361"/>
      <c r="T599" s="18"/>
      <c r="U599" t="s">
        <v>1480</v>
      </c>
      <c r="AG599" s="1361" t="s">
        <v>893</v>
      </c>
      <c r="AH599" s="1361"/>
      <c r="BA599" s="2" t="s">
        <v>1377</v>
      </c>
      <c r="BB599" s="2"/>
      <c r="BC599" s="2"/>
      <c r="BD599" s="2"/>
      <c r="BE599" s="1340">
        <f t="shared" si="1"/>
        <v>0</v>
      </c>
      <c r="BF599" s="1342"/>
      <c r="BG599" s="1340">
        <f t="shared" si="2"/>
        <v>0</v>
      </c>
      <c r="BH599" s="1342"/>
      <c r="BI599" s="1340">
        <f t="shared" si="3"/>
        <v>1</v>
      </c>
      <c r="BJ599" s="1342"/>
      <c r="BK599" s="1340">
        <f t="shared" si="4"/>
        <v>11</v>
      </c>
      <c r="BL599" s="1342"/>
      <c r="BM599" s="2"/>
      <c r="BN599" s="1344">
        <f t="shared" si="5"/>
        <v>0</v>
      </c>
      <c r="BO599" s="1345"/>
      <c r="BP599" s="1345"/>
      <c r="BQ599" s="1345"/>
      <c r="BR599" s="1346"/>
      <c r="BS599" s="1347">
        <f t="shared" si="6"/>
        <v>11</v>
      </c>
      <c r="BT599" s="1347"/>
      <c r="BU599" s="1347"/>
      <c r="BV599" s="1347"/>
      <c r="BW599" s="1347"/>
      <c r="BX599" s="1347">
        <f t="shared" si="7"/>
        <v>0</v>
      </c>
      <c r="BY599" s="1347"/>
      <c r="BZ599" s="1347"/>
      <c r="CA599" s="1347"/>
      <c r="CB599" s="1347"/>
      <c r="CC599" s="1347">
        <f t="shared" si="8"/>
        <v>0</v>
      </c>
      <c r="CD599" s="1347"/>
      <c r="CE599" s="1347"/>
      <c r="CF599" s="1347"/>
      <c r="CG599" s="1347"/>
      <c r="CH599" s="1347">
        <f t="shared" si="9"/>
        <v>0</v>
      </c>
      <c r="CI599" s="1347"/>
      <c r="CJ599" s="1347"/>
      <c r="CK599" s="1347"/>
      <c r="CL599" s="1347"/>
      <c r="CM599" s="1347">
        <f t="shared" si="10"/>
        <v>0</v>
      </c>
      <c r="CN599" s="1347"/>
      <c r="CO599" s="1347"/>
      <c r="CP599" s="1347"/>
      <c r="CQ599" s="1347"/>
      <c r="CR599" s="1141"/>
      <c r="CS599" s="1343">
        <f t="shared" si="11"/>
        <v>0</v>
      </c>
      <c r="CT599" s="1343"/>
      <c r="CU599" s="1343"/>
      <c r="CV599" s="1343"/>
      <c r="CW599" s="1343"/>
      <c r="CX599" s="1343">
        <f t="shared" si="12"/>
        <v>11</v>
      </c>
      <c r="CY599" s="1343"/>
      <c r="CZ599" s="1343"/>
      <c r="DA599" s="1343"/>
      <c r="DB599" s="1343"/>
      <c r="DC599" s="1343">
        <f t="shared" si="13"/>
        <v>0</v>
      </c>
      <c r="DD599" s="1343"/>
      <c r="DE599" s="1343"/>
      <c r="DF599" s="1343"/>
      <c r="DG599" s="1343"/>
      <c r="DH599" s="1343">
        <f t="shared" si="14"/>
        <v>0</v>
      </c>
      <c r="DI599" s="1343"/>
      <c r="DJ599" s="1343"/>
      <c r="DK599" s="1343"/>
      <c r="DL599" s="1343"/>
      <c r="DM599" s="1343">
        <f t="shared" si="15"/>
        <v>0</v>
      </c>
      <c r="DN599" s="1343"/>
      <c r="DO599" s="1343"/>
      <c r="DP599" s="1343"/>
      <c r="DQ599" s="1343"/>
      <c r="DR599" s="1343">
        <f t="shared" si="16"/>
        <v>0</v>
      </c>
      <c r="DS599" s="1343"/>
      <c r="DT599" s="1343"/>
      <c r="DU599" s="1343"/>
      <c r="DV599" s="1343"/>
      <c r="DX599" s="1340" t="str">
        <f t="shared" si="17"/>
        <v/>
      </c>
      <c r="DY599" s="1341"/>
      <c r="DZ599" s="1341"/>
      <c r="EA599" s="1341"/>
      <c r="EB599" s="1342"/>
      <c r="EC599" s="1340">
        <f t="shared" ca="1" si="18"/>
        <v>278.2</v>
      </c>
      <c r="ED599" s="1341"/>
      <c r="EE599" s="1341"/>
      <c r="EF599" s="1341"/>
      <c r="EG599" s="1342"/>
      <c r="EH599" s="1340" t="str">
        <f t="shared" si="19"/>
        <v/>
      </c>
      <c r="EI599" s="1341"/>
      <c r="EJ599" s="1341"/>
      <c r="EK599" s="1341"/>
      <c r="EL599" s="1342"/>
      <c r="EM599" s="1340" t="str">
        <f t="shared" si="20"/>
        <v/>
      </c>
      <c r="EN599" s="1341"/>
      <c r="EO599" s="1341"/>
      <c r="EP599" s="1341"/>
      <c r="EQ599" s="1342"/>
      <c r="ER599" s="1340" t="str">
        <f t="shared" si="21"/>
        <v/>
      </c>
      <c r="ES599" s="1341"/>
      <c r="ET599" s="1341"/>
      <c r="EU599" s="1341"/>
      <c r="EV599" s="1342"/>
      <c r="EW599" s="1340" t="str">
        <f t="shared" si="22"/>
        <v/>
      </c>
      <c r="EX599" s="1341"/>
      <c r="EY599" s="1341"/>
      <c r="EZ599" s="1341"/>
      <c r="FA599" s="1342"/>
    </row>
    <row r="600" spans="1:157" ht="13" customHeight="1">
      <c r="A600" s="18"/>
      <c r="T600" s="18"/>
      <c r="BA600" s="2" t="s">
        <v>1378</v>
      </c>
      <c r="BB600" s="2"/>
      <c r="BC600" s="2"/>
      <c r="BD600" s="2"/>
      <c r="BE600" s="1340">
        <f t="shared" si="1"/>
        <v>0</v>
      </c>
      <c r="BF600" s="1342"/>
      <c r="BG600" s="1340">
        <f t="shared" si="2"/>
        <v>0</v>
      </c>
      <c r="BH600" s="1342"/>
      <c r="BI600" s="1340">
        <f t="shared" si="3"/>
        <v>0</v>
      </c>
      <c r="BJ600" s="1342"/>
      <c r="BK600" s="1340">
        <f t="shared" si="4"/>
        <v>0</v>
      </c>
      <c r="BL600" s="1342"/>
      <c r="BM600" s="2"/>
      <c r="BN600" s="1344">
        <f t="shared" si="5"/>
        <v>0</v>
      </c>
      <c r="BO600" s="1345"/>
      <c r="BP600" s="1345"/>
      <c r="BQ600" s="1345"/>
      <c r="BR600" s="1346"/>
      <c r="BS600" s="1347">
        <f t="shared" si="6"/>
        <v>0</v>
      </c>
      <c r="BT600" s="1347"/>
      <c r="BU600" s="1347"/>
      <c r="BV600" s="1347"/>
      <c r="BW600" s="1347"/>
      <c r="BX600" s="1347">
        <f t="shared" si="7"/>
        <v>4</v>
      </c>
      <c r="BY600" s="1347"/>
      <c r="BZ600" s="1347"/>
      <c r="CA600" s="1347"/>
      <c r="CB600" s="1347"/>
      <c r="CC600" s="1347">
        <f t="shared" si="8"/>
        <v>0</v>
      </c>
      <c r="CD600" s="1347"/>
      <c r="CE600" s="1347"/>
      <c r="CF600" s="1347"/>
      <c r="CG600" s="1347"/>
      <c r="CH600" s="1347">
        <f t="shared" si="9"/>
        <v>0</v>
      </c>
      <c r="CI600" s="1347"/>
      <c r="CJ600" s="1347"/>
      <c r="CK600" s="1347"/>
      <c r="CL600" s="1347"/>
      <c r="CM600" s="1347">
        <f t="shared" si="10"/>
        <v>0</v>
      </c>
      <c r="CN600" s="1347"/>
      <c r="CO600" s="1347"/>
      <c r="CP600" s="1347"/>
      <c r="CQ600" s="1347"/>
      <c r="CR600" s="1141"/>
      <c r="CS600" s="1343">
        <f t="shared" si="11"/>
        <v>0</v>
      </c>
      <c r="CT600" s="1343"/>
      <c r="CU600" s="1343"/>
      <c r="CV600" s="1343"/>
      <c r="CW600" s="1343"/>
      <c r="CX600" s="1343">
        <f t="shared" si="12"/>
        <v>0</v>
      </c>
      <c r="CY600" s="1343"/>
      <c r="CZ600" s="1343"/>
      <c r="DA600" s="1343"/>
      <c r="DB600" s="1343"/>
      <c r="DC600" s="1343">
        <f t="shared" si="13"/>
        <v>0</v>
      </c>
      <c r="DD600" s="1343"/>
      <c r="DE600" s="1343"/>
      <c r="DF600" s="1343"/>
      <c r="DG600" s="1343"/>
      <c r="DH600" s="1343">
        <f t="shared" si="14"/>
        <v>0</v>
      </c>
      <c r="DI600" s="1343"/>
      <c r="DJ600" s="1343"/>
      <c r="DK600" s="1343"/>
      <c r="DL600" s="1343"/>
      <c r="DM600" s="1343">
        <f t="shared" si="15"/>
        <v>0</v>
      </c>
      <c r="DN600" s="1343"/>
      <c r="DO600" s="1343"/>
      <c r="DP600" s="1343"/>
      <c r="DQ600" s="1343"/>
      <c r="DR600" s="1343">
        <f t="shared" si="16"/>
        <v>0</v>
      </c>
      <c r="DS600" s="1343"/>
      <c r="DT600" s="1343"/>
      <c r="DU600" s="1343"/>
      <c r="DV600" s="1343"/>
      <c r="DX600" s="1340" t="str">
        <f t="shared" si="17"/>
        <v/>
      </c>
      <c r="DY600" s="1341"/>
      <c r="DZ600" s="1341"/>
      <c r="EA600" s="1341"/>
      <c r="EB600" s="1342"/>
      <c r="EC600" s="1340" t="str">
        <f t="shared" si="18"/>
        <v/>
      </c>
      <c r="ED600" s="1341"/>
      <c r="EE600" s="1341"/>
      <c r="EF600" s="1341"/>
      <c r="EG600" s="1342"/>
      <c r="EH600" s="1340">
        <f t="shared" ca="1" si="19"/>
        <v>2959.2</v>
      </c>
      <c r="EI600" s="1341"/>
      <c r="EJ600" s="1341"/>
      <c r="EK600" s="1341"/>
      <c r="EL600" s="1342"/>
      <c r="EM600" s="1340" t="str">
        <f t="shared" si="20"/>
        <v/>
      </c>
      <c r="EN600" s="1341"/>
      <c r="EO600" s="1341"/>
      <c r="EP600" s="1341"/>
      <c r="EQ600" s="1342"/>
      <c r="ER600" s="1340" t="str">
        <f t="shared" si="21"/>
        <v/>
      </c>
      <c r="ES600" s="1341"/>
      <c r="ET600" s="1341"/>
      <c r="EU600" s="1341"/>
      <c r="EV600" s="1342"/>
      <c r="EW600" s="1340" t="str">
        <f t="shared" si="22"/>
        <v/>
      </c>
      <c r="EX600" s="1341"/>
      <c r="EY600" s="1341"/>
      <c r="EZ600" s="1341"/>
      <c r="FA600" s="1342"/>
    </row>
    <row r="601" spans="1:157" ht="13" customHeight="1">
      <c r="A601" s="37" t="s">
        <v>1466</v>
      </c>
      <c r="B601" t="s">
        <v>1471</v>
      </c>
      <c r="G601" s="1460">
        <f>C562</f>
        <v>0</v>
      </c>
      <c r="H601" s="1460"/>
      <c r="I601" s="1460"/>
      <c r="J601" s="1460"/>
      <c r="K601" s="1460"/>
      <c r="L601" s="1460"/>
      <c r="M601" s="1460"/>
      <c r="N601" s="1460"/>
      <c r="O601" s="1460"/>
      <c r="P601" s="1460"/>
      <c r="Q601" s="1460"/>
      <c r="R601" s="1460"/>
      <c r="T601" s="37" t="s">
        <v>1467</v>
      </c>
      <c r="U601" t="s">
        <v>1471</v>
      </c>
      <c r="Z601" s="1460">
        <f>C563</f>
        <v>0</v>
      </c>
      <c r="AA601" s="1460"/>
      <c r="AB601" s="1460"/>
      <c r="AC601" s="1460"/>
      <c r="AD601" s="1460"/>
      <c r="AE601" s="1460"/>
      <c r="AF601" s="1460"/>
      <c r="AG601" s="1460"/>
      <c r="AH601" s="1460"/>
      <c r="AI601" s="1460"/>
      <c r="AJ601" s="1460"/>
      <c r="AK601" s="1460"/>
      <c r="BA601" s="2" t="s">
        <v>1379</v>
      </c>
      <c r="BB601" s="2"/>
      <c r="BC601" s="2"/>
      <c r="BD601" s="2"/>
      <c r="BE601" s="1340">
        <f t="shared" si="1"/>
        <v>1</v>
      </c>
      <c r="BF601" s="1342"/>
      <c r="BG601" s="1340">
        <f t="shared" si="2"/>
        <v>11</v>
      </c>
      <c r="BH601" s="1342"/>
      <c r="BI601" s="1340">
        <f t="shared" si="3"/>
        <v>0</v>
      </c>
      <c r="BJ601" s="1342"/>
      <c r="BK601" s="1340">
        <f t="shared" si="4"/>
        <v>0</v>
      </c>
      <c r="BL601" s="1342"/>
      <c r="BM601" s="2"/>
      <c r="BN601" s="1344">
        <f t="shared" si="5"/>
        <v>0</v>
      </c>
      <c r="BO601" s="1345"/>
      <c r="BP601" s="1345"/>
      <c r="BQ601" s="1345"/>
      <c r="BR601" s="1346"/>
      <c r="BS601" s="1347">
        <f t="shared" si="6"/>
        <v>0</v>
      </c>
      <c r="BT601" s="1347"/>
      <c r="BU601" s="1347"/>
      <c r="BV601" s="1347"/>
      <c r="BW601" s="1347"/>
      <c r="BX601" s="1347">
        <f t="shared" si="7"/>
        <v>11</v>
      </c>
      <c r="BY601" s="1347"/>
      <c r="BZ601" s="1347"/>
      <c r="CA601" s="1347"/>
      <c r="CB601" s="1347"/>
      <c r="CC601" s="1347">
        <f t="shared" si="8"/>
        <v>0</v>
      </c>
      <c r="CD601" s="1347"/>
      <c r="CE601" s="1347"/>
      <c r="CF601" s="1347"/>
      <c r="CG601" s="1347"/>
      <c r="CH601" s="1347">
        <f t="shared" si="9"/>
        <v>0</v>
      </c>
      <c r="CI601" s="1347"/>
      <c r="CJ601" s="1347"/>
      <c r="CK601" s="1347"/>
      <c r="CL601" s="1347"/>
      <c r="CM601" s="1347">
        <f t="shared" si="10"/>
        <v>0</v>
      </c>
      <c r="CN601" s="1347"/>
      <c r="CO601" s="1347"/>
      <c r="CP601" s="1347"/>
      <c r="CQ601" s="1347"/>
      <c r="CR601" s="1141"/>
      <c r="CS601" s="1343">
        <f t="shared" si="11"/>
        <v>0</v>
      </c>
      <c r="CT601" s="1343"/>
      <c r="CU601" s="1343"/>
      <c r="CV601" s="1343"/>
      <c r="CW601" s="1343"/>
      <c r="CX601" s="1343">
        <f t="shared" si="12"/>
        <v>0</v>
      </c>
      <c r="CY601" s="1343"/>
      <c r="CZ601" s="1343"/>
      <c r="DA601" s="1343"/>
      <c r="DB601" s="1343"/>
      <c r="DC601" s="1343">
        <f t="shared" si="13"/>
        <v>0</v>
      </c>
      <c r="DD601" s="1343"/>
      <c r="DE601" s="1343"/>
      <c r="DF601" s="1343"/>
      <c r="DG601" s="1343"/>
      <c r="DH601" s="1343">
        <f t="shared" si="14"/>
        <v>0</v>
      </c>
      <c r="DI601" s="1343"/>
      <c r="DJ601" s="1343"/>
      <c r="DK601" s="1343"/>
      <c r="DL601" s="1343"/>
      <c r="DM601" s="1343">
        <f t="shared" si="15"/>
        <v>0</v>
      </c>
      <c r="DN601" s="1343"/>
      <c r="DO601" s="1343"/>
      <c r="DP601" s="1343"/>
      <c r="DQ601" s="1343"/>
      <c r="DR601" s="1343">
        <f t="shared" si="16"/>
        <v>0</v>
      </c>
      <c r="DS601" s="1343"/>
      <c r="DT601" s="1343"/>
      <c r="DU601" s="1343"/>
      <c r="DV601" s="1343"/>
      <c r="DX601" s="1340" t="str">
        <f t="shared" si="17"/>
        <v/>
      </c>
      <c r="DY601" s="1341"/>
      <c r="DZ601" s="1341"/>
      <c r="EA601" s="1341"/>
      <c r="EB601" s="1342"/>
      <c r="EC601" s="1340" t="str">
        <f t="shared" si="18"/>
        <v/>
      </c>
      <c r="ED601" s="1341"/>
      <c r="EE601" s="1341"/>
      <c r="EF601" s="1341"/>
      <c r="EG601" s="1342"/>
      <c r="EH601" s="1340">
        <f t="shared" ca="1" si="19"/>
        <v>2078</v>
      </c>
      <c r="EI601" s="1341"/>
      <c r="EJ601" s="1341"/>
      <c r="EK601" s="1341"/>
      <c r="EL601" s="1342"/>
      <c r="EM601" s="1340" t="str">
        <f t="shared" si="20"/>
        <v/>
      </c>
      <c r="EN601" s="1341"/>
      <c r="EO601" s="1341"/>
      <c r="EP601" s="1341"/>
      <c r="EQ601" s="1342"/>
      <c r="ER601" s="1340" t="str">
        <f t="shared" si="21"/>
        <v/>
      </c>
      <c r="ES601" s="1341"/>
      <c r="ET601" s="1341"/>
      <c r="EU601" s="1341"/>
      <c r="EV601" s="1342"/>
      <c r="EW601" s="1340" t="str">
        <f t="shared" si="22"/>
        <v/>
      </c>
      <c r="EX601" s="1341"/>
      <c r="EY601" s="1341"/>
      <c r="EZ601" s="1341"/>
      <c r="FA601" s="1342"/>
    </row>
    <row r="602" spans="1:157" ht="13" customHeight="1">
      <c r="A602" s="18"/>
      <c r="B602" t="s">
        <v>1111</v>
      </c>
      <c r="G602" s="1405"/>
      <c r="H602" s="1405"/>
      <c r="I602" s="1405"/>
      <c r="J602" s="1405"/>
      <c r="K602" s="1405"/>
      <c r="L602" s="1405"/>
      <c r="M602" s="1405"/>
      <c r="N602" s="1405"/>
      <c r="O602" s="1405"/>
      <c r="P602" s="1405"/>
      <c r="Q602" s="1405"/>
      <c r="R602" s="1405"/>
      <c r="T602" s="18"/>
      <c r="U602" t="s">
        <v>1111</v>
      </c>
      <c r="Z602" s="1405"/>
      <c r="AA602" s="1405"/>
      <c r="AB602" s="1405"/>
      <c r="AC602" s="1405"/>
      <c r="AD602" s="1405"/>
      <c r="AE602" s="1405"/>
      <c r="AF602" s="1405"/>
      <c r="AG602" s="1405"/>
      <c r="AH602" s="1405"/>
      <c r="AI602" s="1405"/>
      <c r="AJ602" s="1405"/>
      <c r="AK602" s="1405"/>
      <c r="AZ602" s="2"/>
      <c r="BA602" s="2"/>
      <c r="BB602" s="2"/>
      <c r="BC602" s="2"/>
      <c r="BD602" s="2"/>
      <c r="BE602" s="1340">
        <f t="shared" si="1"/>
        <v>0</v>
      </c>
      <c r="BF602" s="1342"/>
      <c r="BG602" s="1340">
        <f t="shared" si="2"/>
        <v>0</v>
      </c>
      <c r="BH602" s="1342"/>
      <c r="BI602" s="1340">
        <f t="shared" si="3"/>
        <v>1</v>
      </c>
      <c r="BJ602" s="1342"/>
      <c r="BK602" s="1340">
        <f t="shared" si="4"/>
        <v>3</v>
      </c>
      <c r="BL602" s="1342"/>
      <c r="BM602" s="2"/>
      <c r="BN602" s="1344">
        <f t="shared" si="5"/>
        <v>0</v>
      </c>
      <c r="BO602" s="1345"/>
      <c r="BP602" s="1345"/>
      <c r="BQ602" s="1345"/>
      <c r="BR602" s="1346"/>
      <c r="BS602" s="1347">
        <f t="shared" si="6"/>
        <v>0</v>
      </c>
      <c r="BT602" s="1347"/>
      <c r="BU602" s="1347"/>
      <c r="BV602" s="1347"/>
      <c r="BW602" s="1347"/>
      <c r="BX602" s="1347">
        <f t="shared" si="7"/>
        <v>3</v>
      </c>
      <c r="BY602" s="1347"/>
      <c r="BZ602" s="1347"/>
      <c r="CA602" s="1347"/>
      <c r="CB602" s="1347"/>
      <c r="CC602" s="1347">
        <f t="shared" si="8"/>
        <v>0</v>
      </c>
      <c r="CD602" s="1347"/>
      <c r="CE602" s="1347"/>
      <c r="CF602" s="1347"/>
      <c r="CG602" s="1347"/>
      <c r="CH602" s="1347">
        <f t="shared" si="9"/>
        <v>0</v>
      </c>
      <c r="CI602" s="1347"/>
      <c r="CJ602" s="1347"/>
      <c r="CK602" s="1347"/>
      <c r="CL602" s="1347"/>
      <c r="CM602" s="1347">
        <f t="shared" si="10"/>
        <v>0</v>
      </c>
      <c r="CN602" s="1347"/>
      <c r="CO602" s="1347"/>
      <c r="CP602" s="1347"/>
      <c r="CQ602" s="1347"/>
      <c r="CR602" s="1141"/>
      <c r="CS602" s="1343">
        <f t="shared" si="11"/>
        <v>0</v>
      </c>
      <c r="CT602" s="1343"/>
      <c r="CU602" s="1343"/>
      <c r="CV602" s="1343"/>
      <c r="CW602" s="1343"/>
      <c r="CX602" s="1343">
        <f t="shared" si="12"/>
        <v>0</v>
      </c>
      <c r="CY602" s="1343"/>
      <c r="CZ602" s="1343"/>
      <c r="DA602" s="1343"/>
      <c r="DB602" s="1343"/>
      <c r="DC602" s="1343">
        <f t="shared" si="13"/>
        <v>3</v>
      </c>
      <c r="DD602" s="1343"/>
      <c r="DE602" s="1343"/>
      <c r="DF602" s="1343"/>
      <c r="DG602" s="1343"/>
      <c r="DH602" s="1343">
        <f t="shared" si="14"/>
        <v>0</v>
      </c>
      <c r="DI602" s="1343"/>
      <c r="DJ602" s="1343"/>
      <c r="DK602" s="1343"/>
      <c r="DL602" s="1343"/>
      <c r="DM602" s="1343">
        <f t="shared" si="15"/>
        <v>0</v>
      </c>
      <c r="DN602" s="1343"/>
      <c r="DO602" s="1343"/>
      <c r="DP602" s="1343"/>
      <c r="DQ602" s="1343"/>
      <c r="DR602" s="1343">
        <f t="shared" si="16"/>
        <v>0</v>
      </c>
      <c r="DS602" s="1343"/>
      <c r="DT602" s="1343"/>
      <c r="DU602" s="1343"/>
      <c r="DV602" s="1343"/>
      <c r="DX602" s="1340" t="str">
        <f t="shared" si="17"/>
        <v/>
      </c>
      <c r="DY602" s="1341"/>
      <c r="DZ602" s="1341"/>
      <c r="EA602" s="1341"/>
      <c r="EB602" s="1342"/>
      <c r="EC602" s="1340" t="str">
        <f t="shared" si="18"/>
        <v/>
      </c>
      <c r="ED602" s="1341"/>
      <c r="EE602" s="1341"/>
      <c r="EF602" s="1341"/>
      <c r="EG602" s="1342"/>
      <c r="EH602" s="1340">
        <f t="shared" si="19"/>
        <v>158</v>
      </c>
      <c r="EI602" s="1341"/>
      <c r="EJ602" s="1341"/>
      <c r="EK602" s="1341"/>
      <c r="EL602" s="1342"/>
      <c r="EM602" s="1340" t="str">
        <f t="shared" si="20"/>
        <v/>
      </c>
      <c r="EN602" s="1341"/>
      <c r="EO602" s="1341"/>
      <c r="EP602" s="1341"/>
      <c r="EQ602" s="1342"/>
      <c r="ER602" s="1340" t="str">
        <f t="shared" si="21"/>
        <v/>
      </c>
      <c r="ES602" s="1341"/>
      <c r="ET602" s="1341"/>
      <c r="EU602" s="1341"/>
      <c r="EV602" s="1342"/>
      <c r="EW602" s="1340" t="str">
        <f t="shared" si="22"/>
        <v/>
      </c>
      <c r="EX602" s="1341"/>
      <c r="EY602" s="1341"/>
      <c r="EZ602" s="1341"/>
      <c r="FA602" s="1342"/>
    </row>
    <row r="603" spans="1:157" ht="13" customHeight="1">
      <c r="A603" s="18"/>
      <c r="B603" t="s">
        <v>980</v>
      </c>
      <c r="G603" s="1405"/>
      <c r="H603" s="1405"/>
      <c r="I603" s="1405"/>
      <c r="J603" s="1405"/>
      <c r="K603" s="1405"/>
      <c r="L603" s="1405"/>
      <c r="M603" s="1405"/>
      <c r="N603" s="1405"/>
      <c r="O603" s="1405"/>
      <c r="P603" s="1405"/>
      <c r="Q603" s="1405"/>
      <c r="R603" s="1405"/>
      <c r="T603" s="18"/>
      <c r="U603" t="s">
        <v>980</v>
      </c>
      <c r="Z603" s="1353"/>
      <c r="AA603" s="1353"/>
      <c r="AB603" s="1353"/>
      <c r="AC603" s="1353"/>
      <c r="AD603" s="1353"/>
      <c r="AE603" s="1353"/>
      <c r="AF603" s="1353"/>
      <c r="AG603" s="1353"/>
      <c r="AH603" s="1353"/>
      <c r="AI603" s="1353"/>
      <c r="AJ603" s="1353"/>
      <c r="AK603" s="1353"/>
      <c r="AZ603" s="2"/>
      <c r="BA603" s="2"/>
      <c r="BB603" s="2"/>
      <c r="BC603" s="2"/>
      <c r="BD603" s="2"/>
      <c r="BE603" s="1340">
        <f t="shared" si="1"/>
        <v>0</v>
      </c>
      <c r="BF603" s="1342"/>
      <c r="BG603" s="1340">
        <f t="shared" si="2"/>
        <v>0</v>
      </c>
      <c r="BH603" s="1342"/>
      <c r="BI603" s="1340">
        <f t="shared" si="3"/>
        <v>0</v>
      </c>
      <c r="BJ603" s="1342"/>
      <c r="BK603" s="1340">
        <f t="shared" si="4"/>
        <v>0</v>
      </c>
      <c r="BL603" s="1342"/>
      <c r="BM603" s="2"/>
      <c r="BN603" s="1344">
        <f t="shared" si="5"/>
        <v>0</v>
      </c>
      <c r="BO603" s="1345"/>
      <c r="BP603" s="1345"/>
      <c r="BQ603" s="1345"/>
      <c r="BR603" s="1346"/>
      <c r="BS603" s="1347">
        <f t="shared" si="6"/>
        <v>0</v>
      </c>
      <c r="BT603" s="1347"/>
      <c r="BU603" s="1347"/>
      <c r="BV603" s="1347"/>
      <c r="BW603" s="1347"/>
      <c r="BX603" s="1347">
        <f t="shared" si="7"/>
        <v>0</v>
      </c>
      <c r="BY603" s="1347"/>
      <c r="BZ603" s="1347"/>
      <c r="CA603" s="1347"/>
      <c r="CB603" s="1347"/>
      <c r="CC603" s="1347">
        <f t="shared" si="8"/>
        <v>4</v>
      </c>
      <c r="CD603" s="1347"/>
      <c r="CE603" s="1347"/>
      <c r="CF603" s="1347"/>
      <c r="CG603" s="1347"/>
      <c r="CH603" s="1347">
        <f t="shared" si="9"/>
        <v>0</v>
      </c>
      <c r="CI603" s="1347"/>
      <c r="CJ603" s="1347"/>
      <c r="CK603" s="1347"/>
      <c r="CL603" s="1347"/>
      <c r="CM603" s="1347">
        <f t="shared" si="10"/>
        <v>0</v>
      </c>
      <c r="CN603" s="1347"/>
      <c r="CO603" s="1347"/>
      <c r="CP603" s="1347"/>
      <c r="CQ603" s="1347"/>
      <c r="CR603" s="1141"/>
      <c r="CS603" s="1343">
        <f t="shared" si="11"/>
        <v>0</v>
      </c>
      <c r="CT603" s="1343"/>
      <c r="CU603" s="1343"/>
      <c r="CV603" s="1343"/>
      <c r="CW603" s="1343"/>
      <c r="CX603" s="1343">
        <f t="shared" si="12"/>
        <v>0</v>
      </c>
      <c r="CY603" s="1343"/>
      <c r="CZ603" s="1343"/>
      <c r="DA603" s="1343"/>
      <c r="DB603" s="1343"/>
      <c r="DC603" s="1343">
        <f t="shared" si="13"/>
        <v>0</v>
      </c>
      <c r="DD603" s="1343"/>
      <c r="DE603" s="1343"/>
      <c r="DF603" s="1343"/>
      <c r="DG603" s="1343"/>
      <c r="DH603" s="1343">
        <f t="shared" si="14"/>
        <v>0</v>
      </c>
      <c r="DI603" s="1343"/>
      <c r="DJ603" s="1343"/>
      <c r="DK603" s="1343"/>
      <c r="DL603" s="1343"/>
      <c r="DM603" s="1343">
        <f t="shared" si="15"/>
        <v>0</v>
      </c>
      <c r="DN603" s="1343"/>
      <c r="DO603" s="1343"/>
      <c r="DP603" s="1343"/>
      <c r="DQ603" s="1343"/>
      <c r="DR603" s="1343">
        <f t="shared" si="16"/>
        <v>0</v>
      </c>
      <c r="DS603" s="1343"/>
      <c r="DT603" s="1343"/>
      <c r="DU603" s="1343"/>
      <c r="DV603" s="1343"/>
      <c r="DX603" s="1340" t="str">
        <f t="shared" si="17"/>
        <v/>
      </c>
      <c r="DY603" s="1341"/>
      <c r="DZ603" s="1341"/>
      <c r="EA603" s="1341"/>
      <c r="EB603" s="1342"/>
      <c r="EC603" s="1340" t="str">
        <f t="shared" si="18"/>
        <v/>
      </c>
      <c r="ED603" s="1341"/>
      <c r="EE603" s="1341"/>
      <c r="EF603" s="1341"/>
      <c r="EG603" s="1342"/>
      <c r="EH603" s="1340" t="str">
        <f t="shared" si="19"/>
        <v/>
      </c>
      <c r="EI603" s="1341"/>
      <c r="EJ603" s="1341"/>
      <c r="EK603" s="1341"/>
      <c r="EL603" s="1342"/>
      <c r="EM603" s="1340">
        <f t="shared" ca="1" si="20"/>
        <v>3398</v>
      </c>
      <c r="EN603" s="1341"/>
      <c r="EO603" s="1341"/>
      <c r="EP603" s="1341"/>
      <c r="EQ603" s="1342"/>
      <c r="ER603" s="1340" t="str">
        <f t="shared" si="21"/>
        <v/>
      </c>
      <c r="ES603" s="1341"/>
      <c r="ET603" s="1341"/>
      <c r="EU603" s="1341"/>
      <c r="EV603" s="1342"/>
      <c r="EW603" s="1340" t="str">
        <f t="shared" si="22"/>
        <v/>
      </c>
      <c r="EX603" s="1341"/>
      <c r="EY603" s="1341"/>
      <c r="EZ603" s="1341"/>
      <c r="FA603" s="1342"/>
    </row>
    <row r="604" spans="1:157" ht="13" customHeight="1">
      <c r="A604" s="18"/>
      <c r="B604" t="s">
        <v>1474</v>
      </c>
      <c r="G604" s="1405"/>
      <c r="H604" s="1405"/>
      <c r="I604" s="1405"/>
      <c r="J604" s="1405"/>
      <c r="K604" s="1405"/>
      <c r="L604" s="1405"/>
      <c r="M604" s="1405"/>
      <c r="N604" s="1405"/>
      <c r="O604" s="1405"/>
      <c r="P604" s="1405"/>
      <c r="Q604" s="1405"/>
      <c r="R604" s="1405"/>
      <c r="T604" s="18"/>
      <c r="U604" t="s">
        <v>1474</v>
      </c>
      <c r="Z604" s="1353"/>
      <c r="AA604" s="1353"/>
      <c r="AB604" s="1353"/>
      <c r="AC604" s="1353"/>
      <c r="AD604" s="1353"/>
      <c r="AE604" s="1353"/>
      <c r="AF604" s="1353"/>
      <c r="AG604" s="1353"/>
      <c r="AH604" s="1353"/>
      <c r="AI604" s="1353"/>
      <c r="AJ604" s="1353"/>
      <c r="AK604" s="1353"/>
      <c r="AZ604" s="2"/>
      <c r="BA604" s="2"/>
      <c r="BB604" s="2"/>
      <c r="BC604" s="2"/>
      <c r="BD604" s="2"/>
      <c r="BE604" s="1340">
        <f t="shared" si="1"/>
        <v>1</v>
      </c>
      <c r="BF604" s="1342"/>
      <c r="BG604" s="1340">
        <f t="shared" si="2"/>
        <v>9</v>
      </c>
      <c r="BH604" s="1342"/>
      <c r="BI604" s="1340">
        <f t="shared" si="3"/>
        <v>0</v>
      </c>
      <c r="BJ604" s="1342"/>
      <c r="BK604" s="1340">
        <f t="shared" si="4"/>
        <v>0</v>
      </c>
      <c r="BL604" s="1342"/>
      <c r="BM604" s="2"/>
      <c r="BN604" s="1344">
        <f t="shared" si="5"/>
        <v>0</v>
      </c>
      <c r="BO604" s="1345"/>
      <c r="BP604" s="1345"/>
      <c r="BQ604" s="1345"/>
      <c r="BR604" s="1346"/>
      <c r="BS604" s="1347">
        <f t="shared" si="6"/>
        <v>0</v>
      </c>
      <c r="BT604" s="1347"/>
      <c r="BU604" s="1347"/>
      <c r="BV604" s="1347"/>
      <c r="BW604" s="1347"/>
      <c r="BX604" s="1347">
        <f t="shared" si="7"/>
        <v>0</v>
      </c>
      <c r="BY604" s="1347"/>
      <c r="BZ604" s="1347"/>
      <c r="CA604" s="1347"/>
      <c r="CB604" s="1347"/>
      <c r="CC604" s="1347">
        <f t="shared" si="8"/>
        <v>9</v>
      </c>
      <c r="CD604" s="1347"/>
      <c r="CE604" s="1347"/>
      <c r="CF604" s="1347"/>
      <c r="CG604" s="1347"/>
      <c r="CH604" s="1347">
        <f t="shared" si="9"/>
        <v>0</v>
      </c>
      <c r="CI604" s="1347"/>
      <c r="CJ604" s="1347"/>
      <c r="CK604" s="1347"/>
      <c r="CL604" s="1347"/>
      <c r="CM604" s="1347">
        <f t="shared" si="10"/>
        <v>0</v>
      </c>
      <c r="CN604" s="1347"/>
      <c r="CO604" s="1347"/>
      <c r="CP604" s="1347"/>
      <c r="CQ604" s="1347"/>
      <c r="CR604" s="1141"/>
      <c r="CS604" s="1343">
        <f t="shared" si="11"/>
        <v>0</v>
      </c>
      <c r="CT604" s="1343"/>
      <c r="CU604" s="1343"/>
      <c r="CV604" s="1343"/>
      <c r="CW604" s="1343"/>
      <c r="CX604" s="1343">
        <f t="shared" si="12"/>
        <v>0</v>
      </c>
      <c r="CY604" s="1343"/>
      <c r="CZ604" s="1343"/>
      <c r="DA604" s="1343"/>
      <c r="DB604" s="1343"/>
      <c r="DC604" s="1343">
        <f t="shared" si="13"/>
        <v>0</v>
      </c>
      <c r="DD604" s="1343"/>
      <c r="DE604" s="1343"/>
      <c r="DF604" s="1343"/>
      <c r="DG604" s="1343"/>
      <c r="DH604" s="1343">
        <f t="shared" si="14"/>
        <v>0</v>
      </c>
      <c r="DI604" s="1343"/>
      <c r="DJ604" s="1343"/>
      <c r="DK604" s="1343"/>
      <c r="DL604" s="1343"/>
      <c r="DM604" s="1343">
        <f t="shared" si="15"/>
        <v>0</v>
      </c>
      <c r="DN604" s="1343"/>
      <c r="DO604" s="1343"/>
      <c r="DP604" s="1343"/>
      <c r="DQ604" s="1343"/>
      <c r="DR604" s="1343">
        <f t="shared" si="16"/>
        <v>0</v>
      </c>
      <c r="DS604" s="1343"/>
      <c r="DT604" s="1343"/>
      <c r="DU604" s="1343"/>
      <c r="DV604" s="1343"/>
      <c r="DX604" s="1340" t="str">
        <f t="shared" si="17"/>
        <v/>
      </c>
      <c r="DY604" s="1341"/>
      <c r="DZ604" s="1341"/>
      <c r="EA604" s="1341"/>
      <c r="EB604" s="1342"/>
      <c r="EC604" s="1340" t="str">
        <f t="shared" si="18"/>
        <v/>
      </c>
      <c r="ED604" s="1341"/>
      <c r="EE604" s="1341"/>
      <c r="EF604" s="1341"/>
      <c r="EG604" s="1342"/>
      <c r="EH604" s="1340" t="str">
        <f t="shared" si="19"/>
        <v/>
      </c>
      <c r="EI604" s="1341"/>
      <c r="EJ604" s="1341"/>
      <c r="EK604" s="1341"/>
      <c r="EL604" s="1342"/>
      <c r="EM604" s="1340">
        <f t="shared" ca="1" si="20"/>
        <v>2380</v>
      </c>
      <c r="EN604" s="1341"/>
      <c r="EO604" s="1341"/>
      <c r="EP604" s="1341"/>
      <c r="EQ604" s="1342"/>
      <c r="ER604" s="1340" t="str">
        <f t="shared" si="21"/>
        <v/>
      </c>
      <c r="ES604" s="1341"/>
      <c r="ET604" s="1341"/>
      <c r="EU604" s="1341"/>
      <c r="EV604" s="1342"/>
      <c r="EW604" s="1340" t="str">
        <f t="shared" si="22"/>
        <v/>
      </c>
      <c r="EX604" s="1341"/>
      <c r="EY604" s="1341"/>
      <c r="EZ604" s="1341"/>
      <c r="FA604" s="1342"/>
    </row>
    <row r="605" spans="1:157" s="3" customFormat="1" ht="13" customHeight="1">
      <c r="A605" s="18"/>
      <c r="B605" t="s">
        <v>883</v>
      </c>
      <c r="C605"/>
      <c r="D605"/>
      <c r="E605"/>
      <c r="F605"/>
      <c r="G605" s="1418"/>
      <c r="H605" s="1418"/>
      <c r="I605" s="1418"/>
      <c r="J605" s="1418"/>
      <c r="K605" s="1418"/>
      <c r="L605" s="1418"/>
      <c r="M605"/>
      <c r="N605"/>
      <c r="O605" s="840" t="s">
        <v>1120</v>
      </c>
      <c r="P605" s="1434"/>
      <c r="Q605" s="1434"/>
      <c r="R605" s="1434"/>
      <c r="S605"/>
      <c r="T605" s="18"/>
      <c r="U605" t="s">
        <v>883</v>
      </c>
      <c r="V605"/>
      <c r="W605"/>
      <c r="X605"/>
      <c r="Y605"/>
      <c r="Z605" s="1418"/>
      <c r="AA605" s="1418"/>
      <c r="AB605" s="1418"/>
      <c r="AC605" s="1418"/>
      <c r="AD605" s="1418"/>
      <c r="AE605" s="1418"/>
      <c r="AF605"/>
      <c r="AG605"/>
      <c r="AH605" s="840" t="s">
        <v>1120</v>
      </c>
      <c r="AI605" s="1434"/>
      <c r="AJ605" s="1434"/>
      <c r="AK605" s="1434"/>
      <c r="AL605"/>
      <c r="AM605"/>
      <c r="AN605"/>
      <c r="AO605"/>
      <c r="AP605"/>
      <c r="AQ605"/>
      <c r="AR605"/>
      <c r="AS605"/>
      <c r="AT605"/>
      <c r="AU605"/>
      <c r="AV605"/>
      <c r="AW605"/>
      <c r="AX605"/>
      <c r="AY605"/>
      <c r="AZ605" s="2"/>
      <c r="BA605" s="2"/>
      <c r="BB605" s="2"/>
      <c r="BC605" s="2"/>
      <c r="BD605" s="2"/>
      <c r="BE605" s="1340">
        <f t="shared" si="1"/>
        <v>0</v>
      </c>
      <c r="BF605" s="1342"/>
      <c r="BG605" s="1340">
        <f t="shared" si="2"/>
        <v>0</v>
      </c>
      <c r="BH605" s="1342"/>
      <c r="BI605" s="1340">
        <f t="shared" si="3"/>
        <v>1</v>
      </c>
      <c r="BJ605" s="1342"/>
      <c r="BK605" s="1340">
        <f t="shared" si="4"/>
        <v>3</v>
      </c>
      <c r="BL605" s="1342"/>
      <c r="BM605" s="2"/>
      <c r="BN605" s="1344">
        <f t="shared" si="5"/>
        <v>0</v>
      </c>
      <c r="BO605" s="1345"/>
      <c r="BP605" s="1345"/>
      <c r="BQ605" s="1345"/>
      <c r="BR605" s="1346"/>
      <c r="BS605" s="1347">
        <f t="shared" si="6"/>
        <v>0</v>
      </c>
      <c r="BT605" s="1347"/>
      <c r="BU605" s="1347"/>
      <c r="BV605" s="1347"/>
      <c r="BW605" s="1347"/>
      <c r="BX605" s="1347">
        <f t="shared" si="7"/>
        <v>0</v>
      </c>
      <c r="BY605" s="1347"/>
      <c r="BZ605" s="1347"/>
      <c r="CA605" s="1347"/>
      <c r="CB605" s="1347"/>
      <c r="CC605" s="1347">
        <f t="shared" si="8"/>
        <v>3</v>
      </c>
      <c r="CD605" s="1347"/>
      <c r="CE605" s="1347"/>
      <c r="CF605" s="1347"/>
      <c r="CG605" s="1347"/>
      <c r="CH605" s="1347">
        <f t="shared" si="9"/>
        <v>0</v>
      </c>
      <c r="CI605" s="1347"/>
      <c r="CJ605" s="1347"/>
      <c r="CK605" s="1347"/>
      <c r="CL605" s="1347"/>
      <c r="CM605" s="1347">
        <f t="shared" si="10"/>
        <v>0</v>
      </c>
      <c r="CN605" s="1347"/>
      <c r="CO605" s="1347"/>
      <c r="CP605" s="1347"/>
      <c r="CQ605" s="1347"/>
      <c r="CR605" s="1141"/>
      <c r="CS605" s="1343">
        <f t="shared" si="11"/>
        <v>0</v>
      </c>
      <c r="CT605" s="1343"/>
      <c r="CU605" s="1343"/>
      <c r="CV605" s="1343"/>
      <c r="CW605" s="1343"/>
      <c r="CX605" s="1343">
        <f t="shared" si="12"/>
        <v>0</v>
      </c>
      <c r="CY605" s="1343"/>
      <c r="CZ605" s="1343"/>
      <c r="DA605" s="1343"/>
      <c r="DB605" s="1343"/>
      <c r="DC605" s="1343">
        <f t="shared" si="13"/>
        <v>0</v>
      </c>
      <c r="DD605" s="1343"/>
      <c r="DE605" s="1343"/>
      <c r="DF605" s="1343"/>
      <c r="DG605" s="1343"/>
      <c r="DH605" s="1343">
        <f t="shared" si="14"/>
        <v>3</v>
      </c>
      <c r="DI605" s="1343"/>
      <c r="DJ605" s="1343"/>
      <c r="DK605" s="1343"/>
      <c r="DL605" s="1343"/>
      <c r="DM605" s="1343">
        <f t="shared" si="15"/>
        <v>0</v>
      </c>
      <c r="DN605" s="1343"/>
      <c r="DO605" s="1343"/>
      <c r="DP605" s="1343"/>
      <c r="DQ605" s="1343"/>
      <c r="DR605" s="1343">
        <f t="shared" si="16"/>
        <v>0</v>
      </c>
      <c r="DS605" s="1343"/>
      <c r="DT605" s="1343"/>
      <c r="DU605" s="1343"/>
      <c r="DV605" s="1343"/>
      <c r="DW605" s="2"/>
      <c r="DX605" s="1340" t="str">
        <f t="shared" si="17"/>
        <v/>
      </c>
      <c r="DY605" s="1341"/>
      <c r="DZ605" s="1341"/>
      <c r="EA605" s="1341"/>
      <c r="EB605" s="1342"/>
      <c r="EC605" s="1340" t="str">
        <f t="shared" si="18"/>
        <v/>
      </c>
      <c r="ED605" s="1341"/>
      <c r="EE605" s="1341"/>
      <c r="EF605" s="1341"/>
      <c r="EG605" s="1342"/>
      <c r="EH605" s="1340" t="str">
        <f t="shared" si="19"/>
        <v/>
      </c>
      <c r="EI605" s="1341"/>
      <c r="EJ605" s="1341"/>
      <c r="EK605" s="1341"/>
      <c r="EL605" s="1342"/>
      <c r="EM605" s="1340">
        <f t="shared" si="20"/>
        <v>171.8</v>
      </c>
      <c r="EN605" s="1341"/>
      <c r="EO605" s="1341"/>
      <c r="EP605" s="1341"/>
      <c r="EQ605" s="1342"/>
      <c r="ER605" s="1340" t="str">
        <f t="shared" si="21"/>
        <v/>
      </c>
      <c r="ES605" s="1341"/>
      <c r="ET605" s="1341"/>
      <c r="EU605" s="1341"/>
      <c r="EV605" s="1342"/>
      <c r="EW605" s="1340" t="str">
        <f t="shared" si="22"/>
        <v/>
      </c>
      <c r="EX605" s="1341"/>
      <c r="EY605" s="1341"/>
      <c r="EZ605" s="1341"/>
      <c r="FA605" s="1342"/>
    </row>
    <row r="606" spans="1:157" s="3" customFormat="1" ht="13" customHeight="1">
      <c r="A606" s="18"/>
      <c r="B606" t="s">
        <v>1477</v>
      </c>
      <c r="C606"/>
      <c r="D606"/>
      <c r="E606"/>
      <c r="F606"/>
      <c r="G606"/>
      <c r="H606" s="1405"/>
      <c r="I606" s="1405"/>
      <c r="J606" s="1405"/>
      <c r="K606" s="1405"/>
      <c r="L606" s="1405"/>
      <c r="M606" s="1405"/>
      <c r="N606" s="1405"/>
      <c r="O606" s="1405"/>
      <c r="P606" s="1405"/>
      <c r="Q606" s="1405"/>
      <c r="R606" s="1405"/>
      <c r="S606"/>
      <c r="T606" s="18"/>
      <c r="U606" t="s">
        <v>1477</v>
      </c>
      <c r="V606"/>
      <c r="W606"/>
      <c r="X606"/>
      <c r="Y606"/>
      <c r="Z606"/>
      <c r="AA606" s="1405"/>
      <c r="AB606" s="1405"/>
      <c r="AC606" s="1405"/>
      <c r="AD606" s="1405"/>
      <c r="AE606" s="1405"/>
      <c r="AF606" s="1405"/>
      <c r="AG606" s="1405"/>
      <c r="AH606" s="1405"/>
      <c r="AI606" s="1405"/>
      <c r="AJ606" s="1405"/>
      <c r="AK606" s="1405"/>
      <c r="AL606"/>
      <c r="AM606"/>
      <c r="AN606"/>
      <c r="AO606"/>
      <c r="AP606"/>
      <c r="AQ606"/>
      <c r="AR606"/>
      <c r="AS606"/>
      <c r="AT606"/>
      <c r="AU606"/>
      <c r="AV606"/>
      <c r="AW606"/>
      <c r="AX606"/>
      <c r="AY606"/>
      <c r="AZ606" s="2"/>
      <c r="BA606" s="2"/>
      <c r="BB606" s="2"/>
      <c r="BC606" s="2"/>
      <c r="BD606" s="2"/>
      <c r="BE606" s="1340">
        <f t="shared" si="1"/>
        <v>0</v>
      </c>
      <c r="BF606" s="1342"/>
      <c r="BG606" s="1340">
        <f t="shared" si="2"/>
        <v>0</v>
      </c>
      <c r="BH606" s="1342"/>
      <c r="BI606" s="1340">
        <f t="shared" si="3"/>
        <v>0</v>
      </c>
      <c r="BJ606" s="1342"/>
      <c r="BK606" s="1340">
        <f t="shared" si="4"/>
        <v>0</v>
      </c>
      <c r="BL606" s="1342"/>
      <c r="BM606" s="2"/>
      <c r="BN606" s="1344">
        <f t="shared" si="5"/>
        <v>0</v>
      </c>
      <c r="BO606" s="1345"/>
      <c r="BP606" s="1345"/>
      <c r="BQ606" s="1345"/>
      <c r="BR606" s="1346"/>
      <c r="BS606" s="1347">
        <f t="shared" si="6"/>
        <v>0</v>
      </c>
      <c r="BT606" s="1347"/>
      <c r="BU606" s="1347"/>
      <c r="BV606" s="1347"/>
      <c r="BW606" s="1347"/>
      <c r="BX606" s="1347">
        <f t="shared" si="7"/>
        <v>0</v>
      </c>
      <c r="BY606" s="1347"/>
      <c r="BZ606" s="1347"/>
      <c r="CA606" s="1347"/>
      <c r="CB606" s="1347"/>
      <c r="CC606" s="1347">
        <f t="shared" si="8"/>
        <v>0</v>
      </c>
      <c r="CD606" s="1347"/>
      <c r="CE606" s="1347"/>
      <c r="CF606" s="1347"/>
      <c r="CG606" s="1347"/>
      <c r="CH606" s="1347">
        <f t="shared" si="9"/>
        <v>0</v>
      </c>
      <c r="CI606" s="1347"/>
      <c r="CJ606" s="1347"/>
      <c r="CK606" s="1347"/>
      <c r="CL606" s="1347"/>
      <c r="CM606" s="1347">
        <f t="shared" si="10"/>
        <v>0</v>
      </c>
      <c r="CN606" s="1347"/>
      <c r="CO606" s="1347"/>
      <c r="CP606" s="1347"/>
      <c r="CQ606" s="1347"/>
      <c r="CR606" s="1141"/>
      <c r="CS606" s="1343">
        <f t="shared" si="11"/>
        <v>0</v>
      </c>
      <c r="CT606" s="1343"/>
      <c r="CU606" s="1343"/>
      <c r="CV606" s="1343"/>
      <c r="CW606" s="1343"/>
      <c r="CX606" s="1343">
        <f t="shared" si="12"/>
        <v>0</v>
      </c>
      <c r="CY606" s="1343"/>
      <c r="CZ606" s="1343"/>
      <c r="DA606" s="1343"/>
      <c r="DB606" s="1343"/>
      <c r="DC606" s="1343">
        <f t="shared" si="13"/>
        <v>0</v>
      </c>
      <c r="DD606" s="1343"/>
      <c r="DE606" s="1343"/>
      <c r="DF606" s="1343"/>
      <c r="DG606" s="1343"/>
      <c r="DH606" s="1343">
        <f t="shared" si="14"/>
        <v>0</v>
      </c>
      <c r="DI606" s="1343"/>
      <c r="DJ606" s="1343"/>
      <c r="DK606" s="1343"/>
      <c r="DL606" s="1343"/>
      <c r="DM606" s="1343">
        <f t="shared" si="15"/>
        <v>0</v>
      </c>
      <c r="DN606" s="1343"/>
      <c r="DO606" s="1343"/>
      <c r="DP606" s="1343"/>
      <c r="DQ606" s="1343"/>
      <c r="DR606" s="1343">
        <f t="shared" si="16"/>
        <v>0</v>
      </c>
      <c r="DS606" s="1343"/>
      <c r="DT606" s="1343"/>
      <c r="DU606" s="1343"/>
      <c r="DV606" s="1343"/>
      <c r="DW606" s="2"/>
      <c r="DX606" s="1340" t="str">
        <f t="shared" si="17"/>
        <v/>
      </c>
      <c r="DY606" s="1341"/>
      <c r="DZ606" s="1341"/>
      <c r="EA606" s="1341"/>
      <c r="EB606" s="1342"/>
      <c r="EC606" s="1340" t="str">
        <f t="shared" si="18"/>
        <v/>
      </c>
      <c r="ED606" s="1341"/>
      <c r="EE606" s="1341"/>
      <c r="EF606" s="1341"/>
      <c r="EG606" s="1342"/>
      <c r="EH606" s="1340" t="str">
        <f t="shared" si="19"/>
        <v/>
      </c>
      <c r="EI606" s="1341"/>
      <c r="EJ606" s="1341"/>
      <c r="EK606" s="1341"/>
      <c r="EL606" s="1342"/>
      <c r="EM606" s="1340" t="str">
        <f t="shared" si="20"/>
        <v/>
      </c>
      <c r="EN606" s="1341"/>
      <c r="EO606" s="1341"/>
      <c r="EP606" s="1341"/>
      <c r="EQ606" s="1342"/>
      <c r="ER606" s="1340" t="str">
        <f t="shared" si="21"/>
        <v/>
      </c>
      <c r="ES606" s="1341"/>
      <c r="ET606" s="1341"/>
      <c r="EU606" s="1341"/>
      <c r="EV606" s="1342"/>
      <c r="EW606" s="1340" t="str">
        <f t="shared" si="22"/>
        <v/>
      </c>
      <c r="EX606" s="1341"/>
      <c r="EY606" s="1341"/>
      <c r="EZ606" s="1341"/>
      <c r="FA606" s="1342"/>
    </row>
    <row r="607" spans="1:157" s="3" customFormat="1" ht="13" customHeight="1">
      <c r="A607" s="18"/>
      <c r="B607" t="s">
        <v>1480</v>
      </c>
      <c r="C607"/>
      <c r="D607"/>
      <c r="E607"/>
      <c r="F607"/>
      <c r="G607"/>
      <c r="H607"/>
      <c r="I607"/>
      <c r="J607"/>
      <c r="K607"/>
      <c r="L607"/>
      <c r="M607"/>
      <c r="N607" s="1361" t="s">
        <v>893</v>
      </c>
      <c r="O607" s="1361"/>
      <c r="P607"/>
      <c r="Q607"/>
      <c r="R607"/>
      <c r="S607"/>
      <c r="T607" s="18"/>
      <c r="U607" t="s">
        <v>1480</v>
      </c>
      <c r="V607"/>
      <c r="W607"/>
      <c r="X607"/>
      <c r="Y607"/>
      <c r="Z607"/>
      <c r="AA607"/>
      <c r="AB607"/>
      <c r="AC607"/>
      <c r="AD607"/>
      <c r="AE607"/>
      <c r="AF607"/>
      <c r="AG607" s="1361" t="s">
        <v>893</v>
      </c>
      <c r="AH607" s="1361"/>
      <c r="AI607"/>
      <c r="AJ607"/>
      <c r="AK607"/>
      <c r="AL607"/>
      <c r="AM607"/>
      <c r="AN607"/>
      <c r="AO607"/>
      <c r="AP607"/>
      <c r="AQ607"/>
      <c r="AR607"/>
      <c r="AS607"/>
      <c r="AT607"/>
      <c r="AU607"/>
      <c r="AV607"/>
      <c r="AW607"/>
      <c r="AX607"/>
      <c r="AY607"/>
      <c r="AZ607" s="2"/>
      <c r="BA607" s="2"/>
      <c r="BB607" s="2"/>
      <c r="BC607" s="2"/>
      <c r="BD607" s="2"/>
      <c r="BE607" s="1340">
        <f t="shared" si="1"/>
        <v>0</v>
      </c>
      <c r="BF607" s="1342"/>
      <c r="BG607" s="1340">
        <f t="shared" si="2"/>
        <v>0</v>
      </c>
      <c r="BH607" s="1342"/>
      <c r="BI607" s="1340">
        <f t="shared" si="3"/>
        <v>0</v>
      </c>
      <c r="BJ607" s="1342"/>
      <c r="BK607" s="1340">
        <f t="shared" si="4"/>
        <v>0</v>
      </c>
      <c r="BL607" s="1342"/>
      <c r="BM607" s="2"/>
      <c r="BN607" s="1344">
        <f t="shared" si="5"/>
        <v>0</v>
      </c>
      <c r="BO607" s="1345"/>
      <c r="BP607" s="1345"/>
      <c r="BQ607" s="1345"/>
      <c r="BR607" s="1346"/>
      <c r="BS607" s="1347">
        <f t="shared" si="6"/>
        <v>0</v>
      </c>
      <c r="BT607" s="1347"/>
      <c r="BU607" s="1347"/>
      <c r="BV607" s="1347"/>
      <c r="BW607" s="1347"/>
      <c r="BX607" s="1347">
        <f t="shared" si="7"/>
        <v>0</v>
      </c>
      <c r="BY607" s="1347"/>
      <c r="BZ607" s="1347"/>
      <c r="CA607" s="1347"/>
      <c r="CB607" s="1347"/>
      <c r="CC607" s="1347">
        <f t="shared" si="8"/>
        <v>0</v>
      </c>
      <c r="CD607" s="1347"/>
      <c r="CE607" s="1347"/>
      <c r="CF607" s="1347"/>
      <c r="CG607" s="1347"/>
      <c r="CH607" s="1347">
        <f t="shared" si="9"/>
        <v>0</v>
      </c>
      <c r="CI607" s="1347"/>
      <c r="CJ607" s="1347"/>
      <c r="CK607" s="1347"/>
      <c r="CL607" s="1347"/>
      <c r="CM607" s="1347">
        <f t="shared" si="10"/>
        <v>0</v>
      </c>
      <c r="CN607" s="1347"/>
      <c r="CO607" s="1347"/>
      <c r="CP607" s="1347"/>
      <c r="CQ607" s="1347"/>
      <c r="CR607" s="1141"/>
      <c r="CS607" s="1343">
        <f t="shared" si="11"/>
        <v>0</v>
      </c>
      <c r="CT607" s="1343"/>
      <c r="CU607" s="1343"/>
      <c r="CV607" s="1343"/>
      <c r="CW607" s="1343"/>
      <c r="CX607" s="1343">
        <f t="shared" si="12"/>
        <v>0</v>
      </c>
      <c r="CY607" s="1343"/>
      <c r="CZ607" s="1343"/>
      <c r="DA607" s="1343"/>
      <c r="DB607" s="1343"/>
      <c r="DC607" s="1343">
        <f t="shared" si="13"/>
        <v>0</v>
      </c>
      <c r="DD607" s="1343"/>
      <c r="DE607" s="1343"/>
      <c r="DF607" s="1343"/>
      <c r="DG607" s="1343"/>
      <c r="DH607" s="1343">
        <f t="shared" si="14"/>
        <v>0</v>
      </c>
      <c r="DI607" s="1343"/>
      <c r="DJ607" s="1343"/>
      <c r="DK607" s="1343"/>
      <c r="DL607" s="1343"/>
      <c r="DM607" s="1343">
        <f t="shared" si="15"/>
        <v>0</v>
      </c>
      <c r="DN607" s="1343"/>
      <c r="DO607" s="1343"/>
      <c r="DP607" s="1343"/>
      <c r="DQ607" s="1343"/>
      <c r="DR607" s="1343">
        <f t="shared" si="16"/>
        <v>0</v>
      </c>
      <c r="DS607" s="1343"/>
      <c r="DT607" s="1343"/>
      <c r="DU607" s="1343"/>
      <c r="DV607" s="1343"/>
      <c r="DW607" s="2"/>
      <c r="DX607" s="1340" t="str">
        <f t="shared" si="17"/>
        <v/>
      </c>
      <c r="DY607" s="1341"/>
      <c r="DZ607" s="1341"/>
      <c r="EA607" s="1341"/>
      <c r="EB607" s="1342"/>
      <c r="EC607" s="1340" t="str">
        <f t="shared" si="18"/>
        <v/>
      </c>
      <c r="ED607" s="1341"/>
      <c r="EE607" s="1341"/>
      <c r="EF607" s="1341"/>
      <c r="EG607" s="1342"/>
      <c r="EH607" s="1340" t="str">
        <f t="shared" si="19"/>
        <v/>
      </c>
      <c r="EI607" s="1341"/>
      <c r="EJ607" s="1341"/>
      <c r="EK607" s="1341"/>
      <c r="EL607" s="1342"/>
      <c r="EM607" s="1340" t="str">
        <f t="shared" si="20"/>
        <v/>
      </c>
      <c r="EN607" s="1341"/>
      <c r="EO607" s="1341"/>
      <c r="EP607" s="1341"/>
      <c r="EQ607" s="1342"/>
      <c r="ER607" s="1340" t="str">
        <f t="shared" si="21"/>
        <v/>
      </c>
      <c r="ES607" s="1341"/>
      <c r="ET607" s="1341"/>
      <c r="EU607" s="1341"/>
      <c r="EV607" s="1342"/>
      <c r="EW607" s="1340" t="str">
        <f t="shared" si="22"/>
        <v/>
      </c>
      <c r="EX607" s="1341"/>
      <c r="EY607" s="1341"/>
      <c r="EZ607" s="1341"/>
      <c r="FA607" s="1342"/>
    </row>
    <row r="608" spans="1:157" ht="13" customHeight="1">
      <c r="A608" s="18"/>
      <c r="T608" s="18"/>
      <c r="AZ608" s="2"/>
      <c r="BA608" s="2"/>
      <c r="BB608" s="2"/>
      <c r="BC608" s="2"/>
      <c r="BD608" s="2"/>
      <c r="BE608" s="1340">
        <f t="shared" si="1"/>
        <v>0</v>
      </c>
      <c r="BF608" s="1342"/>
      <c r="BG608" s="1340">
        <f t="shared" si="2"/>
        <v>0</v>
      </c>
      <c r="BH608" s="1342"/>
      <c r="BI608" s="1340">
        <f t="shared" si="3"/>
        <v>0</v>
      </c>
      <c r="BJ608" s="1342"/>
      <c r="BK608" s="1340">
        <f t="shared" si="4"/>
        <v>0</v>
      </c>
      <c r="BL608" s="1342"/>
      <c r="BM608" s="2"/>
      <c r="BN608" s="1344">
        <f t="shared" si="5"/>
        <v>0</v>
      </c>
      <c r="BO608" s="1345"/>
      <c r="BP608" s="1345"/>
      <c r="BQ608" s="1345"/>
      <c r="BR608" s="1346"/>
      <c r="BS608" s="1347">
        <f t="shared" si="6"/>
        <v>0</v>
      </c>
      <c r="BT608" s="1347"/>
      <c r="BU608" s="1347"/>
      <c r="BV608" s="1347"/>
      <c r="BW608" s="1347"/>
      <c r="BX608" s="1347">
        <f t="shared" si="7"/>
        <v>0</v>
      </c>
      <c r="BY608" s="1347"/>
      <c r="BZ608" s="1347"/>
      <c r="CA608" s="1347"/>
      <c r="CB608" s="1347"/>
      <c r="CC608" s="1347">
        <f t="shared" si="8"/>
        <v>0</v>
      </c>
      <c r="CD608" s="1347"/>
      <c r="CE608" s="1347"/>
      <c r="CF608" s="1347"/>
      <c r="CG608" s="1347"/>
      <c r="CH608" s="1347">
        <f t="shared" si="9"/>
        <v>0</v>
      </c>
      <c r="CI608" s="1347"/>
      <c r="CJ608" s="1347"/>
      <c r="CK608" s="1347"/>
      <c r="CL608" s="1347"/>
      <c r="CM608" s="1347">
        <f t="shared" si="10"/>
        <v>0</v>
      </c>
      <c r="CN608" s="1347"/>
      <c r="CO608" s="1347"/>
      <c r="CP608" s="1347"/>
      <c r="CQ608" s="1347"/>
      <c r="CR608" s="1141"/>
      <c r="CS608" s="1343">
        <f t="shared" si="11"/>
        <v>0</v>
      </c>
      <c r="CT608" s="1343"/>
      <c r="CU608" s="1343"/>
      <c r="CV608" s="1343"/>
      <c r="CW608" s="1343"/>
      <c r="CX608" s="1343">
        <f t="shared" si="12"/>
        <v>0</v>
      </c>
      <c r="CY608" s="1343"/>
      <c r="CZ608" s="1343"/>
      <c r="DA608" s="1343"/>
      <c r="DB608" s="1343"/>
      <c r="DC608" s="1343">
        <f t="shared" si="13"/>
        <v>0</v>
      </c>
      <c r="DD608" s="1343"/>
      <c r="DE608" s="1343"/>
      <c r="DF608" s="1343"/>
      <c r="DG608" s="1343"/>
      <c r="DH608" s="1343">
        <f t="shared" si="14"/>
        <v>0</v>
      </c>
      <c r="DI608" s="1343"/>
      <c r="DJ608" s="1343"/>
      <c r="DK608" s="1343"/>
      <c r="DL608" s="1343"/>
      <c r="DM608" s="1343">
        <f t="shared" si="15"/>
        <v>0</v>
      </c>
      <c r="DN608" s="1343"/>
      <c r="DO608" s="1343"/>
      <c r="DP608" s="1343"/>
      <c r="DQ608" s="1343"/>
      <c r="DR608" s="1343">
        <f t="shared" si="16"/>
        <v>0</v>
      </c>
      <c r="DS608" s="1343"/>
      <c r="DT608" s="1343"/>
      <c r="DU608" s="1343"/>
      <c r="DV608" s="1343"/>
      <c r="DX608" s="1340" t="str">
        <f t="shared" si="17"/>
        <v/>
      </c>
      <c r="DY608" s="1341"/>
      <c r="DZ608" s="1341"/>
      <c r="EA608" s="1341"/>
      <c r="EB608" s="1342"/>
      <c r="EC608" s="1340" t="str">
        <f t="shared" si="18"/>
        <v/>
      </c>
      <c r="ED608" s="1341"/>
      <c r="EE608" s="1341"/>
      <c r="EF608" s="1341"/>
      <c r="EG608" s="1342"/>
      <c r="EH608" s="1340" t="str">
        <f t="shared" si="19"/>
        <v/>
      </c>
      <c r="EI608" s="1341"/>
      <c r="EJ608" s="1341"/>
      <c r="EK608" s="1341"/>
      <c r="EL608" s="1342"/>
      <c r="EM608" s="1340" t="str">
        <f t="shared" si="20"/>
        <v/>
      </c>
      <c r="EN608" s="1341"/>
      <c r="EO608" s="1341"/>
      <c r="EP608" s="1341"/>
      <c r="EQ608" s="1342"/>
      <c r="ER608" s="1340" t="str">
        <f t="shared" si="21"/>
        <v/>
      </c>
      <c r="ES608" s="1341"/>
      <c r="ET608" s="1341"/>
      <c r="EU608" s="1341"/>
      <c r="EV608" s="1342"/>
      <c r="EW608" s="1340" t="str">
        <f t="shared" si="22"/>
        <v/>
      </c>
      <c r="EX608" s="1341"/>
      <c r="EY608" s="1341"/>
      <c r="EZ608" s="1341"/>
      <c r="FA608" s="1342"/>
    </row>
    <row r="609" spans="1:157" ht="13" customHeight="1">
      <c r="A609" s="37" t="s">
        <v>1468</v>
      </c>
      <c r="B609" t="s">
        <v>1471</v>
      </c>
      <c r="G609" s="1460">
        <f>C564</f>
        <v>0</v>
      </c>
      <c r="H609" s="1460"/>
      <c r="I609" s="1460"/>
      <c r="J609" s="1460"/>
      <c r="K609" s="1460"/>
      <c r="L609" s="1460"/>
      <c r="M609" s="1460"/>
      <c r="N609" s="1460"/>
      <c r="O609" s="1460"/>
      <c r="P609" s="1460"/>
      <c r="Q609" s="1460"/>
      <c r="R609" s="1460"/>
      <c r="T609" s="37" t="s">
        <v>1469</v>
      </c>
      <c r="U609" t="s">
        <v>1471</v>
      </c>
      <c r="Z609" s="1460">
        <f>C565</f>
        <v>0</v>
      </c>
      <c r="AA609" s="1460"/>
      <c r="AB609" s="1460"/>
      <c r="AC609" s="1460"/>
      <c r="AD609" s="1460"/>
      <c r="AE609" s="1460"/>
      <c r="AF609" s="1460"/>
      <c r="AG609" s="1460"/>
      <c r="AH609" s="1460"/>
      <c r="AI609" s="1460"/>
      <c r="AJ609" s="1460"/>
      <c r="AK609" s="1460"/>
      <c r="AZ609" s="2"/>
      <c r="BA609" s="2"/>
      <c r="BB609" s="2"/>
      <c r="BC609" s="2"/>
      <c r="BD609" s="2"/>
      <c r="BE609" s="1340">
        <f t="shared" si="1"/>
        <v>0</v>
      </c>
      <c r="BF609" s="1342"/>
      <c r="BG609" s="1340">
        <f t="shared" si="2"/>
        <v>0</v>
      </c>
      <c r="BH609" s="1342"/>
      <c r="BI609" s="1340">
        <f t="shared" si="3"/>
        <v>0</v>
      </c>
      <c r="BJ609" s="1342"/>
      <c r="BK609" s="1340">
        <f t="shared" si="4"/>
        <v>0</v>
      </c>
      <c r="BL609" s="1342"/>
      <c r="BM609" s="2"/>
      <c r="BN609" s="1344">
        <f t="shared" si="5"/>
        <v>0</v>
      </c>
      <c r="BO609" s="1345"/>
      <c r="BP609" s="1345"/>
      <c r="BQ609" s="1345"/>
      <c r="BR609" s="1346"/>
      <c r="BS609" s="1347">
        <f t="shared" si="6"/>
        <v>0</v>
      </c>
      <c r="BT609" s="1347"/>
      <c r="BU609" s="1347"/>
      <c r="BV609" s="1347"/>
      <c r="BW609" s="1347"/>
      <c r="BX609" s="1347">
        <f t="shared" si="7"/>
        <v>0</v>
      </c>
      <c r="BY609" s="1347"/>
      <c r="BZ609" s="1347"/>
      <c r="CA609" s="1347"/>
      <c r="CB609" s="1347"/>
      <c r="CC609" s="1347">
        <f t="shared" si="8"/>
        <v>0</v>
      </c>
      <c r="CD609" s="1347"/>
      <c r="CE609" s="1347"/>
      <c r="CF609" s="1347"/>
      <c r="CG609" s="1347"/>
      <c r="CH609" s="1347">
        <f t="shared" si="9"/>
        <v>0</v>
      </c>
      <c r="CI609" s="1347"/>
      <c r="CJ609" s="1347"/>
      <c r="CK609" s="1347"/>
      <c r="CL609" s="1347"/>
      <c r="CM609" s="1347">
        <f t="shared" si="10"/>
        <v>0</v>
      </c>
      <c r="CN609" s="1347"/>
      <c r="CO609" s="1347"/>
      <c r="CP609" s="1347"/>
      <c r="CQ609" s="1347"/>
      <c r="CR609" s="1141"/>
      <c r="CS609" s="1343">
        <f t="shared" si="11"/>
        <v>0</v>
      </c>
      <c r="CT609" s="1343"/>
      <c r="CU609" s="1343"/>
      <c r="CV609" s="1343"/>
      <c r="CW609" s="1343"/>
      <c r="CX609" s="1343">
        <f t="shared" si="12"/>
        <v>0</v>
      </c>
      <c r="CY609" s="1343"/>
      <c r="CZ609" s="1343"/>
      <c r="DA609" s="1343"/>
      <c r="DB609" s="1343"/>
      <c r="DC609" s="1343">
        <f t="shared" si="13"/>
        <v>0</v>
      </c>
      <c r="DD609" s="1343"/>
      <c r="DE609" s="1343"/>
      <c r="DF609" s="1343"/>
      <c r="DG609" s="1343"/>
      <c r="DH609" s="1343">
        <f t="shared" si="14"/>
        <v>0</v>
      </c>
      <c r="DI609" s="1343"/>
      <c r="DJ609" s="1343"/>
      <c r="DK609" s="1343"/>
      <c r="DL609" s="1343"/>
      <c r="DM609" s="1343">
        <f t="shared" si="15"/>
        <v>0</v>
      </c>
      <c r="DN609" s="1343"/>
      <c r="DO609" s="1343"/>
      <c r="DP609" s="1343"/>
      <c r="DQ609" s="1343"/>
      <c r="DR609" s="1343">
        <f t="shared" si="16"/>
        <v>0</v>
      </c>
      <c r="DS609" s="1343"/>
      <c r="DT609" s="1343"/>
      <c r="DU609" s="1343"/>
      <c r="DV609" s="1343"/>
      <c r="DX609" s="1340" t="str">
        <f t="shared" si="17"/>
        <v/>
      </c>
      <c r="DY609" s="1341"/>
      <c r="DZ609" s="1341"/>
      <c r="EA609" s="1341"/>
      <c r="EB609" s="1342"/>
      <c r="EC609" s="1340" t="str">
        <f t="shared" si="18"/>
        <v/>
      </c>
      <c r="ED609" s="1341"/>
      <c r="EE609" s="1341"/>
      <c r="EF609" s="1341"/>
      <c r="EG609" s="1342"/>
      <c r="EH609" s="1340" t="str">
        <f t="shared" si="19"/>
        <v/>
      </c>
      <c r="EI609" s="1341"/>
      <c r="EJ609" s="1341"/>
      <c r="EK609" s="1341"/>
      <c r="EL609" s="1342"/>
      <c r="EM609" s="1340" t="str">
        <f t="shared" si="20"/>
        <v/>
      </c>
      <c r="EN609" s="1341"/>
      <c r="EO609" s="1341"/>
      <c r="EP609" s="1341"/>
      <c r="EQ609" s="1342"/>
      <c r="ER609" s="1340" t="str">
        <f t="shared" si="21"/>
        <v/>
      </c>
      <c r="ES609" s="1341"/>
      <c r="ET609" s="1341"/>
      <c r="EU609" s="1341"/>
      <c r="EV609" s="1342"/>
      <c r="EW609" s="1340" t="str">
        <f t="shared" si="22"/>
        <v/>
      </c>
      <c r="EX609" s="1341"/>
      <c r="EY609" s="1341"/>
      <c r="EZ609" s="1341"/>
      <c r="FA609" s="1342"/>
    </row>
    <row r="610" spans="1:157" ht="13" customHeight="1">
      <c r="B610" t="s">
        <v>1111</v>
      </c>
      <c r="G610" s="1405"/>
      <c r="H610" s="1405"/>
      <c r="I610" s="1405"/>
      <c r="J610" s="1405"/>
      <c r="K610" s="1405"/>
      <c r="L610" s="1405"/>
      <c r="M610" s="1405"/>
      <c r="N610" s="1405"/>
      <c r="O610" s="1405"/>
      <c r="P610" s="1405"/>
      <c r="Q610" s="1405"/>
      <c r="R610" s="1405"/>
      <c r="U610" t="s">
        <v>1111</v>
      </c>
      <c r="Z610" s="1405"/>
      <c r="AA610" s="1405"/>
      <c r="AB610" s="1405"/>
      <c r="AC610" s="1405"/>
      <c r="AD610" s="1405"/>
      <c r="AE610" s="1405"/>
      <c r="AF610" s="1405"/>
      <c r="AG610" s="1405"/>
      <c r="AH610" s="1405"/>
      <c r="AI610" s="1405"/>
      <c r="AJ610" s="1405"/>
      <c r="AK610" s="1405"/>
      <c r="AZ610" s="2"/>
      <c r="BA610" s="2"/>
      <c r="BB610" s="2"/>
      <c r="BC610" s="2"/>
      <c r="BD610" s="2"/>
      <c r="BE610" s="1340">
        <f t="shared" si="1"/>
        <v>0</v>
      </c>
      <c r="BF610" s="1342"/>
      <c r="BG610" s="1340">
        <f t="shared" si="2"/>
        <v>0</v>
      </c>
      <c r="BH610" s="1342"/>
      <c r="BI610" s="1340">
        <f t="shared" si="3"/>
        <v>0</v>
      </c>
      <c r="BJ610" s="1342"/>
      <c r="BK610" s="1340">
        <f t="shared" si="4"/>
        <v>0</v>
      </c>
      <c r="BL610" s="1342"/>
      <c r="BM610" s="2"/>
      <c r="BN610" s="1344">
        <f t="shared" si="5"/>
        <v>0</v>
      </c>
      <c r="BO610" s="1345"/>
      <c r="BP610" s="1345"/>
      <c r="BQ610" s="1345"/>
      <c r="BR610" s="1346"/>
      <c r="BS610" s="1347">
        <f t="shared" si="6"/>
        <v>0</v>
      </c>
      <c r="BT610" s="1347"/>
      <c r="BU610" s="1347"/>
      <c r="BV610" s="1347"/>
      <c r="BW610" s="1347"/>
      <c r="BX610" s="1347">
        <f t="shared" si="7"/>
        <v>0</v>
      </c>
      <c r="BY610" s="1347"/>
      <c r="BZ610" s="1347"/>
      <c r="CA610" s="1347"/>
      <c r="CB610" s="1347"/>
      <c r="CC610" s="1347">
        <f t="shared" si="8"/>
        <v>0</v>
      </c>
      <c r="CD610" s="1347"/>
      <c r="CE610" s="1347"/>
      <c r="CF610" s="1347"/>
      <c r="CG610" s="1347"/>
      <c r="CH610" s="1347">
        <f t="shared" si="9"/>
        <v>0</v>
      </c>
      <c r="CI610" s="1347"/>
      <c r="CJ610" s="1347"/>
      <c r="CK610" s="1347"/>
      <c r="CL610" s="1347"/>
      <c r="CM610" s="1347">
        <f t="shared" si="10"/>
        <v>0</v>
      </c>
      <c r="CN610" s="1347"/>
      <c r="CO610" s="1347"/>
      <c r="CP610" s="1347"/>
      <c r="CQ610" s="1347"/>
      <c r="CR610" s="1141"/>
      <c r="CS610" s="1343">
        <f t="shared" si="11"/>
        <v>0</v>
      </c>
      <c r="CT610" s="1343"/>
      <c r="CU610" s="1343"/>
      <c r="CV610" s="1343"/>
      <c r="CW610" s="1343"/>
      <c r="CX610" s="1343">
        <f t="shared" si="12"/>
        <v>0</v>
      </c>
      <c r="CY610" s="1343"/>
      <c r="CZ610" s="1343"/>
      <c r="DA610" s="1343"/>
      <c r="DB610" s="1343"/>
      <c r="DC610" s="1343">
        <f t="shared" si="13"/>
        <v>0</v>
      </c>
      <c r="DD610" s="1343"/>
      <c r="DE610" s="1343"/>
      <c r="DF610" s="1343"/>
      <c r="DG610" s="1343"/>
      <c r="DH610" s="1343">
        <f t="shared" si="14"/>
        <v>0</v>
      </c>
      <c r="DI610" s="1343"/>
      <c r="DJ610" s="1343"/>
      <c r="DK610" s="1343"/>
      <c r="DL610" s="1343"/>
      <c r="DM610" s="1343">
        <f t="shared" si="15"/>
        <v>0</v>
      </c>
      <c r="DN610" s="1343"/>
      <c r="DO610" s="1343"/>
      <c r="DP610" s="1343"/>
      <c r="DQ610" s="1343"/>
      <c r="DR610" s="1343">
        <f t="shared" si="16"/>
        <v>0</v>
      </c>
      <c r="DS610" s="1343"/>
      <c r="DT610" s="1343"/>
      <c r="DU610" s="1343"/>
      <c r="DV610" s="1343"/>
      <c r="DX610" s="1340" t="str">
        <f t="shared" si="17"/>
        <v/>
      </c>
      <c r="DY610" s="1341"/>
      <c r="DZ610" s="1341"/>
      <c r="EA610" s="1341"/>
      <c r="EB610" s="1342"/>
      <c r="EC610" s="1340" t="str">
        <f t="shared" si="18"/>
        <v/>
      </c>
      <c r="ED610" s="1341"/>
      <c r="EE610" s="1341"/>
      <c r="EF610" s="1341"/>
      <c r="EG610" s="1342"/>
      <c r="EH610" s="1340" t="str">
        <f t="shared" si="19"/>
        <v/>
      </c>
      <c r="EI610" s="1341"/>
      <c r="EJ610" s="1341"/>
      <c r="EK610" s="1341"/>
      <c r="EL610" s="1342"/>
      <c r="EM610" s="1340" t="str">
        <f t="shared" si="20"/>
        <v/>
      </c>
      <c r="EN610" s="1341"/>
      <c r="EO610" s="1341"/>
      <c r="EP610" s="1341"/>
      <c r="EQ610" s="1342"/>
      <c r="ER610" s="1340" t="str">
        <f t="shared" si="21"/>
        <v/>
      </c>
      <c r="ES610" s="1341"/>
      <c r="ET610" s="1341"/>
      <c r="EU610" s="1341"/>
      <c r="EV610" s="1342"/>
      <c r="EW610" s="1340" t="str">
        <f t="shared" si="22"/>
        <v/>
      </c>
      <c r="EX610" s="1341"/>
      <c r="EY610" s="1341"/>
      <c r="EZ610" s="1341"/>
      <c r="FA610" s="1342"/>
    </row>
    <row r="611" spans="1:157" ht="13" customHeight="1">
      <c r="B611" t="s">
        <v>980</v>
      </c>
      <c r="G611" s="1405"/>
      <c r="H611" s="1405"/>
      <c r="I611" s="1405"/>
      <c r="J611" s="1405"/>
      <c r="K611" s="1405"/>
      <c r="L611" s="1405"/>
      <c r="M611" s="1405"/>
      <c r="N611" s="1405"/>
      <c r="O611" s="1405"/>
      <c r="P611" s="1405"/>
      <c r="Q611" s="1405"/>
      <c r="R611" s="1405"/>
      <c r="U611" t="s">
        <v>980</v>
      </c>
      <c r="Z611" s="1353"/>
      <c r="AA611" s="1353"/>
      <c r="AB611" s="1353"/>
      <c r="AC611" s="1353"/>
      <c r="AD611" s="1353"/>
      <c r="AE611" s="1353"/>
      <c r="AF611" s="1353"/>
      <c r="AG611" s="1353"/>
      <c r="AH611" s="1353"/>
      <c r="AI611" s="1353"/>
      <c r="AJ611" s="1353"/>
      <c r="AK611" s="1353"/>
      <c r="AZ611" s="2"/>
      <c r="BA611" s="2"/>
      <c r="BB611" s="2"/>
      <c r="BC611" s="2"/>
      <c r="BD611" s="2"/>
      <c r="BE611" s="1340">
        <f t="shared" si="1"/>
        <v>0</v>
      </c>
      <c r="BF611" s="1342"/>
      <c r="BG611" s="1340">
        <f t="shared" si="2"/>
        <v>0</v>
      </c>
      <c r="BH611" s="1342"/>
      <c r="BI611" s="1340">
        <f t="shared" si="3"/>
        <v>0</v>
      </c>
      <c r="BJ611" s="1342"/>
      <c r="BK611" s="1340">
        <f t="shared" si="4"/>
        <v>0</v>
      </c>
      <c r="BL611" s="1342"/>
      <c r="BM611" s="2"/>
      <c r="BN611" s="1344">
        <f t="shared" si="5"/>
        <v>0</v>
      </c>
      <c r="BO611" s="1345"/>
      <c r="BP611" s="1345"/>
      <c r="BQ611" s="1345"/>
      <c r="BR611" s="1346"/>
      <c r="BS611" s="1347">
        <f t="shared" si="6"/>
        <v>0</v>
      </c>
      <c r="BT611" s="1347"/>
      <c r="BU611" s="1347"/>
      <c r="BV611" s="1347"/>
      <c r="BW611" s="1347"/>
      <c r="BX611" s="1347">
        <f t="shared" si="7"/>
        <v>0</v>
      </c>
      <c r="BY611" s="1347"/>
      <c r="BZ611" s="1347"/>
      <c r="CA611" s="1347"/>
      <c r="CB611" s="1347"/>
      <c r="CC611" s="1347">
        <f t="shared" si="8"/>
        <v>0</v>
      </c>
      <c r="CD611" s="1347"/>
      <c r="CE611" s="1347"/>
      <c r="CF611" s="1347"/>
      <c r="CG611" s="1347"/>
      <c r="CH611" s="1347">
        <f t="shared" si="9"/>
        <v>0</v>
      </c>
      <c r="CI611" s="1347"/>
      <c r="CJ611" s="1347"/>
      <c r="CK611" s="1347"/>
      <c r="CL611" s="1347"/>
      <c r="CM611" s="1347">
        <f t="shared" si="10"/>
        <v>0</v>
      </c>
      <c r="CN611" s="1347"/>
      <c r="CO611" s="1347"/>
      <c r="CP611" s="1347"/>
      <c r="CQ611" s="1347"/>
      <c r="CR611" s="1141"/>
      <c r="CS611" s="1343">
        <f t="shared" si="11"/>
        <v>0</v>
      </c>
      <c r="CT611" s="1343"/>
      <c r="CU611" s="1343"/>
      <c r="CV611" s="1343"/>
      <c r="CW611" s="1343"/>
      <c r="CX611" s="1343">
        <f t="shared" si="12"/>
        <v>0</v>
      </c>
      <c r="CY611" s="1343"/>
      <c r="CZ611" s="1343"/>
      <c r="DA611" s="1343"/>
      <c r="DB611" s="1343"/>
      <c r="DC611" s="1343">
        <f t="shared" si="13"/>
        <v>0</v>
      </c>
      <c r="DD611" s="1343"/>
      <c r="DE611" s="1343"/>
      <c r="DF611" s="1343"/>
      <c r="DG611" s="1343"/>
      <c r="DH611" s="1343">
        <f t="shared" si="14"/>
        <v>0</v>
      </c>
      <c r="DI611" s="1343"/>
      <c r="DJ611" s="1343"/>
      <c r="DK611" s="1343"/>
      <c r="DL611" s="1343"/>
      <c r="DM611" s="1343">
        <f t="shared" si="15"/>
        <v>0</v>
      </c>
      <c r="DN611" s="1343"/>
      <c r="DO611" s="1343"/>
      <c r="DP611" s="1343"/>
      <c r="DQ611" s="1343"/>
      <c r="DR611" s="1343">
        <f t="shared" si="16"/>
        <v>0</v>
      </c>
      <c r="DS611" s="1343"/>
      <c r="DT611" s="1343"/>
      <c r="DU611" s="1343"/>
      <c r="DV611" s="1343"/>
      <c r="DX611" s="1340" t="str">
        <f t="shared" si="17"/>
        <v/>
      </c>
      <c r="DY611" s="1341"/>
      <c r="DZ611" s="1341"/>
      <c r="EA611" s="1341"/>
      <c r="EB611" s="1342"/>
      <c r="EC611" s="1340" t="str">
        <f t="shared" si="18"/>
        <v/>
      </c>
      <c r="ED611" s="1341"/>
      <c r="EE611" s="1341"/>
      <c r="EF611" s="1341"/>
      <c r="EG611" s="1342"/>
      <c r="EH611" s="1340" t="str">
        <f t="shared" si="19"/>
        <v/>
      </c>
      <c r="EI611" s="1341"/>
      <c r="EJ611" s="1341"/>
      <c r="EK611" s="1341"/>
      <c r="EL611" s="1342"/>
      <c r="EM611" s="1340" t="str">
        <f t="shared" si="20"/>
        <v/>
      </c>
      <c r="EN611" s="1341"/>
      <c r="EO611" s="1341"/>
      <c r="EP611" s="1341"/>
      <c r="EQ611" s="1342"/>
      <c r="ER611" s="1340" t="str">
        <f t="shared" si="21"/>
        <v/>
      </c>
      <c r="ES611" s="1341"/>
      <c r="ET611" s="1341"/>
      <c r="EU611" s="1341"/>
      <c r="EV611" s="1342"/>
      <c r="EW611" s="1340" t="str">
        <f t="shared" si="22"/>
        <v/>
      </c>
      <c r="EX611" s="1341"/>
      <c r="EY611" s="1341"/>
      <c r="EZ611" s="1341"/>
      <c r="FA611" s="1342"/>
    </row>
    <row r="612" spans="1:157" ht="13" customHeight="1">
      <c r="B612" t="s">
        <v>1474</v>
      </c>
      <c r="G612" s="1405"/>
      <c r="H612" s="1405"/>
      <c r="I612" s="1405"/>
      <c r="J612" s="1405"/>
      <c r="K612" s="1405"/>
      <c r="L612" s="1405"/>
      <c r="M612" s="1405"/>
      <c r="N612" s="1405"/>
      <c r="O612" s="1405"/>
      <c r="P612" s="1405"/>
      <c r="Q612" s="1405"/>
      <c r="R612" s="1405"/>
      <c r="U612" t="s">
        <v>1474</v>
      </c>
      <c r="Z612" s="1353"/>
      <c r="AA612" s="1353"/>
      <c r="AB612" s="1353"/>
      <c r="AC612" s="1353"/>
      <c r="AD612" s="1353"/>
      <c r="AE612" s="1353"/>
      <c r="AF612" s="1353"/>
      <c r="AG612" s="1353"/>
      <c r="AH612" s="1353"/>
      <c r="AI612" s="1353"/>
      <c r="AJ612" s="1353"/>
      <c r="AK612" s="1353"/>
      <c r="AZ612" s="2"/>
      <c r="BA612" s="2"/>
      <c r="BB612" s="2"/>
      <c r="BC612" s="2"/>
      <c r="BD612" s="2"/>
      <c r="BE612" s="1340">
        <f t="shared" si="1"/>
        <v>0</v>
      </c>
      <c r="BF612" s="1342"/>
      <c r="BG612" s="1340">
        <f t="shared" si="2"/>
        <v>0</v>
      </c>
      <c r="BH612" s="1342"/>
      <c r="BI612" s="1340">
        <f t="shared" si="3"/>
        <v>0</v>
      </c>
      <c r="BJ612" s="1342"/>
      <c r="BK612" s="1340">
        <f t="shared" si="4"/>
        <v>0</v>
      </c>
      <c r="BL612" s="1342"/>
      <c r="BM612" s="2"/>
      <c r="BN612" s="1344">
        <f t="shared" si="5"/>
        <v>0</v>
      </c>
      <c r="BO612" s="1345"/>
      <c r="BP612" s="1345"/>
      <c r="BQ612" s="1345"/>
      <c r="BR612" s="1346"/>
      <c r="BS612" s="1347">
        <f t="shared" si="6"/>
        <v>0</v>
      </c>
      <c r="BT612" s="1347"/>
      <c r="BU612" s="1347"/>
      <c r="BV612" s="1347"/>
      <c r="BW612" s="1347"/>
      <c r="BX612" s="1347">
        <f t="shared" si="7"/>
        <v>0</v>
      </c>
      <c r="BY612" s="1347"/>
      <c r="BZ612" s="1347"/>
      <c r="CA612" s="1347"/>
      <c r="CB612" s="1347"/>
      <c r="CC612" s="1347">
        <f t="shared" si="8"/>
        <v>0</v>
      </c>
      <c r="CD612" s="1347"/>
      <c r="CE612" s="1347"/>
      <c r="CF612" s="1347"/>
      <c r="CG612" s="1347"/>
      <c r="CH612" s="1347">
        <f t="shared" si="9"/>
        <v>0</v>
      </c>
      <c r="CI612" s="1347"/>
      <c r="CJ612" s="1347"/>
      <c r="CK612" s="1347"/>
      <c r="CL612" s="1347"/>
      <c r="CM612" s="1347">
        <f t="shared" si="10"/>
        <v>0</v>
      </c>
      <c r="CN612" s="1347"/>
      <c r="CO612" s="1347"/>
      <c r="CP612" s="1347"/>
      <c r="CQ612" s="1347"/>
      <c r="CR612" s="1141"/>
      <c r="CS612" s="1343">
        <f t="shared" si="11"/>
        <v>0</v>
      </c>
      <c r="CT612" s="1343"/>
      <c r="CU612" s="1343"/>
      <c r="CV612" s="1343"/>
      <c r="CW612" s="1343"/>
      <c r="CX612" s="1343">
        <f t="shared" si="12"/>
        <v>0</v>
      </c>
      <c r="CY612" s="1343"/>
      <c r="CZ612" s="1343"/>
      <c r="DA612" s="1343"/>
      <c r="DB612" s="1343"/>
      <c r="DC612" s="1343">
        <f t="shared" si="13"/>
        <v>0</v>
      </c>
      <c r="DD612" s="1343"/>
      <c r="DE612" s="1343"/>
      <c r="DF612" s="1343"/>
      <c r="DG612" s="1343"/>
      <c r="DH612" s="1343">
        <f t="shared" si="14"/>
        <v>0</v>
      </c>
      <c r="DI612" s="1343"/>
      <c r="DJ612" s="1343"/>
      <c r="DK612" s="1343"/>
      <c r="DL612" s="1343"/>
      <c r="DM612" s="1343">
        <f t="shared" si="15"/>
        <v>0</v>
      </c>
      <c r="DN612" s="1343"/>
      <c r="DO612" s="1343"/>
      <c r="DP612" s="1343"/>
      <c r="DQ612" s="1343"/>
      <c r="DR612" s="1343">
        <f t="shared" si="16"/>
        <v>0</v>
      </c>
      <c r="DS612" s="1343"/>
      <c r="DT612" s="1343"/>
      <c r="DU612" s="1343"/>
      <c r="DV612" s="1343"/>
      <c r="DX612" s="1340" t="str">
        <f t="shared" si="17"/>
        <v/>
      </c>
      <c r="DY612" s="1341"/>
      <c r="DZ612" s="1341"/>
      <c r="EA612" s="1341"/>
      <c r="EB612" s="1342"/>
      <c r="EC612" s="1340" t="str">
        <f t="shared" si="18"/>
        <v/>
      </c>
      <c r="ED612" s="1341"/>
      <c r="EE612" s="1341"/>
      <c r="EF612" s="1341"/>
      <c r="EG612" s="1342"/>
      <c r="EH612" s="1340" t="str">
        <f t="shared" si="19"/>
        <v/>
      </c>
      <c r="EI612" s="1341"/>
      <c r="EJ612" s="1341"/>
      <c r="EK612" s="1341"/>
      <c r="EL612" s="1342"/>
      <c r="EM612" s="1340" t="str">
        <f t="shared" si="20"/>
        <v/>
      </c>
      <c r="EN612" s="1341"/>
      <c r="EO612" s="1341"/>
      <c r="EP612" s="1341"/>
      <c r="EQ612" s="1342"/>
      <c r="ER612" s="1340" t="str">
        <f t="shared" si="21"/>
        <v/>
      </c>
      <c r="ES612" s="1341"/>
      <c r="ET612" s="1341"/>
      <c r="EU612" s="1341"/>
      <c r="EV612" s="1342"/>
      <c r="EW612" s="1340" t="str">
        <f t="shared" si="22"/>
        <v/>
      </c>
      <c r="EX612" s="1341"/>
      <c r="EY612" s="1341"/>
      <c r="EZ612" s="1341"/>
      <c r="FA612" s="1342"/>
    </row>
    <row r="613" spans="1:157" ht="13" customHeight="1">
      <c r="B613" t="s">
        <v>883</v>
      </c>
      <c r="G613" s="1418"/>
      <c r="H613" s="1418"/>
      <c r="I613" s="1418"/>
      <c r="J613" s="1418"/>
      <c r="K613" s="1418"/>
      <c r="L613" s="1418"/>
      <c r="O613" s="840" t="s">
        <v>1120</v>
      </c>
      <c r="P613" s="1434"/>
      <c r="Q613" s="1434"/>
      <c r="R613" s="1434"/>
      <c r="U613" t="s">
        <v>883</v>
      </c>
      <c r="Z613" s="1418"/>
      <c r="AA613" s="1418"/>
      <c r="AB613" s="1418"/>
      <c r="AC613" s="1418"/>
      <c r="AD613" s="1418"/>
      <c r="AE613" s="1418"/>
      <c r="AH613" s="840" t="s">
        <v>1120</v>
      </c>
      <c r="AI613" s="1434"/>
      <c r="AJ613" s="1434"/>
      <c r="AK613" s="1434"/>
      <c r="AZ613" s="2"/>
      <c r="BA613" s="2"/>
      <c r="BB613" s="2"/>
      <c r="BC613" s="2"/>
      <c r="BD613" s="2"/>
      <c r="BE613" s="1340">
        <f t="shared" si="1"/>
        <v>0</v>
      </c>
      <c r="BF613" s="1342"/>
      <c r="BG613" s="1340">
        <f t="shared" si="2"/>
        <v>0</v>
      </c>
      <c r="BH613" s="1342"/>
      <c r="BI613" s="1340">
        <f t="shared" si="3"/>
        <v>0</v>
      </c>
      <c r="BJ613" s="1342"/>
      <c r="BK613" s="1340">
        <f t="shared" si="4"/>
        <v>0</v>
      </c>
      <c r="BL613" s="1342"/>
      <c r="BM613" s="2"/>
      <c r="BN613" s="1344">
        <f t="shared" si="5"/>
        <v>0</v>
      </c>
      <c r="BO613" s="1345"/>
      <c r="BP613" s="1345"/>
      <c r="BQ613" s="1345"/>
      <c r="BR613" s="1346"/>
      <c r="BS613" s="1347">
        <f t="shared" si="6"/>
        <v>0</v>
      </c>
      <c r="BT613" s="1347"/>
      <c r="BU613" s="1347"/>
      <c r="BV613" s="1347"/>
      <c r="BW613" s="1347"/>
      <c r="BX613" s="1347">
        <f t="shared" si="7"/>
        <v>0</v>
      </c>
      <c r="BY613" s="1347"/>
      <c r="BZ613" s="1347"/>
      <c r="CA613" s="1347"/>
      <c r="CB613" s="1347"/>
      <c r="CC613" s="1347">
        <f t="shared" si="8"/>
        <v>0</v>
      </c>
      <c r="CD613" s="1347"/>
      <c r="CE613" s="1347"/>
      <c r="CF613" s="1347"/>
      <c r="CG613" s="1347"/>
      <c r="CH613" s="1347">
        <f t="shared" si="9"/>
        <v>0</v>
      </c>
      <c r="CI613" s="1347"/>
      <c r="CJ613" s="1347"/>
      <c r="CK613" s="1347"/>
      <c r="CL613" s="1347"/>
      <c r="CM613" s="1347">
        <f t="shared" si="10"/>
        <v>0</v>
      </c>
      <c r="CN613" s="1347"/>
      <c r="CO613" s="1347"/>
      <c r="CP613" s="1347"/>
      <c r="CQ613" s="1347"/>
      <c r="CR613" s="1141"/>
      <c r="CS613" s="1343">
        <f t="shared" si="11"/>
        <v>0</v>
      </c>
      <c r="CT613" s="1343"/>
      <c r="CU613" s="1343"/>
      <c r="CV613" s="1343"/>
      <c r="CW613" s="1343"/>
      <c r="CX613" s="1343">
        <f t="shared" si="12"/>
        <v>0</v>
      </c>
      <c r="CY613" s="1343"/>
      <c r="CZ613" s="1343"/>
      <c r="DA613" s="1343"/>
      <c r="DB613" s="1343"/>
      <c r="DC613" s="1343">
        <f t="shared" si="13"/>
        <v>0</v>
      </c>
      <c r="DD613" s="1343"/>
      <c r="DE613" s="1343"/>
      <c r="DF613" s="1343"/>
      <c r="DG613" s="1343"/>
      <c r="DH613" s="1343">
        <f t="shared" si="14"/>
        <v>0</v>
      </c>
      <c r="DI613" s="1343"/>
      <c r="DJ613" s="1343"/>
      <c r="DK613" s="1343"/>
      <c r="DL613" s="1343"/>
      <c r="DM613" s="1343">
        <f t="shared" si="15"/>
        <v>0</v>
      </c>
      <c r="DN613" s="1343"/>
      <c r="DO613" s="1343"/>
      <c r="DP613" s="1343"/>
      <c r="DQ613" s="1343"/>
      <c r="DR613" s="1343">
        <f t="shared" si="16"/>
        <v>0</v>
      </c>
      <c r="DS613" s="1343"/>
      <c r="DT613" s="1343"/>
      <c r="DU613" s="1343"/>
      <c r="DV613" s="1343"/>
      <c r="DX613" s="1340" t="str">
        <f t="shared" si="17"/>
        <v/>
      </c>
      <c r="DY613" s="1341"/>
      <c r="DZ613" s="1341"/>
      <c r="EA613" s="1341"/>
      <c r="EB613" s="1342"/>
      <c r="EC613" s="1340" t="str">
        <f t="shared" si="18"/>
        <v/>
      </c>
      <c r="ED613" s="1341"/>
      <c r="EE613" s="1341"/>
      <c r="EF613" s="1341"/>
      <c r="EG613" s="1342"/>
      <c r="EH613" s="1340" t="str">
        <f t="shared" si="19"/>
        <v/>
      </c>
      <c r="EI613" s="1341"/>
      <c r="EJ613" s="1341"/>
      <c r="EK613" s="1341"/>
      <c r="EL613" s="1342"/>
      <c r="EM613" s="1340" t="str">
        <f t="shared" si="20"/>
        <v/>
      </c>
      <c r="EN613" s="1341"/>
      <c r="EO613" s="1341"/>
      <c r="EP613" s="1341"/>
      <c r="EQ613" s="1342"/>
      <c r="ER613" s="1340" t="str">
        <f t="shared" si="21"/>
        <v/>
      </c>
      <c r="ES613" s="1341"/>
      <c r="ET613" s="1341"/>
      <c r="EU613" s="1341"/>
      <c r="EV613" s="1342"/>
      <c r="EW613" s="1340" t="str">
        <f t="shared" si="22"/>
        <v/>
      </c>
      <c r="EX613" s="1341"/>
      <c r="EY613" s="1341"/>
      <c r="EZ613" s="1341"/>
      <c r="FA613" s="1342"/>
    </row>
    <row r="614" spans="1:157" ht="13" customHeight="1">
      <c r="B614" t="s">
        <v>1477</v>
      </c>
      <c r="H614" s="1405"/>
      <c r="I614" s="1405"/>
      <c r="J614" s="1405"/>
      <c r="K614" s="1405"/>
      <c r="L614" s="1405"/>
      <c r="M614" s="1405"/>
      <c r="N614" s="1405"/>
      <c r="O614" s="1405"/>
      <c r="P614" s="1405"/>
      <c r="Q614" s="1405"/>
      <c r="R614" s="1405"/>
      <c r="U614" t="s">
        <v>1477</v>
      </c>
      <c r="AA614" s="1405"/>
      <c r="AB614" s="1405"/>
      <c r="AC614" s="1405"/>
      <c r="AD614" s="1405"/>
      <c r="AE614" s="1405"/>
      <c r="AF614" s="1405"/>
      <c r="AG614" s="1405"/>
      <c r="AH614" s="1405"/>
      <c r="AI614" s="1405"/>
      <c r="AJ614" s="1405"/>
      <c r="AK614" s="1405"/>
      <c r="AU614" s="731"/>
      <c r="AV614" s="731"/>
      <c r="AW614" s="731"/>
      <c r="AX614" s="731"/>
      <c r="AY614" s="731"/>
      <c r="AZ614" s="2"/>
      <c r="BA614" s="2"/>
      <c r="BB614" s="2"/>
      <c r="BC614" s="2"/>
      <c r="BD614" s="2"/>
      <c r="BE614" s="1340">
        <f t="shared" si="1"/>
        <v>0</v>
      </c>
      <c r="BF614" s="1342"/>
      <c r="BG614" s="1340">
        <f t="shared" si="2"/>
        <v>0</v>
      </c>
      <c r="BH614" s="1342"/>
      <c r="BI614" s="1340">
        <f t="shared" si="3"/>
        <v>0</v>
      </c>
      <c r="BJ614" s="1342"/>
      <c r="BK614" s="1340">
        <f t="shared" si="4"/>
        <v>0</v>
      </c>
      <c r="BL614" s="1342"/>
      <c r="BM614" s="2"/>
      <c r="BN614" s="1344">
        <f t="shared" si="5"/>
        <v>0</v>
      </c>
      <c r="BO614" s="1345"/>
      <c r="BP614" s="1345"/>
      <c r="BQ614" s="1345"/>
      <c r="BR614" s="1346"/>
      <c r="BS614" s="1347">
        <f t="shared" si="6"/>
        <v>0</v>
      </c>
      <c r="BT614" s="1347"/>
      <c r="BU614" s="1347"/>
      <c r="BV614" s="1347"/>
      <c r="BW614" s="1347"/>
      <c r="BX614" s="1347">
        <f t="shared" si="7"/>
        <v>0</v>
      </c>
      <c r="BY614" s="1347"/>
      <c r="BZ614" s="1347"/>
      <c r="CA614" s="1347"/>
      <c r="CB614" s="1347"/>
      <c r="CC614" s="1347">
        <f t="shared" si="8"/>
        <v>0</v>
      </c>
      <c r="CD614" s="1347"/>
      <c r="CE614" s="1347"/>
      <c r="CF614" s="1347"/>
      <c r="CG614" s="1347"/>
      <c r="CH614" s="1347">
        <f t="shared" si="9"/>
        <v>0</v>
      </c>
      <c r="CI614" s="1347"/>
      <c r="CJ614" s="1347"/>
      <c r="CK614" s="1347"/>
      <c r="CL614" s="1347"/>
      <c r="CM614" s="1347">
        <f t="shared" si="10"/>
        <v>0</v>
      </c>
      <c r="CN614" s="1347"/>
      <c r="CO614" s="1347"/>
      <c r="CP614" s="1347"/>
      <c r="CQ614" s="1347"/>
      <c r="CR614" s="1141"/>
      <c r="CS614" s="1343">
        <f t="shared" si="11"/>
        <v>0</v>
      </c>
      <c r="CT614" s="1343"/>
      <c r="CU614" s="1343"/>
      <c r="CV614" s="1343"/>
      <c r="CW614" s="1343"/>
      <c r="CX614" s="1343">
        <f t="shared" si="12"/>
        <v>0</v>
      </c>
      <c r="CY614" s="1343"/>
      <c r="CZ614" s="1343"/>
      <c r="DA614" s="1343"/>
      <c r="DB614" s="1343"/>
      <c r="DC614" s="1343">
        <f t="shared" si="13"/>
        <v>0</v>
      </c>
      <c r="DD614" s="1343"/>
      <c r="DE614" s="1343"/>
      <c r="DF614" s="1343"/>
      <c r="DG614" s="1343"/>
      <c r="DH614" s="1343">
        <f t="shared" si="14"/>
        <v>0</v>
      </c>
      <c r="DI614" s="1343"/>
      <c r="DJ614" s="1343"/>
      <c r="DK614" s="1343"/>
      <c r="DL614" s="1343"/>
      <c r="DM614" s="1343">
        <f t="shared" si="15"/>
        <v>0</v>
      </c>
      <c r="DN614" s="1343"/>
      <c r="DO614" s="1343"/>
      <c r="DP614" s="1343"/>
      <c r="DQ614" s="1343"/>
      <c r="DR614" s="1343">
        <f t="shared" si="16"/>
        <v>0</v>
      </c>
      <c r="DS614" s="1343"/>
      <c r="DT614" s="1343"/>
      <c r="DU614" s="1343"/>
      <c r="DV614" s="1343"/>
      <c r="DX614" s="1340" t="str">
        <f t="shared" si="17"/>
        <v/>
      </c>
      <c r="DY614" s="1341"/>
      <c r="DZ614" s="1341"/>
      <c r="EA614" s="1341"/>
      <c r="EB614" s="1342"/>
      <c r="EC614" s="1340" t="str">
        <f t="shared" si="18"/>
        <v/>
      </c>
      <c r="ED614" s="1341"/>
      <c r="EE614" s="1341"/>
      <c r="EF614" s="1341"/>
      <c r="EG614" s="1342"/>
      <c r="EH614" s="1340" t="str">
        <f t="shared" si="19"/>
        <v/>
      </c>
      <c r="EI614" s="1341"/>
      <c r="EJ614" s="1341"/>
      <c r="EK614" s="1341"/>
      <c r="EL614" s="1342"/>
      <c r="EM614" s="1340" t="str">
        <f t="shared" si="20"/>
        <v/>
      </c>
      <c r="EN614" s="1341"/>
      <c r="EO614" s="1341"/>
      <c r="EP614" s="1341"/>
      <c r="EQ614" s="1342"/>
      <c r="ER614" s="1340" t="str">
        <f t="shared" si="21"/>
        <v/>
      </c>
      <c r="ES614" s="1341"/>
      <c r="ET614" s="1341"/>
      <c r="EU614" s="1341"/>
      <c r="EV614" s="1342"/>
      <c r="EW614" s="1340" t="str">
        <f t="shared" si="22"/>
        <v/>
      </c>
      <c r="EX614" s="1341"/>
      <c r="EY614" s="1341"/>
      <c r="EZ614" s="1341"/>
      <c r="FA614" s="1342"/>
    </row>
    <row r="615" spans="1:157" ht="13" customHeight="1">
      <c r="B615" t="s">
        <v>1480</v>
      </c>
      <c r="N615" s="1361" t="s">
        <v>893</v>
      </c>
      <c r="O615" s="1361"/>
      <c r="U615" t="s">
        <v>1480</v>
      </c>
      <c r="AG615" s="1361" t="s">
        <v>893</v>
      </c>
      <c r="AH615" s="1361"/>
      <c r="AU615" s="731"/>
      <c r="AV615" s="731"/>
      <c r="AW615" s="731"/>
      <c r="AX615" s="731"/>
      <c r="AY615" s="731"/>
      <c r="AZ615" s="2"/>
      <c r="BA615" s="2"/>
      <c r="BB615" s="2"/>
      <c r="BC615" s="2"/>
      <c r="BD615" s="2"/>
      <c r="BE615" s="1340">
        <f t="shared" si="1"/>
        <v>0</v>
      </c>
      <c r="BF615" s="1342"/>
      <c r="BG615" s="1340">
        <f t="shared" si="2"/>
        <v>0</v>
      </c>
      <c r="BH615" s="1342"/>
      <c r="BI615" s="1340">
        <f t="shared" si="3"/>
        <v>0</v>
      </c>
      <c r="BJ615" s="1342"/>
      <c r="BK615" s="1340">
        <f t="shared" si="4"/>
        <v>0</v>
      </c>
      <c r="BL615" s="1342"/>
      <c r="BM615" s="2"/>
      <c r="BN615" s="1344">
        <f t="shared" si="5"/>
        <v>0</v>
      </c>
      <c r="BO615" s="1345"/>
      <c r="BP615" s="1345"/>
      <c r="BQ615" s="1345"/>
      <c r="BR615" s="1346"/>
      <c r="BS615" s="1347">
        <f t="shared" si="6"/>
        <v>0</v>
      </c>
      <c r="BT615" s="1347"/>
      <c r="BU615" s="1347"/>
      <c r="BV615" s="1347"/>
      <c r="BW615" s="1347"/>
      <c r="BX615" s="1347">
        <f t="shared" si="7"/>
        <v>0</v>
      </c>
      <c r="BY615" s="1347"/>
      <c r="BZ615" s="1347"/>
      <c r="CA615" s="1347"/>
      <c r="CB615" s="1347"/>
      <c r="CC615" s="1347">
        <f t="shared" si="8"/>
        <v>0</v>
      </c>
      <c r="CD615" s="1347"/>
      <c r="CE615" s="1347"/>
      <c r="CF615" s="1347"/>
      <c r="CG615" s="1347"/>
      <c r="CH615" s="1347">
        <f t="shared" si="9"/>
        <v>0</v>
      </c>
      <c r="CI615" s="1347"/>
      <c r="CJ615" s="1347"/>
      <c r="CK615" s="1347"/>
      <c r="CL615" s="1347"/>
      <c r="CM615" s="1347">
        <f t="shared" si="10"/>
        <v>0</v>
      </c>
      <c r="CN615" s="1347"/>
      <c r="CO615" s="1347"/>
      <c r="CP615" s="1347"/>
      <c r="CQ615" s="1347"/>
      <c r="CR615" s="1141"/>
      <c r="CS615" s="1343">
        <f t="shared" si="11"/>
        <v>0</v>
      </c>
      <c r="CT615" s="1343"/>
      <c r="CU615" s="1343"/>
      <c r="CV615" s="1343"/>
      <c r="CW615" s="1343"/>
      <c r="CX615" s="1343">
        <f t="shared" si="12"/>
        <v>0</v>
      </c>
      <c r="CY615" s="1343"/>
      <c r="CZ615" s="1343"/>
      <c r="DA615" s="1343"/>
      <c r="DB615" s="1343"/>
      <c r="DC615" s="1343">
        <f t="shared" si="13"/>
        <v>0</v>
      </c>
      <c r="DD615" s="1343"/>
      <c r="DE615" s="1343"/>
      <c r="DF615" s="1343"/>
      <c r="DG615" s="1343"/>
      <c r="DH615" s="1343">
        <f t="shared" si="14"/>
        <v>0</v>
      </c>
      <c r="DI615" s="1343"/>
      <c r="DJ615" s="1343"/>
      <c r="DK615" s="1343"/>
      <c r="DL615" s="1343"/>
      <c r="DM615" s="1343">
        <f t="shared" si="15"/>
        <v>0</v>
      </c>
      <c r="DN615" s="1343"/>
      <c r="DO615" s="1343"/>
      <c r="DP615" s="1343"/>
      <c r="DQ615" s="1343"/>
      <c r="DR615" s="1343">
        <f t="shared" si="16"/>
        <v>0</v>
      </c>
      <c r="DS615" s="1343"/>
      <c r="DT615" s="1343"/>
      <c r="DU615" s="1343"/>
      <c r="DV615" s="1343"/>
      <c r="DX615" s="1340" t="str">
        <f t="shared" si="17"/>
        <v/>
      </c>
      <c r="DY615" s="1341"/>
      <c r="DZ615" s="1341"/>
      <c r="EA615" s="1341"/>
      <c r="EB615" s="1342"/>
      <c r="EC615" s="1340" t="str">
        <f t="shared" si="18"/>
        <v/>
      </c>
      <c r="ED615" s="1341"/>
      <c r="EE615" s="1341"/>
      <c r="EF615" s="1341"/>
      <c r="EG615" s="1342"/>
      <c r="EH615" s="1340" t="str">
        <f t="shared" si="19"/>
        <v/>
      </c>
      <c r="EI615" s="1341"/>
      <c r="EJ615" s="1341"/>
      <c r="EK615" s="1341"/>
      <c r="EL615" s="1342"/>
      <c r="EM615" s="1340" t="str">
        <f t="shared" si="20"/>
        <v/>
      </c>
      <c r="EN615" s="1341"/>
      <c r="EO615" s="1341"/>
      <c r="EP615" s="1341"/>
      <c r="EQ615" s="1342"/>
      <c r="ER615" s="1340" t="str">
        <f t="shared" si="21"/>
        <v/>
      </c>
      <c r="ES615" s="1341"/>
      <c r="ET615" s="1341"/>
      <c r="EU615" s="1341"/>
      <c r="EV615" s="1342"/>
      <c r="EW615" s="1340" t="str">
        <f t="shared" si="22"/>
        <v/>
      </c>
      <c r="EX615" s="1341"/>
      <c r="EY615" s="1341"/>
      <c r="EZ615" s="1341"/>
      <c r="FA615" s="1342"/>
    </row>
    <row r="616" spans="1:157" ht="13" customHeight="1">
      <c r="AZ616" s="2"/>
      <c r="BA616" s="2"/>
      <c r="BB616" s="2"/>
      <c r="BC616" s="2"/>
      <c r="BD616" s="2"/>
      <c r="BE616" s="1340">
        <f t="shared" si="1"/>
        <v>0</v>
      </c>
      <c r="BF616" s="1342"/>
      <c r="BG616" s="1340">
        <f t="shared" si="2"/>
        <v>0</v>
      </c>
      <c r="BH616" s="1342"/>
      <c r="BI616" s="1340">
        <f t="shared" si="3"/>
        <v>0</v>
      </c>
      <c r="BJ616" s="1342"/>
      <c r="BK616" s="1340">
        <f t="shared" si="4"/>
        <v>0</v>
      </c>
      <c r="BL616" s="1342"/>
      <c r="BM616" s="2"/>
      <c r="BN616" s="1344">
        <f t="shared" si="5"/>
        <v>0</v>
      </c>
      <c r="BO616" s="1345"/>
      <c r="BP616" s="1345"/>
      <c r="BQ616" s="1345"/>
      <c r="BR616" s="1346"/>
      <c r="BS616" s="1347">
        <f t="shared" si="6"/>
        <v>0</v>
      </c>
      <c r="BT616" s="1347"/>
      <c r="BU616" s="1347"/>
      <c r="BV616" s="1347"/>
      <c r="BW616" s="1347"/>
      <c r="BX616" s="1347">
        <f t="shared" si="7"/>
        <v>0</v>
      </c>
      <c r="BY616" s="1347"/>
      <c r="BZ616" s="1347"/>
      <c r="CA616" s="1347"/>
      <c r="CB616" s="1347"/>
      <c r="CC616" s="1347">
        <f t="shared" si="8"/>
        <v>0</v>
      </c>
      <c r="CD616" s="1347"/>
      <c r="CE616" s="1347"/>
      <c r="CF616" s="1347"/>
      <c r="CG616" s="1347"/>
      <c r="CH616" s="1347">
        <f t="shared" si="9"/>
        <v>0</v>
      </c>
      <c r="CI616" s="1347"/>
      <c r="CJ616" s="1347"/>
      <c r="CK616" s="1347"/>
      <c r="CL616" s="1347"/>
      <c r="CM616" s="1347">
        <f t="shared" si="10"/>
        <v>0</v>
      </c>
      <c r="CN616" s="1347"/>
      <c r="CO616" s="1347"/>
      <c r="CP616" s="1347"/>
      <c r="CQ616" s="1347"/>
      <c r="CR616" s="1141"/>
      <c r="CS616" s="1343">
        <f t="shared" si="11"/>
        <v>0</v>
      </c>
      <c r="CT616" s="1343"/>
      <c r="CU616" s="1343"/>
      <c r="CV616" s="1343"/>
      <c r="CW616" s="1343"/>
      <c r="CX616" s="1343">
        <f t="shared" si="12"/>
        <v>0</v>
      </c>
      <c r="CY616" s="1343"/>
      <c r="CZ616" s="1343"/>
      <c r="DA616" s="1343"/>
      <c r="DB616" s="1343"/>
      <c r="DC616" s="1343">
        <f t="shared" si="13"/>
        <v>0</v>
      </c>
      <c r="DD616" s="1343"/>
      <c r="DE616" s="1343"/>
      <c r="DF616" s="1343"/>
      <c r="DG616" s="1343"/>
      <c r="DH616" s="1343">
        <f t="shared" si="14"/>
        <v>0</v>
      </c>
      <c r="DI616" s="1343"/>
      <c r="DJ616" s="1343"/>
      <c r="DK616" s="1343"/>
      <c r="DL616" s="1343"/>
      <c r="DM616" s="1343">
        <f t="shared" si="15"/>
        <v>0</v>
      </c>
      <c r="DN616" s="1343"/>
      <c r="DO616" s="1343"/>
      <c r="DP616" s="1343"/>
      <c r="DQ616" s="1343"/>
      <c r="DR616" s="1343">
        <f t="shared" si="16"/>
        <v>0</v>
      </c>
      <c r="DS616" s="1343"/>
      <c r="DT616" s="1343"/>
      <c r="DU616" s="1343"/>
      <c r="DV616" s="1343"/>
      <c r="DX616" s="1340" t="str">
        <f t="shared" si="17"/>
        <v/>
      </c>
      <c r="DY616" s="1341"/>
      <c r="DZ616" s="1341"/>
      <c r="EA616" s="1341"/>
      <c r="EB616" s="1342"/>
      <c r="EC616" s="1340" t="str">
        <f t="shared" si="18"/>
        <v/>
      </c>
      <c r="ED616" s="1341"/>
      <c r="EE616" s="1341"/>
      <c r="EF616" s="1341"/>
      <c r="EG616" s="1342"/>
      <c r="EH616" s="1340" t="str">
        <f t="shared" si="19"/>
        <v/>
      </c>
      <c r="EI616" s="1341"/>
      <c r="EJ616" s="1341"/>
      <c r="EK616" s="1341"/>
      <c r="EL616" s="1342"/>
      <c r="EM616" s="1340" t="str">
        <f t="shared" si="20"/>
        <v/>
      </c>
      <c r="EN616" s="1341"/>
      <c r="EO616" s="1341"/>
      <c r="EP616" s="1341"/>
      <c r="EQ616" s="1342"/>
      <c r="ER616" s="1340" t="str">
        <f t="shared" si="21"/>
        <v/>
      </c>
      <c r="ES616" s="1341"/>
      <c r="ET616" s="1341"/>
      <c r="EU616" s="1341"/>
      <c r="EV616" s="1342"/>
      <c r="EW616" s="1340" t="str">
        <f t="shared" si="22"/>
        <v/>
      </c>
      <c r="EX616" s="1341"/>
      <c r="EY616" s="1341"/>
      <c r="EZ616" s="1341"/>
      <c r="FA616" s="1342"/>
    </row>
    <row r="617" spans="1:157" ht="13" customHeight="1">
      <c r="A617" s="1231" t="s">
        <v>1492</v>
      </c>
      <c r="B617" s="1231"/>
      <c r="C617" s="1231"/>
      <c r="D617" s="1231"/>
      <c r="E617" s="1231"/>
      <c r="F617" s="1231"/>
      <c r="G617" s="1231"/>
      <c r="H617" s="1231"/>
      <c r="I617" s="1231"/>
      <c r="J617" s="1231"/>
      <c r="K617" s="1231"/>
      <c r="L617" s="1231"/>
      <c r="M617" s="1231"/>
      <c r="N617" s="1231"/>
      <c r="O617" s="1231"/>
      <c r="P617" s="1231"/>
      <c r="Q617" s="1231"/>
      <c r="R617" s="1231"/>
      <c r="S617" s="1231"/>
      <c r="T617" s="1231"/>
      <c r="U617" s="1231"/>
      <c r="V617" s="1231"/>
      <c r="W617" s="1231"/>
      <c r="X617" s="1231"/>
      <c r="Y617" s="1231"/>
      <c r="Z617" s="1231"/>
      <c r="AA617" s="1231"/>
      <c r="AB617" s="1231"/>
      <c r="AC617" s="1231"/>
      <c r="AD617" s="1231"/>
      <c r="AE617" s="1231"/>
      <c r="AF617" s="1231"/>
      <c r="AG617" s="1231"/>
      <c r="AH617" s="1231"/>
      <c r="AI617" s="1231"/>
      <c r="AJ617" s="1231"/>
      <c r="AK617" s="1231"/>
      <c r="AL617" s="1231"/>
      <c r="AM617" s="1231"/>
      <c r="AN617" s="1231"/>
      <c r="AO617" s="1231"/>
      <c r="AP617" s="1231"/>
      <c r="AQ617" s="1231"/>
      <c r="AR617" s="1231"/>
      <c r="AS617" s="1231"/>
      <c r="AT617" s="1231"/>
      <c r="AZ617" s="2"/>
      <c r="BA617" s="2"/>
      <c r="BB617" s="2"/>
      <c r="BC617" s="2"/>
      <c r="BD617" s="2"/>
      <c r="BE617" s="1340">
        <f t="shared" si="1"/>
        <v>0</v>
      </c>
      <c r="BF617" s="1342"/>
      <c r="BG617" s="1340">
        <f t="shared" si="2"/>
        <v>0</v>
      </c>
      <c r="BH617" s="1342"/>
      <c r="BI617" s="1340">
        <f t="shared" si="3"/>
        <v>0</v>
      </c>
      <c r="BJ617" s="1342"/>
      <c r="BK617" s="1340">
        <f t="shared" si="4"/>
        <v>0</v>
      </c>
      <c r="BL617" s="1342"/>
      <c r="BM617" s="2"/>
      <c r="BN617" s="1344">
        <f t="shared" si="5"/>
        <v>0</v>
      </c>
      <c r="BO617" s="1345"/>
      <c r="BP617" s="1345"/>
      <c r="BQ617" s="1345"/>
      <c r="BR617" s="1346"/>
      <c r="BS617" s="1347">
        <f t="shared" si="6"/>
        <v>0</v>
      </c>
      <c r="BT617" s="1347"/>
      <c r="BU617" s="1347"/>
      <c r="BV617" s="1347"/>
      <c r="BW617" s="1347"/>
      <c r="BX617" s="1347">
        <f t="shared" si="7"/>
        <v>0</v>
      </c>
      <c r="BY617" s="1347"/>
      <c r="BZ617" s="1347"/>
      <c r="CA617" s="1347"/>
      <c r="CB617" s="1347"/>
      <c r="CC617" s="1347">
        <f t="shared" si="8"/>
        <v>0</v>
      </c>
      <c r="CD617" s="1347"/>
      <c r="CE617" s="1347"/>
      <c r="CF617" s="1347"/>
      <c r="CG617" s="1347"/>
      <c r="CH617" s="1347">
        <f t="shared" si="9"/>
        <v>0</v>
      </c>
      <c r="CI617" s="1347"/>
      <c r="CJ617" s="1347"/>
      <c r="CK617" s="1347"/>
      <c r="CL617" s="1347"/>
      <c r="CM617" s="1347">
        <f t="shared" si="10"/>
        <v>0</v>
      </c>
      <c r="CN617" s="1347"/>
      <c r="CO617" s="1347"/>
      <c r="CP617" s="1347"/>
      <c r="CQ617" s="1347"/>
      <c r="CR617" s="1141"/>
      <c r="CS617" s="1343">
        <f t="shared" si="11"/>
        <v>0</v>
      </c>
      <c r="CT617" s="1343"/>
      <c r="CU617" s="1343"/>
      <c r="CV617" s="1343"/>
      <c r="CW617" s="1343"/>
      <c r="CX617" s="1343">
        <f t="shared" si="12"/>
        <v>0</v>
      </c>
      <c r="CY617" s="1343"/>
      <c r="CZ617" s="1343"/>
      <c r="DA617" s="1343"/>
      <c r="DB617" s="1343"/>
      <c r="DC617" s="1343">
        <f t="shared" si="13"/>
        <v>0</v>
      </c>
      <c r="DD617" s="1343"/>
      <c r="DE617" s="1343"/>
      <c r="DF617" s="1343"/>
      <c r="DG617" s="1343"/>
      <c r="DH617" s="1343">
        <f t="shared" si="14"/>
        <v>0</v>
      </c>
      <c r="DI617" s="1343"/>
      <c r="DJ617" s="1343"/>
      <c r="DK617" s="1343"/>
      <c r="DL617" s="1343"/>
      <c r="DM617" s="1343">
        <f t="shared" si="15"/>
        <v>0</v>
      </c>
      <c r="DN617" s="1343"/>
      <c r="DO617" s="1343"/>
      <c r="DP617" s="1343"/>
      <c r="DQ617" s="1343"/>
      <c r="DR617" s="1343">
        <f t="shared" si="16"/>
        <v>0</v>
      </c>
      <c r="DS617" s="1343"/>
      <c r="DT617" s="1343"/>
      <c r="DU617" s="1343"/>
      <c r="DV617" s="1343"/>
      <c r="DX617" s="1340" t="str">
        <f t="shared" si="17"/>
        <v/>
      </c>
      <c r="DY617" s="1341"/>
      <c r="DZ617" s="1341"/>
      <c r="EA617" s="1341"/>
      <c r="EB617" s="1342"/>
      <c r="EC617" s="1340" t="str">
        <f t="shared" si="18"/>
        <v/>
      </c>
      <c r="ED617" s="1341"/>
      <c r="EE617" s="1341"/>
      <c r="EF617" s="1341"/>
      <c r="EG617" s="1342"/>
      <c r="EH617" s="1340" t="str">
        <f t="shared" si="19"/>
        <v/>
      </c>
      <c r="EI617" s="1341"/>
      <c r="EJ617" s="1341"/>
      <c r="EK617" s="1341"/>
      <c r="EL617" s="1342"/>
      <c r="EM617" s="1340" t="str">
        <f t="shared" si="20"/>
        <v/>
      </c>
      <c r="EN617" s="1341"/>
      <c r="EO617" s="1341"/>
      <c r="EP617" s="1341"/>
      <c r="EQ617" s="1342"/>
      <c r="ER617" s="1340" t="str">
        <f t="shared" si="21"/>
        <v/>
      </c>
      <c r="ES617" s="1341"/>
      <c r="ET617" s="1341"/>
      <c r="EU617" s="1341"/>
      <c r="EV617" s="1342"/>
      <c r="EW617" s="1340" t="str">
        <f t="shared" si="22"/>
        <v/>
      </c>
      <c r="EX617" s="1341"/>
      <c r="EY617" s="1341"/>
      <c r="EZ617" s="1341"/>
      <c r="FA617" s="1342"/>
    </row>
    <row r="618" spans="1:157" ht="13" customHeight="1">
      <c r="A618" s="1231"/>
      <c r="B618" s="1231"/>
      <c r="C618" s="1231"/>
      <c r="D618" s="1231"/>
      <c r="E618" s="1231"/>
      <c r="F618" s="1231"/>
      <c r="G618" s="1231"/>
      <c r="H618" s="1231"/>
      <c r="I618" s="1231"/>
      <c r="J618" s="1231"/>
      <c r="K618" s="1231"/>
      <c r="L618" s="1231"/>
      <c r="M618" s="1231"/>
      <c r="N618" s="1231"/>
      <c r="O618" s="1231"/>
      <c r="P618" s="1231"/>
      <c r="Q618" s="1231"/>
      <c r="R618" s="1231"/>
      <c r="S618" s="1231"/>
      <c r="T618" s="1231"/>
      <c r="U618" s="1231"/>
      <c r="V618" s="1231"/>
      <c r="W618" s="1231"/>
      <c r="X618" s="1231"/>
      <c r="Y618" s="1231"/>
      <c r="Z618" s="1231"/>
      <c r="AA618" s="1231"/>
      <c r="AB618" s="1231"/>
      <c r="AC618" s="1231"/>
      <c r="AD618" s="1231"/>
      <c r="AE618" s="1231"/>
      <c r="AF618" s="1231"/>
      <c r="AG618" s="1231"/>
      <c r="AH618" s="1231"/>
      <c r="AI618" s="1231"/>
      <c r="AJ618" s="1231"/>
      <c r="AK618" s="1231"/>
      <c r="AL618" s="1231"/>
      <c r="AM618" s="1231"/>
      <c r="AN618" s="1231"/>
      <c r="AO618" s="1231"/>
      <c r="AP618" s="1231"/>
      <c r="AQ618" s="1231"/>
      <c r="AR618" s="1231"/>
      <c r="AS618" s="1231"/>
      <c r="AT618" s="1231"/>
      <c r="AZ618" s="2"/>
      <c r="BA618" s="2"/>
      <c r="BB618" s="2"/>
      <c r="BC618" s="2"/>
      <c r="BD618" s="2"/>
      <c r="BE618" s="1340">
        <f t="shared" si="1"/>
        <v>0</v>
      </c>
      <c r="BF618" s="1342"/>
      <c r="BG618" s="1340">
        <f t="shared" si="2"/>
        <v>0</v>
      </c>
      <c r="BH618" s="1342"/>
      <c r="BI618" s="1340">
        <f t="shared" si="3"/>
        <v>0</v>
      </c>
      <c r="BJ618" s="1342"/>
      <c r="BK618" s="1340">
        <f t="shared" si="4"/>
        <v>0</v>
      </c>
      <c r="BL618" s="1342"/>
      <c r="BM618" s="2"/>
      <c r="BN618" s="1344">
        <f t="shared" si="5"/>
        <v>0</v>
      </c>
      <c r="BO618" s="1345"/>
      <c r="BP618" s="1345"/>
      <c r="BQ618" s="1345"/>
      <c r="BR618" s="1346"/>
      <c r="BS618" s="1347">
        <f t="shared" si="6"/>
        <v>0</v>
      </c>
      <c r="BT618" s="1347"/>
      <c r="BU618" s="1347"/>
      <c r="BV618" s="1347"/>
      <c r="BW618" s="1347"/>
      <c r="BX618" s="1347">
        <f t="shared" si="7"/>
        <v>0</v>
      </c>
      <c r="BY618" s="1347"/>
      <c r="BZ618" s="1347"/>
      <c r="CA618" s="1347"/>
      <c r="CB618" s="1347"/>
      <c r="CC618" s="1347">
        <f t="shared" si="8"/>
        <v>0</v>
      </c>
      <c r="CD618" s="1347"/>
      <c r="CE618" s="1347"/>
      <c r="CF618" s="1347"/>
      <c r="CG618" s="1347"/>
      <c r="CH618" s="1347">
        <f t="shared" si="9"/>
        <v>0</v>
      </c>
      <c r="CI618" s="1347"/>
      <c r="CJ618" s="1347"/>
      <c r="CK618" s="1347"/>
      <c r="CL618" s="1347"/>
      <c r="CM618" s="1347">
        <f t="shared" si="10"/>
        <v>0</v>
      </c>
      <c r="CN618" s="1347"/>
      <c r="CO618" s="1347"/>
      <c r="CP618" s="1347"/>
      <c r="CQ618" s="1347"/>
      <c r="CR618" s="1141"/>
      <c r="CS618" s="1343">
        <f t="shared" si="11"/>
        <v>0</v>
      </c>
      <c r="CT618" s="1343"/>
      <c r="CU618" s="1343"/>
      <c r="CV618" s="1343"/>
      <c r="CW618" s="1343"/>
      <c r="CX618" s="1343">
        <f t="shared" si="12"/>
        <v>0</v>
      </c>
      <c r="CY618" s="1343"/>
      <c r="CZ618" s="1343"/>
      <c r="DA618" s="1343"/>
      <c r="DB618" s="1343"/>
      <c r="DC618" s="1343">
        <f t="shared" si="13"/>
        <v>0</v>
      </c>
      <c r="DD618" s="1343"/>
      <c r="DE618" s="1343"/>
      <c r="DF618" s="1343"/>
      <c r="DG618" s="1343"/>
      <c r="DH618" s="1343">
        <f t="shared" si="14"/>
        <v>0</v>
      </c>
      <c r="DI618" s="1343"/>
      <c r="DJ618" s="1343"/>
      <c r="DK618" s="1343"/>
      <c r="DL618" s="1343"/>
      <c r="DM618" s="1343">
        <f t="shared" si="15"/>
        <v>0</v>
      </c>
      <c r="DN618" s="1343"/>
      <c r="DO618" s="1343"/>
      <c r="DP618" s="1343"/>
      <c r="DQ618" s="1343"/>
      <c r="DR618" s="1343">
        <f t="shared" si="16"/>
        <v>0</v>
      </c>
      <c r="DS618" s="1343"/>
      <c r="DT618" s="1343"/>
      <c r="DU618" s="1343"/>
      <c r="DV618" s="1343"/>
      <c r="DX618" s="1340" t="str">
        <f t="shared" si="17"/>
        <v/>
      </c>
      <c r="DY618" s="1341"/>
      <c r="DZ618" s="1341"/>
      <c r="EA618" s="1341"/>
      <c r="EB618" s="1342"/>
      <c r="EC618" s="1340" t="str">
        <f t="shared" si="18"/>
        <v/>
      </c>
      <c r="ED618" s="1341"/>
      <c r="EE618" s="1341"/>
      <c r="EF618" s="1341"/>
      <c r="EG618" s="1342"/>
      <c r="EH618" s="1340" t="str">
        <f t="shared" si="19"/>
        <v/>
      </c>
      <c r="EI618" s="1341"/>
      <c r="EJ618" s="1341"/>
      <c r="EK618" s="1341"/>
      <c r="EL618" s="1342"/>
      <c r="EM618" s="1340" t="str">
        <f t="shared" si="20"/>
        <v/>
      </c>
      <c r="EN618" s="1341"/>
      <c r="EO618" s="1341"/>
      <c r="EP618" s="1341"/>
      <c r="EQ618" s="1342"/>
      <c r="ER618" s="1340" t="str">
        <f t="shared" si="21"/>
        <v/>
      </c>
      <c r="ES618" s="1341"/>
      <c r="ET618" s="1341"/>
      <c r="EU618" s="1341"/>
      <c r="EV618" s="1342"/>
      <c r="EW618" s="1340" t="str">
        <f t="shared" si="22"/>
        <v/>
      </c>
      <c r="EX618" s="1341"/>
      <c r="EY618" s="1341"/>
      <c r="EZ618" s="1341"/>
      <c r="FA618" s="1342"/>
    </row>
    <row r="619" spans="1:157" ht="13" customHeight="1">
      <c r="AZ619" s="2"/>
      <c r="BA619" s="2"/>
      <c r="BB619" s="2"/>
      <c r="BC619" s="2"/>
      <c r="BD619" s="2"/>
      <c r="BE619" s="1340">
        <f t="shared" si="1"/>
        <v>0</v>
      </c>
      <c r="BF619" s="1342"/>
      <c r="BG619" s="1340">
        <f t="shared" si="2"/>
        <v>0</v>
      </c>
      <c r="BH619" s="1342"/>
      <c r="BI619" s="1340">
        <f t="shared" si="3"/>
        <v>0</v>
      </c>
      <c r="BJ619" s="1342"/>
      <c r="BK619" s="1340">
        <f t="shared" si="4"/>
        <v>0</v>
      </c>
      <c r="BL619" s="1342"/>
      <c r="BM619" s="2"/>
      <c r="BN619" s="1344">
        <f t="shared" si="5"/>
        <v>0</v>
      </c>
      <c r="BO619" s="1345"/>
      <c r="BP619" s="1345"/>
      <c r="BQ619" s="1345"/>
      <c r="BR619" s="1346"/>
      <c r="BS619" s="1347">
        <f t="shared" si="6"/>
        <v>0</v>
      </c>
      <c r="BT619" s="1347"/>
      <c r="BU619" s="1347"/>
      <c r="BV619" s="1347"/>
      <c r="BW619" s="1347"/>
      <c r="BX619" s="1347">
        <f t="shared" si="7"/>
        <v>0</v>
      </c>
      <c r="BY619" s="1347"/>
      <c r="BZ619" s="1347"/>
      <c r="CA619" s="1347"/>
      <c r="CB619" s="1347"/>
      <c r="CC619" s="1347">
        <f t="shared" si="8"/>
        <v>0</v>
      </c>
      <c r="CD619" s="1347"/>
      <c r="CE619" s="1347"/>
      <c r="CF619" s="1347"/>
      <c r="CG619" s="1347"/>
      <c r="CH619" s="1347">
        <f t="shared" si="9"/>
        <v>0</v>
      </c>
      <c r="CI619" s="1347"/>
      <c r="CJ619" s="1347"/>
      <c r="CK619" s="1347"/>
      <c r="CL619" s="1347"/>
      <c r="CM619" s="1347">
        <f t="shared" si="10"/>
        <v>0</v>
      </c>
      <c r="CN619" s="1347"/>
      <c r="CO619" s="1347"/>
      <c r="CP619" s="1347"/>
      <c r="CQ619" s="1347"/>
      <c r="CR619" s="1141"/>
      <c r="CS619" s="1343">
        <f t="shared" si="11"/>
        <v>0</v>
      </c>
      <c r="CT619" s="1343"/>
      <c r="CU619" s="1343"/>
      <c r="CV619" s="1343"/>
      <c r="CW619" s="1343"/>
      <c r="CX619" s="1343">
        <f t="shared" si="12"/>
        <v>0</v>
      </c>
      <c r="CY619" s="1343"/>
      <c r="CZ619" s="1343"/>
      <c r="DA619" s="1343"/>
      <c r="DB619" s="1343"/>
      <c r="DC619" s="1343">
        <f t="shared" si="13"/>
        <v>0</v>
      </c>
      <c r="DD619" s="1343"/>
      <c r="DE619" s="1343"/>
      <c r="DF619" s="1343"/>
      <c r="DG619" s="1343"/>
      <c r="DH619" s="1343">
        <f t="shared" si="14"/>
        <v>0</v>
      </c>
      <c r="DI619" s="1343"/>
      <c r="DJ619" s="1343"/>
      <c r="DK619" s="1343"/>
      <c r="DL619" s="1343"/>
      <c r="DM619" s="1343">
        <f t="shared" si="15"/>
        <v>0</v>
      </c>
      <c r="DN619" s="1343"/>
      <c r="DO619" s="1343"/>
      <c r="DP619" s="1343"/>
      <c r="DQ619" s="1343"/>
      <c r="DR619" s="1343">
        <f t="shared" si="16"/>
        <v>0</v>
      </c>
      <c r="DS619" s="1343"/>
      <c r="DT619" s="1343"/>
      <c r="DU619" s="1343"/>
      <c r="DV619" s="1343"/>
      <c r="DX619" s="1340" t="str">
        <f t="shared" si="17"/>
        <v/>
      </c>
      <c r="DY619" s="1341"/>
      <c r="DZ619" s="1341"/>
      <c r="EA619" s="1341"/>
      <c r="EB619" s="1342"/>
      <c r="EC619" s="1340" t="str">
        <f t="shared" si="18"/>
        <v/>
      </c>
      <c r="ED619" s="1341"/>
      <c r="EE619" s="1341"/>
      <c r="EF619" s="1341"/>
      <c r="EG619" s="1342"/>
      <c r="EH619" s="1340" t="str">
        <f t="shared" si="19"/>
        <v/>
      </c>
      <c r="EI619" s="1341"/>
      <c r="EJ619" s="1341"/>
      <c r="EK619" s="1341"/>
      <c r="EL619" s="1342"/>
      <c r="EM619" s="1340" t="str">
        <f t="shared" si="20"/>
        <v/>
      </c>
      <c r="EN619" s="1341"/>
      <c r="EO619" s="1341"/>
      <c r="EP619" s="1341"/>
      <c r="EQ619" s="1342"/>
      <c r="ER619" s="1340" t="str">
        <f t="shared" si="21"/>
        <v/>
      </c>
      <c r="ES619" s="1341"/>
      <c r="ET619" s="1341"/>
      <c r="EU619" s="1341"/>
      <c r="EV619" s="1342"/>
      <c r="EW619" s="1340" t="str">
        <f t="shared" si="22"/>
        <v/>
      </c>
      <c r="EX619" s="1341"/>
      <c r="EY619" s="1341"/>
      <c r="EZ619" s="1341"/>
      <c r="FA619" s="1342"/>
    </row>
    <row r="620" spans="1:157" ht="13" customHeight="1">
      <c r="A620" s="1" t="s">
        <v>920</v>
      </c>
      <c r="B620" s="1"/>
      <c r="C620" s="1" t="s">
        <v>174</v>
      </c>
      <c r="AZ620" s="2"/>
      <c r="BA620" s="2"/>
      <c r="BB620" s="2"/>
      <c r="BC620" s="2"/>
      <c r="BD620" s="2"/>
      <c r="BE620" s="1340">
        <f t="shared" si="1"/>
        <v>0</v>
      </c>
      <c r="BF620" s="1342"/>
      <c r="BG620" s="1340">
        <f t="shared" si="2"/>
        <v>0</v>
      </c>
      <c r="BH620" s="1342"/>
      <c r="BI620" s="1340">
        <f t="shared" si="3"/>
        <v>0</v>
      </c>
      <c r="BJ620" s="1342"/>
      <c r="BK620" s="1340">
        <f t="shared" si="4"/>
        <v>0</v>
      </c>
      <c r="BL620" s="1342"/>
      <c r="BM620" s="2"/>
      <c r="BN620" s="1344">
        <f t="shared" si="5"/>
        <v>0</v>
      </c>
      <c r="BO620" s="1345"/>
      <c r="BP620" s="1345"/>
      <c r="BQ620" s="1345"/>
      <c r="BR620" s="1346"/>
      <c r="BS620" s="1347">
        <f t="shared" si="6"/>
        <v>0</v>
      </c>
      <c r="BT620" s="1347"/>
      <c r="BU620" s="1347"/>
      <c r="BV620" s="1347"/>
      <c r="BW620" s="1347"/>
      <c r="BX620" s="1347">
        <f t="shared" si="7"/>
        <v>0</v>
      </c>
      <c r="BY620" s="1347"/>
      <c r="BZ620" s="1347"/>
      <c r="CA620" s="1347"/>
      <c r="CB620" s="1347"/>
      <c r="CC620" s="1347">
        <f t="shared" si="8"/>
        <v>0</v>
      </c>
      <c r="CD620" s="1347"/>
      <c r="CE620" s="1347"/>
      <c r="CF620" s="1347"/>
      <c r="CG620" s="1347"/>
      <c r="CH620" s="1347">
        <f t="shared" si="9"/>
        <v>0</v>
      </c>
      <c r="CI620" s="1347"/>
      <c r="CJ620" s="1347"/>
      <c r="CK620" s="1347"/>
      <c r="CL620" s="1347"/>
      <c r="CM620" s="1347">
        <f t="shared" si="10"/>
        <v>0</v>
      </c>
      <c r="CN620" s="1347"/>
      <c r="CO620" s="1347"/>
      <c r="CP620" s="1347"/>
      <c r="CQ620" s="1347"/>
      <c r="CR620" s="1141"/>
      <c r="CS620" s="1343">
        <f t="shared" si="11"/>
        <v>0</v>
      </c>
      <c r="CT620" s="1343"/>
      <c r="CU620" s="1343"/>
      <c r="CV620" s="1343"/>
      <c r="CW620" s="1343"/>
      <c r="CX620" s="1343">
        <f t="shared" si="12"/>
        <v>0</v>
      </c>
      <c r="CY620" s="1343"/>
      <c r="CZ620" s="1343"/>
      <c r="DA620" s="1343"/>
      <c r="DB620" s="1343"/>
      <c r="DC620" s="1343">
        <f t="shared" si="13"/>
        <v>0</v>
      </c>
      <c r="DD620" s="1343"/>
      <c r="DE620" s="1343"/>
      <c r="DF620" s="1343"/>
      <c r="DG620" s="1343"/>
      <c r="DH620" s="1343">
        <f t="shared" si="14"/>
        <v>0</v>
      </c>
      <c r="DI620" s="1343"/>
      <c r="DJ620" s="1343"/>
      <c r="DK620" s="1343"/>
      <c r="DL620" s="1343"/>
      <c r="DM620" s="1343">
        <f t="shared" si="15"/>
        <v>0</v>
      </c>
      <c r="DN620" s="1343"/>
      <c r="DO620" s="1343"/>
      <c r="DP620" s="1343"/>
      <c r="DQ620" s="1343"/>
      <c r="DR620" s="1343">
        <f t="shared" si="16"/>
        <v>0</v>
      </c>
      <c r="DS620" s="1343"/>
      <c r="DT620" s="1343"/>
      <c r="DU620" s="1343"/>
      <c r="DV620" s="1343"/>
      <c r="DX620" s="1340" t="str">
        <f t="shared" si="17"/>
        <v/>
      </c>
      <c r="DY620" s="1341"/>
      <c r="DZ620" s="1341"/>
      <c r="EA620" s="1341"/>
      <c r="EB620" s="1342"/>
      <c r="EC620" s="1340" t="str">
        <f t="shared" si="18"/>
        <v/>
      </c>
      <c r="ED620" s="1341"/>
      <c r="EE620" s="1341"/>
      <c r="EF620" s="1341"/>
      <c r="EG620" s="1342"/>
      <c r="EH620" s="1340" t="str">
        <f t="shared" si="19"/>
        <v/>
      </c>
      <c r="EI620" s="1341"/>
      <c r="EJ620" s="1341"/>
      <c r="EK620" s="1341"/>
      <c r="EL620" s="1342"/>
      <c r="EM620" s="1340" t="str">
        <f t="shared" si="20"/>
        <v/>
      </c>
      <c r="EN620" s="1341"/>
      <c r="EO620" s="1341"/>
      <c r="EP620" s="1341"/>
      <c r="EQ620" s="1342"/>
      <c r="ER620" s="1340" t="str">
        <f t="shared" si="21"/>
        <v/>
      </c>
      <c r="ES620" s="1341"/>
      <c r="ET620" s="1341"/>
      <c r="EU620" s="1341"/>
      <c r="EV620" s="1342"/>
      <c r="EW620" s="1340" t="str">
        <f t="shared" si="22"/>
        <v/>
      </c>
      <c r="EX620" s="1341"/>
      <c r="EY620" s="1341"/>
      <c r="EZ620" s="1341"/>
      <c r="FA620" s="1342"/>
    </row>
    <row r="621" spans="1:157" ht="13" customHeight="1">
      <c r="A621" s="1"/>
      <c r="B621" s="1"/>
      <c r="C621" s="1"/>
      <c r="AZ621" s="2"/>
      <c r="BA621" s="2"/>
      <c r="BB621" s="2"/>
      <c r="BC621" s="2"/>
      <c r="BD621" s="2"/>
      <c r="BE621" s="1340">
        <f t="shared" si="1"/>
        <v>0</v>
      </c>
      <c r="BF621" s="1342"/>
      <c r="BG621" s="1340">
        <f t="shared" si="2"/>
        <v>0</v>
      </c>
      <c r="BH621" s="1342"/>
      <c r="BI621" s="1340">
        <f t="shared" si="3"/>
        <v>0</v>
      </c>
      <c r="BJ621" s="1342"/>
      <c r="BK621" s="1340">
        <f t="shared" si="4"/>
        <v>0</v>
      </c>
      <c r="BL621" s="1342"/>
      <c r="BM621" s="2"/>
      <c r="BN621" s="1344">
        <f t="shared" si="5"/>
        <v>0</v>
      </c>
      <c r="BO621" s="1345"/>
      <c r="BP621" s="1345"/>
      <c r="BQ621" s="1345"/>
      <c r="BR621" s="1346"/>
      <c r="BS621" s="1347">
        <f t="shared" si="6"/>
        <v>0</v>
      </c>
      <c r="BT621" s="1347"/>
      <c r="BU621" s="1347"/>
      <c r="BV621" s="1347"/>
      <c r="BW621" s="1347"/>
      <c r="BX621" s="1347">
        <f t="shared" si="7"/>
        <v>0</v>
      </c>
      <c r="BY621" s="1347"/>
      <c r="BZ621" s="1347"/>
      <c r="CA621" s="1347"/>
      <c r="CB621" s="1347"/>
      <c r="CC621" s="1347">
        <f t="shared" si="8"/>
        <v>0</v>
      </c>
      <c r="CD621" s="1347"/>
      <c r="CE621" s="1347"/>
      <c r="CF621" s="1347"/>
      <c r="CG621" s="1347"/>
      <c r="CH621" s="1347">
        <f t="shared" si="9"/>
        <v>0</v>
      </c>
      <c r="CI621" s="1347"/>
      <c r="CJ621" s="1347"/>
      <c r="CK621" s="1347"/>
      <c r="CL621" s="1347"/>
      <c r="CM621" s="1347">
        <f t="shared" si="10"/>
        <v>0</v>
      </c>
      <c r="CN621" s="1347"/>
      <c r="CO621" s="1347"/>
      <c r="CP621" s="1347"/>
      <c r="CQ621" s="1347"/>
      <c r="CR621" s="1141"/>
      <c r="CS621" s="1343">
        <f t="shared" si="11"/>
        <v>0</v>
      </c>
      <c r="CT621" s="1343"/>
      <c r="CU621" s="1343"/>
      <c r="CV621" s="1343"/>
      <c r="CW621" s="1343"/>
      <c r="CX621" s="1343">
        <f t="shared" si="12"/>
        <v>0</v>
      </c>
      <c r="CY621" s="1343"/>
      <c r="CZ621" s="1343"/>
      <c r="DA621" s="1343"/>
      <c r="DB621" s="1343"/>
      <c r="DC621" s="1343">
        <f t="shared" si="13"/>
        <v>0</v>
      </c>
      <c r="DD621" s="1343"/>
      <c r="DE621" s="1343"/>
      <c r="DF621" s="1343"/>
      <c r="DG621" s="1343"/>
      <c r="DH621" s="1343">
        <f t="shared" si="14"/>
        <v>0</v>
      </c>
      <c r="DI621" s="1343"/>
      <c r="DJ621" s="1343"/>
      <c r="DK621" s="1343"/>
      <c r="DL621" s="1343"/>
      <c r="DM621" s="1343">
        <f t="shared" si="15"/>
        <v>0</v>
      </c>
      <c r="DN621" s="1343"/>
      <c r="DO621" s="1343"/>
      <c r="DP621" s="1343"/>
      <c r="DQ621" s="1343"/>
      <c r="DR621" s="1343">
        <f t="shared" si="16"/>
        <v>0</v>
      </c>
      <c r="DS621" s="1343"/>
      <c r="DT621" s="1343"/>
      <c r="DU621" s="1343"/>
      <c r="DV621" s="1343"/>
      <c r="DX621" s="1340" t="str">
        <f t="shared" si="17"/>
        <v/>
      </c>
      <c r="DY621" s="1341"/>
      <c r="DZ621" s="1341"/>
      <c r="EA621" s="1341"/>
      <c r="EB621" s="1342"/>
      <c r="EC621" s="1340" t="str">
        <f t="shared" si="18"/>
        <v/>
      </c>
      <c r="ED621" s="1341"/>
      <c r="EE621" s="1341"/>
      <c r="EF621" s="1341"/>
      <c r="EG621" s="1342"/>
      <c r="EH621" s="1340" t="str">
        <f t="shared" si="19"/>
        <v/>
      </c>
      <c r="EI621" s="1341"/>
      <c r="EJ621" s="1341"/>
      <c r="EK621" s="1341"/>
      <c r="EL621" s="1342"/>
      <c r="EM621" s="1340" t="str">
        <f t="shared" si="20"/>
        <v/>
      </c>
      <c r="EN621" s="1341"/>
      <c r="EO621" s="1341"/>
      <c r="EP621" s="1341"/>
      <c r="EQ621" s="1342"/>
      <c r="ER621" s="1340" t="str">
        <f t="shared" si="21"/>
        <v/>
      </c>
      <c r="ES621" s="1341"/>
      <c r="ET621" s="1341"/>
      <c r="EU621" s="1341"/>
      <c r="EV621" s="1342"/>
      <c r="EW621" s="1340" t="str">
        <f t="shared" si="22"/>
        <v/>
      </c>
      <c r="EX621" s="1341"/>
      <c r="EY621" s="1341"/>
      <c r="EZ621" s="1341"/>
      <c r="FA621" s="1342"/>
    </row>
    <row r="622" spans="1:157" ht="13" customHeight="1">
      <c r="C622" s="1" t="s">
        <v>1447</v>
      </c>
      <c r="AZ622" s="2"/>
      <c r="BA622" s="2"/>
      <c r="BB622" s="2"/>
      <c r="BC622" s="2"/>
      <c r="BD622" s="2"/>
      <c r="BE622" s="1340">
        <f t="shared" si="1"/>
        <v>0</v>
      </c>
      <c r="BF622" s="1342"/>
      <c r="BG622" s="1340">
        <f t="shared" si="2"/>
        <v>0</v>
      </c>
      <c r="BH622" s="1342"/>
      <c r="BI622" s="1340">
        <f t="shared" si="3"/>
        <v>0</v>
      </c>
      <c r="BJ622" s="1342"/>
      <c r="BK622" s="1340">
        <f t="shared" si="4"/>
        <v>0</v>
      </c>
      <c r="BL622" s="1342"/>
      <c r="BM622" s="2"/>
      <c r="BN622" s="1344">
        <f t="shared" si="5"/>
        <v>0</v>
      </c>
      <c r="BO622" s="1345"/>
      <c r="BP622" s="1345"/>
      <c r="BQ622" s="1345"/>
      <c r="BR622" s="1346"/>
      <c r="BS622" s="1347">
        <f t="shared" si="6"/>
        <v>0</v>
      </c>
      <c r="BT622" s="1347"/>
      <c r="BU622" s="1347"/>
      <c r="BV622" s="1347"/>
      <c r="BW622" s="1347"/>
      <c r="BX622" s="1347">
        <f t="shared" si="7"/>
        <v>0</v>
      </c>
      <c r="BY622" s="1347"/>
      <c r="BZ622" s="1347"/>
      <c r="CA622" s="1347"/>
      <c r="CB622" s="1347"/>
      <c r="CC622" s="1347">
        <f t="shared" si="8"/>
        <v>0</v>
      </c>
      <c r="CD622" s="1347"/>
      <c r="CE622" s="1347"/>
      <c r="CF622" s="1347"/>
      <c r="CG622" s="1347"/>
      <c r="CH622" s="1347">
        <f t="shared" si="9"/>
        <v>0</v>
      </c>
      <c r="CI622" s="1347"/>
      <c r="CJ622" s="1347"/>
      <c r="CK622" s="1347"/>
      <c r="CL622" s="1347"/>
      <c r="CM622" s="1347">
        <f t="shared" si="10"/>
        <v>0</v>
      </c>
      <c r="CN622" s="1347"/>
      <c r="CO622" s="1347"/>
      <c r="CP622" s="1347"/>
      <c r="CQ622" s="1347"/>
      <c r="CR622" s="1141"/>
      <c r="CS622" s="1343">
        <f t="shared" si="11"/>
        <v>0</v>
      </c>
      <c r="CT622" s="1343"/>
      <c r="CU622" s="1343"/>
      <c r="CV622" s="1343"/>
      <c r="CW622" s="1343"/>
      <c r="CX622" s="1343">
        <f t="shared" si="12"/>
        <v>0</v>
      </c>
      <c r="CY622" s="1343"/>
      <c r="CZ622" s="1343"/>
      <c r="DA622" s="1343"/>
      <c r="DB622" s="1343"/>
      <c r="DC622" s="1343">
        <f t="shared" si="13"/>
        <v>0</v>
      </c>
      <c r="DD622" s="1343"/>
      <c r="DE622" s="1343"/>
      <c r="DF622" s="1343"/>
      <c r="DG622" s="1343"/>
      <c r="DH622" s="1343">
        <f t="shared" si="14"/>
        <v>0</v>
      </c>
      <c r="DI622" s="1343"/>
      <c r="DJ622" s="1343"/>
      <c r="DK622" s="1343"/>
      <c r="DL622" s="1343"/>
      <c r="DM622" s="1343">
        <f t="shared" si="15"/>
        <v>0</v>
      </c>
      <c r="DN622" s="1343"/>
      <c r="DO622" s="1343"/>
      <c r="DP622" s="1343"/>
      <c r="DQ622" s="1343"/>
      <c r="DR622" s="1343">
        <f t="shared" si="16"/>
        <v>0</v>
      </c>
      <c r="DS622" s="1343"/>
      <c r="DT622" s="1343"/>
      <c r="DU622" s="1343"/>
      <c r="DV622" s="1343"/>
      <c r="DX622" s="1340" t="str">
        <f t="shared" si="17"/>
        <v/>
      </c>
      <c r="DY622" s="1341"/>
      <c r="DZ622" s="1341"/>
      <c r="EA622" s="1341"/>
      <c r="EB622" s="1342"/>
      <c r="EC622" s="1340" t="str">
        <f t="shared" si="18"/>
        <v/>
      </c>
      <c r="ED622" s="1341"/>
      <c r="EE622" s="1341"/>
      <c r="EF622" s="1341"/>
      <c r="EG622" s="1342"/>
      <c r="EH622" s="1340" t="str">
        <f t="shared" si="19"/>
        <v/>
      </c>
      <c r="EI622" s="1341"/>
      <c r="EJ622" s="1341"/>
      <c r="EK622" s="1341"/>
      <c r="EL622" s="1342"/>
      <c r="EM622" s="1340" t="str">
        <f t="shared" si="20"/>
        <v/>
      </c>
      <c r="EN622" s="1341"/>
      <c r="EO622" s="1341"/>
      <c r="EP622" s="1341"/>
      <c r="EQ622" s="1342"/>
      <c r="ER622" s="1340" t="str">
        <f t="shared" si="21"/>
        <v/>
      </c>
      <c r="ES622" s="1341"/>
      <c r="ET622" s="1341"/>
      <c r="EU622" s="1341"/>
      <c r="EV622" s="1342"/>
      <c r="EW622" s="1340" t="str">
        <f t="shared" si="22"/>
        <v/>
      </c>
      <c r="EX622" s="1341"/>
      <c r="EY622" s="1341"/>
      <c r="EZ622" s="1341"/>
      <c r="FA622" s="1342"/>
    </row>
    <row r="623" spans="1:157" ht="13" customHeight="1">
      <c r="B623" s="383"/>
      <c r="C623" s="1"/>
      <c r="AU623" s="2"/>
      <c r="AZ623" s="2"/>
      <c r="BA623" s="2"/>
      <c r="BB623" s="2"/>
      <c r="BC623" s="2"/>
      <c r="BD623" s="2"/>
      <c r="BE623" s="1340">
        <f t="shared" si="1"/>
        <v>0</v>
      </c>
      <c r="BF623" s="1342"/>
      <c r="BG623" s="1340">
        <f t="shared" si="2"/>
        <v>0</v>
      </c>
      <c r="BH623" s="1342"/>
      <c r="BI623" s="1340">
        <f t="shared" si="3"/>
        <v>0</v>
      </c>
      <c r="BJ623" s="1342"/>
      <c r="BK623" s="1340">
        <f t="shared" si="4"/>
        <v>0</v>
      </c>
      <c r="BL623" s="1342"/>
      <c r="BM623" s="2"/>
      <c r="BN623" s="1344">
        <f t="shared" si="5"/>
        <v>0</v>
      </c>
      <c r="BO623" s="1345"/>
      <c r="BP623" s="1345"/>
      <c r="BQ623" s="1345"/>
      <c r="BR623" s="1346"/>
      <c r="BS623" s="1347">
        <f t="shared" si="6"/>
        <v>0</v>
      </c>
      <c r="BT623" s="1347"/>
      <c r="BU623" s="1347"/>
      <c r="BV623" s="1347"/>
      <c r="BW623" s="1347"/>
      <c r="BX623" s="1347">
        <f t="shared" si="7"/>
        <v>0</v>
      </c>
      <c r="BY623" s="1347"/>
      <c r="BZ623" s="1347"/>
      <c r="CA623" s="1347"/>
      <c r="CB623" s="1347"/>
      <c r="CC623" s="1347">
        <f t="shared" si="8"/>
        <v>0</v>
      </c>
      <c r="CD623" s="1347"/>
      <c r="CE623" s="1347"/>
      <c r="CF623" s="1347"/>
      <c r="CG623" s="1347"/>
      <c r="CH623" s="1347">
        <f t="shared" si="9"/>
        <v>0</v>
      </c>
      <c r="CI623" s="1347"/>
      <c r="CJ623" s="1347"/>
      <c r="CK623" s="1347"/>
      <c r="CL623" s="1347"/>
      <c r="CM623" s="1347">
        <f t="shared" si="10"/>
        <v>0</v>
      </c>
      <c r="CN623" s="1347"/>
      <c r="CO623" s="1347"/>
      <c r="CP623" s="1347"/>
      <c r="CQ623" s="1347"/>
      <c r="CR623" s="1141"/>
      <c r="CS623" s="1343">
        <f t="shared" si="11"/>
        <v>0</v>
      </c>
      <c r="CT623" s="1343"/>
      <c r="CU623" s="1343"/>
      <c r="CV623" s="1343"/>
      <c r="CW623" s="1343"/>
      <c r="CX623" s="1343">
        <f t="shared" si="12"/>
        <v>0</v>
      </c>
      <c r="CY623" s="1343"/>
      <c r="CZ623" s="1343"/>
      <c r="DA623" s="1343"/>
      <c r="DB623" s="1343"/>
      <c r="DC623" s="1343">
        <f t="shared" si="13"/>
        <v>0</v>
      </c>
      <c r="DD623" s="1343"/>
      <c r="DE623" s="1343"/>
      <c r="DF623" s="1343"/>
      <c r="DG623" s="1343"/>
      <c r="DH623" s="1343">
        <f t="shared" si="14"/>
        <v>0</v>
      </c>
      <c r="DI623" s="1343"/>
      <c r="DJ623" s="1343"/>
      <c r="DK623" s="1343"/>
      <c r="DL623" s="1343"/>
      <c r="DM623" s="1343">
        <f t="shared" si="15"/>
        <v>0</v>
      </c>
      <c r="DN623" s="1343"/>
      <c r="DO623" s="1343"/>
      <c r="DP623" s="1343"/>
      <c r="DQ623" s="1343"/>
      <c r="DR623" s="1343">
        <f t="shared" si="16"/>
        <v>0</v>
      </c>
      <c r="DS623" s="1343"/>
      <c r="DT623" s="1343"/>
      <c r="DU623" s="1343"/>
      <c r="DV623" s="1343"/>
      <c r="DX623" s="1340" t="str">
        <f t="shared" si="17"/>
        <v/>
      </c>
      <c r="DY623" s="1341"/>
      <c r="DZ623" s="1341"/>
      <c r="EA623" s="1341"/>
      <c r="EB623" s="1342"/>
      <c r="EC623" s="1340" t="str">
        <f t="shared" si="18"/>
        <v/>
      </c>
      <c r="ED623" s="1341"/>
      <c r="EE623" s="1341"/>
      <c r="EF623" s="1341"/>
      <c r="EG623" s="1342"/>
      <c r="EH623" s="1340" t="str">
        <f t="shared" si="19"/>
        <v/>
      </c>
      <c r="EI623" s="1341"/>
      <c r="EJ623" s="1341"/>
      <c r="EK623" s="1341"/>
      <c r="EL623" s="1342"/>
      <c r="EM623" s="1340" t="str">
        <f t="shared" si="20"/>
        <v/>
      </c>
      <c r="EN623" s="1341"/>
      <c r="EO623" s="1341"/>
      <c r="EP623" s="1341"/>
      <c r="EQ623" s="1342"/>
      <c r="ER623" s="1340" t="str">
        <f t="shared" si="21"/>
        <v/>
      </c>
      <c r="ES623" s="1341"/>
      <c r="ET623" s="1341"/>
      <c r="EU623" s="1341"/>
      <c r="EV623" s="1342"/>
      <c r="EW623" s="1340" t="str">
        <f t="shared" si="22"/>
        <v/>
      </c>
      <c r="EX623" s="1341"/>
      <c r="EY623" s="1341"/>
      <c r="EZ623" s="1341"/>
      <c r="FA623" s="1342"/>
    </row>
    <row r="624" spans="1:157" ht="13" customHeight="1">
      <c r="B624" s="1642" t="s">
        <v>1448</v>
      </c>
      <c r="C624" s="1642"/>
      <c r="D624" s="1642"/>
      <c r="E624" s="1642"/>
      <c r="F624" s="1642"/>
      <c r="G624" s="1642"/>
      <c r="H624" s="1642"/>
      <c r="I624" s="1642"/>
      <c r="J624" s="1642"/>
      <c r="K624" s="1642"/>
      <c r="L624" s="1642"/>
      <c r="M624" s="1627" t="s">
        <v>1449</v>
      </c>
      <c r="N624" s="1627"/>
      <c r="O624" s="1627"/>
      <c r="P624" s="1627"/>
      <c r="Q624" s="1627" t="s">
        <v>1493</v>
      </c>
      <c r="R624" s="1627"/>
      <c r="S624" s="1627"/>
      <c r="T624" s="1627" t="s">
        <v>1494</v>
      </c>
      <c r="U624" s="1627"/>
      <c r="V624" s="1627"/>
      <c r="W624" s="1643" t="s">
        <v>1452</v>
      </c>
      <c r="X624" s="1643"/>
      <c r="Y624" s="1643"/>
      <c r="Z624" s="1369" t="s">
        <v>1495</v>
      </c>
      <c r="AA624" s="1369"/>
      <c r="AB624" s="1370"/>
      <c r="AC624" s="1633" t="s">
        <v>1454</v>
      </c>
      <c r="AD624" s="1634"/>
      <c r="AE624" s="1635"/>
      <c r="AF624" s="1368" t="s">
        <v>1496</v>
      </c>
      <c r="AG624" s="1369"/>
      <c r="AH624" s="1369"/>
      <c r="AI624" s="1369"/>
      <c r="AJ624" s="1370"/>
      <c r="AK624" s="1764" t="s">
        <v>1497</v>
      </c>
      <c r="AL624" s="1765"/>
      <c r="AM624" s="1765"/>
      <c r="AN624" s="1766"/>
      <c r="AO624" s="1627" t="s">
        <v>1456</v>
      </c>
      <c r="AP624" s="1627"/>
      <c r="AQ624" s="1627"/>
      <c r="AR624" s="1627"/>
      <c r="AS624" s="1627"/>
      <c r="AU624" s="2"/>
      <c r="AZ624" s="2"/>
      <c r="BA624" s="2"/>
      <c r="BB624" s="2"/>
      <c r="BC624" s="2"/>
      <c r="BD624" s="2"/>
      <c r="BE624" s="1340">
        <f t="shared" si="1"/>
        <v>0</v>
      </c>
      <c r="BF624" s="1342"/>
      <c r="BG624" s="1340">
        <f t="shared" si="2"/>
        <v>0</v>
      </c>
      <c r="BH624" s="1342"/>
      <c r="BI624" s="1340">
        <f t="shared" si="3"/>
        <v>0</v>
      </c>
      <c r="BJ624" s="1342"/>
      <c r="BK624" s="1340">
        <f t="shared" si="4"/>
        <v>0</v>
      </c>
      <c r="BL624" s="1342"/>
      <c r="BM624" s="2"/>
      <c r="BN624" s="1344">
        <f t="shared" si="5"/>
        <v>0</v>
      </c>
      <c r="BO624" s="1345"/>
      <c r="BP624" s="1345"/>
      <c r="BQ624" s="1345"/>
      <c r="BR624" s="1346"/>
      <c r="BS624" s="1347">
        <f t="shared" si="6"/>
        <v>0</v>
      </c>
      <c r="BT624" s="1347"/>
      <c r="BU624" s="1347"/>
      <c r="BV624" s="1347"/>
      <c r="BW624" s="1347"/>
      <c r="BX624" s="1347">
        <f t="shared" si="7"/>
        <v>0</v>
      </c>
      <c r="BY624" s="1347"/>
      <c r="BZ624" s="1347"/>
      <c r="CA624" s="1347"/>
      <c r="CB624" s="1347"/>
      <c r="CC624" s="1347">
        <f t="shared" si="8"/>
        <v>0</v>
      </c>
      <c r="CD624" s="1347"/>
      <c r="CE624" s="1347"/>
      <c r="CF624" s="1347"/>
      <c r="CG624" s="1347"/>
      <c r="CH624" s="1347">
        <f t="shared" si="9"/>
        <v>0</v>
      </c>
      <c r="CI624" s="1347"/>
      <c r="CJ624" s="1347"/>
      <c r="CK624" s="1347"/>
      <c r="CL624" s="1347"/>
      <c r="CM624" s="1347">
        <f t="shared" si="10"/>
        <v>0</v>
      </c>
      <c r="CN624" s="1347"/>
      <c r="CO624" s="1347"/>
      <c r="CP624" s="1347"/>
      <c r="CQ624" s="1347"/>
      <c r="CR624" s="1141"/>
      <c r="CS624" s="1343">
        <f t="shared" si="11"/>
        <v>0</v>
      </c>
      <c r="CT624" s="1343"/>
      <c r="CU624" s="1343"/>
      <c r="CV624" s="1343"/>
      <c r="CW624" s="1343"/>
      <c r="CX624" s="1343">
        <f t="shared" si="12"/>
        <v>0</v>
      </c>
      <c r="CY624" s="1343"/>
      <c r="CZ624" s="1343"/>
      <c r="DA624" s="1343"/>
      <c r="DB624" s="1343"/>
      <c r="DC624" s="1343">
        <f t="shared" si="13"/>
        <v>0</v>
      </c>
      <c r="DD624" s="1343"/>
      <c r="DE624" s="1343"/>
      <c r="DF624" s="1343"/>
      <c r="DG624" s="1343"/>
      <c r="DH624" s="1343">
        <f t="shared" si="14"/>
        <v>0</v>
      </c>
      <c r="DI624" s="1343"/>
      <c r="DJ624" s="1343"/>
      <c r="DK624" s="1343"/>
      <c r="DL624" s="1343"/>
      <c r="DM624" s="1343">
        <f t="shared" si="15"/>
        <v>0</v>
      </c>
      <c r="DN624" s="1343"/>
      <c r="DO624" s="1343"/>
      <c r="DP624" s="1343"/>
      <c r="DQ624" s="1343"/>
      <c r="DR624" s="1343">
        <f t="shared" si="16"/>
        <v>0</v>
      </c>
      <c r="DS624" s="1343"/>
      <c r="DT624" s="1343"/>
      <c r="DU624" s="1343"/>
      <c r="DV624" s="1343"/>
      <c r="DX624" s="1340" t="str">
        <f t="shared" si="17"/>
        <v/>
      </c>
      <c r="DY624" s="1341"/>
      <c r="DZ624" s="1341"/>
      <c r="EA624" s="1341"/>
      <c r="EB624" s="1342"/>
      <c r="EC624" s="1340" t="str">
        <f t="shared" si="18"/>
        <v/>
      </c>
      <c r="ED624" s="1341"/>
      <c r="EE624" s="1341"/>
      <c r="EF624" s="1341"/>
      <c r="EG624" s="1342"/>
      <c r="EH624" s="1340" t="str">
        <f t="shared" si="19"/>
        <v/>
      </c>
      <c r="EI624" s="1341"/>
      <c r="EJ624" s="1341"/>
      <c r="EK624" s="1341"/>
      <c r="EL624" s="1342"/>
      <c r="EM624" s="1340" t="str">
        <f t="shared" si="20"/>
        <v/>
      </c>
      <c r="EN624" s="1341"/>
      <c r="EO624" s="1341"/>
      <c r="EP624" s="1341"/>
      <c r="EQ624" s="1342"/>
      <c r="ER624" s="1340" t="str">
        <f t="shared" si="21"/>
        <v/>
      </c>
      <c r="ES624" s="1341"/>
      <c r="ET624" s="1341"/>
      <c r="EU624" s="1341"/>
      <c r="EV624" s="1342"/>
      <c r="EW624" s="1340" t="str">
        <f t="shared" si="22"/>
        <v/>
      </c>
      <c r="EX624" s="1341"/>
      <c r="EY624" s="1341"/>
      <c r="EZ624" s="1341"/>
      <c r="FA624" s="1342"/>
    </row>
    <row r="625" spans="2:157" ht="13" customHeight="1">
      <c r="B625" s="1642"/>
      <c r="C625" s="1642"/>
      <c r="D625" s="1642"/>
      <c r="E625" s="1642"/>
      <c r="F625" s="1642"/>
      <c r="G625" s="1642"/>
      <c r="H625" s="1642"/>
      <c r="I625" s="1642"/>
      <c r="J625" s="1642"/>
      <c r="K625" s="1642"/>
      <c r="L625" s="1642"/>
      <c r="M625" s="1627"/>
      <c r="N625" s="1627"/>
      <c r="O625" s="1627"/>
      <c r="P625" s="1627"/>
      <c r="Q625" s="1627"/>
      <c r="R625" s="1627"/>
      <c r="S625" s="1627"/>
      <c r="T625" s="1627"/>
      <c r="U625" s="1627"/>
      <c r="V625" s="1627"/>
      <c r="W625" s="1643"/>
      <c r="X625" s="1643"/>
      <c r="Y625" s="1643"/>
      <c r="Z625" s="1372"/>
      <c r="AA625" s="1372"/>
      <c r="AB625" s="1373"/>
      <c r="AC625" s="1636"/>
      <c r="AD625" s="1637"/>
      <c r="AE625" s="1638"/>
      <c r="AF625" s="1371"/>
      <c r="AG625" s="1372"/>
      <c r="AH625" s="1372"/>
      <c r="AI625" s="1372"/>
      <c r="AJ625" s="1373"/>
      <c r="AK625" s="1767"/>
      <c r="AL625" s="1768"/>
      <c r="AM625" s="1768"/>
      <c r="AN625" s="1769"/>
      <c r="AO625" s="1627"/>
      <c r="AP625" s="1627"/>
      <c r="AQ625" s="1627"/>
      <c r="AR625" s="1627"/>
      <c r="AS625" s="1627"/>
      <c r="AU625" s="2"/>
      <c r="AZ625" s="2"/>
      <c r="BA625" s="2"/>
      <c r="BB625" s="2"/>
      <c r="BC625" s="2"/>
      <c r="BD625" s="2"/>
      <c r="BE625" s="1340">
        <f t="shared" si="1"/>
        <v>0</v>
      </c>
      <c r="BF625" s="1342"/>
      <c r="BG625" s="1340">
        <f t="shared" si="2"/>
        <v>0</v>
      </c>
      <c r="BH625" s="1342"/>
      <c r="BI625" s="1340">
        <f t="shared" si="3"/>
        <v>0</v>
      </c>
      <c r="BJ625" s="1342"/>
      <c r="BK625" s="1340">
        <f t="shared" si="4"/>
        <v>0</v>
      </c>
      <c r="BL625" s="1342"/>
      <c r="BM625" s="2"/>
      <c r="BN625" s="1344">
        <f t="shared" si="5"/>
        <v>0</v>
      </c>
      <c r="BO625" s="1345"/>
      <c r="BP625" s="1345"/>
      <c r="BQ625" s="1345"/>
      <c r="BR625" s="1346"/>
      <c r="BS625" s="1347">
        <f t="shared" si="6"/>
        <v>0</v>
      </c>
      <c r="BT625" s="1347"/>
      <c r="BU625" s="1347"/>
      <c r="BV625" s="1347"/>
      <c r="BW625" s="1347"/>
      <c r="BX625" s="1347">
        <f t="shared" si="7"/>
        <v>0</v>
      </c>
      <c r="BY625" s="1347"/>
      <c r="BZ625" s="1347"/>
      <c r="CA625" s="1347"/>
      <c r="CB625" s="1347"/>
      <c r="CC625" s="1347">
        <f t="shared" si="8"/>
        <v>0</v>
      </c>
      <c r="CD625" s="1347"/>
      <c r="CE625" s="1347"/>
      <c r="CF625" s="1347"/>
      <c r="CG625" s="1347"/>
      <c r="CH625" s="1347">
        <f t="shared" si="9"/>
        <v>0</v>
      </c>
      <c r="CI625" s="1347"/>
      <c r="CJ625" s="1347"/>
      <c r="CK625" s="1347"/>
      <c r="CL625" s="1347"/>
      <c r="CM625" s="1347">
        <f t="shared" si="10"/>
        <v>0</v>
      </c>
      <c r="CN625" s="1347"/>
      <c r="CO625" s="1347"/>
      <c r="CP625" s="1347"/>
      <c r="CQ625" s="1347"/>
      <c r="CR625" s="1141"/>
      <c r="CS625" s="1343">
        <f t="shared" si="11"/>
        <v>0</v>
      </c>
      <c r="CT625" s="1343"/>
      <c r="CU625" s="1343"/>
      <c r="CV625" s="1343"/>
      <c r="CW625" s="1343"/>
      <c r="CX625" s="1343">
        <f t="shared" si="12"/>
        <v>0</v>
      </c>
      <c r="CY625" s="1343"/>
      <c r="CZ625" s="1343"/>
      <c r="DA625" s="1343"/>
      <c r="DB625" s="1343"/>
      <c r="DC625" s="1343">
        <f t="shared" si="13"/>
        <v>0</v>
      </c>
      <c r="DD625" s="1343"/>
      <c r="DE625" s="1343"/>
      <c r="DF625" s="1343"/>
      <c r="DG625" s="1343"/>
      <c r="DH625" s="1343">
        <f t="shared" si="14"/>
        <v>0</v>
      </c>
      <c r="DI625" s="1343"/>
      <c r="DJ625" s="1343"/>
      <c r="DK625" s="1343"/>
      <c r="DL625" s="1343"/>
      <c r="DM625" s="1343">
        <f t="shared" si="15"/>
        <v>0</v>
      </c>
      <c r="DN625" s="1343"/>
      <c r="DO625" s="1343"/>
      <c r="DP625" s="1343"/>
      <c r="DQ625" s="1343"/>
      <c r="DR625" s="1343">
        <f t="shared" si="16"/>
        <v>0</v>
      </c>
      <c r="DS625" s="1343"/>
      <c r="DT625" s="1343"/>
      <c r="DU625" s="1343"/>
      <c r="DV625" s="1343"/>
      <c r="DX625" s="1340" t="str">
        <f t="shared" si="17"/>
        <v/>
      </c>
      <c r="DY625" s="1341"/>
      <c r="DZ625" s="1341"/>
      <c r="EA625" s="1341"/>
      <c r="EB625" s="1342"/>
      <c r="EC625" s="1340" t="str">
        <f t="shared" si="18"/>
        <v/>
      </c>
      <c r="ED625" s="1341"/>
      <c r="EE625" s="1341"/>
      <c r="EF625" s="1341"/>
      <c r="EG625" s="1342"/>
      <c r="EH625" s="1340" t="str">
        <f t="shared" si="19"/>
        <v/>
      </c>
      <c r="EI625" s="1341"/>
      <c r="EJ625" s="1341"/>
      <c r="EK625" s="1341"/>
      <c r="EL625" s="1342"/>
      <c r="EM625" s="1340" t="str">
        <f t="shared" si="20"/>
        <v/>
      </c>
      <c r="EN625" s="1341"/>
      <c r="EO625" s="1341"/>
      <c r="EP625" s="1341"/>
      <c r="EQ625" s="1342"/>
      <c r="ER625" s="1340" t="str">
        <f t="shared" si="21"/>
        <v/>
      </c>
      <c r="ES625" s="1341"/>
      <c r="ET625" s="1341"/>
      <c r="EU625" s="1341"/>
      <c r="EV625" s="1342"/>
      <c r="EW625" s="1340" t="str">
        <f t="shared" si="22"/>
        <v/>
      </c>
      <c r="EX625" s="1341"/>
      <c r="EY625" s="1341"/>
      <c r="EZ625" s="1341"/>
      <c r="FA625" s="1342"/>
    </row>
    <row r="626" spans="2:157" ht="13" customHeight="1">
      <c r="B626" s="1642"/>
      <c r="C626" s="1642"/>
      <c r="D626" s="1642"/>
      <c r="E626" s="1642"/>
      <c r="F626" s="1642"/>
      <c r="G626" s="1642"/>
      <c r="H626" s="1642"/>
      <c r="I626" s="1642"/>
      <c r="J626" s="1642"/>
      <c r="K626" s="1642"/>
      <c r="L626" s="1642"/>
      <c r="M626" s="1627"/>
      <c r="N626" s="1627"/>
      <c r="O626" s="1627"/>
      <c r="P626" s="1627"/>
      <c r="Q626" s="1627"/>
      <c r="R626" s="1627"/>
      <c r="S626" s="1627"/>
      <c r="T626" s="1627"/>
      <c r="U626" s="1627"/>
      <c r="V626" s="1627"/>
      <c r="W626" s="1643"/>
      <c r="X626" s="1643"/>
      <c r="Y626" s="1643"/>
      <c r="Z626" s="1375"/>
      <c r="AA626" s="1375"/>
      <c r="AB626" s="1376"/>
      <c r="AC626" s="1639"/>
      <c r="AD626" s="1640"/>
      <c r="AE626" s="1641"/>
      <c r="AF626" s="1374"/>
      <c r="AG626" s="1375"/>
      <c r="AH626" s="1375"/>
      <c r="AI626" s="1375"/>
      <c r="AJ626" s="1376"/>
      <c r="AK626" s="1770"/>
      <c r="AL626" s="1771"/>
      <c r="AM626" s="1771"/>
      <c r="AN626" s="1772"/>
      <c r="AO626" s="1627"/>
      <c r="AP626" s="1627"/>
      <c r="AQ626" s="1627"/>
      <c r="AR626" s="1627"/>
      <c r="AS626" s="1627"/>
      <c r="AT626" s="2"/>
      <c r="AU626" s="2"/>
      <c r="AZ626" s="2"/>
      <c r="BA626" s="2"/>
      <c r="BB626" s="2"/>
      <c r="BC626" s="2"/>
      <c r="BD626" s="2"/>
      <c r="BE626" s="1340">
        <f t="shared" si="1"/>
        <v>0</v>
      </c>
      <c r="BF626" s="1342"/>
      <c r="BG626" s="1340">
        <f t="shared" si="2"/>
        <v>0</v>
      </c>
      <c r="BH626" s="1342"/>
      <c r="BI626" s="1340">
        <f t="shared" si="3"/>
        <v>0</v>
      </c>
      <c r="BJ626" s="1342"/>
      <c r="BK626" s="1340">
        <f t="shared" si="4"/>
        <v>0</v>
      </c>
      <c r="BL626" s="1342"/>
      <c r="BM626" s="2"/>
      <c r="BN626" s="1344">
        <f t="shared" si="5"/>
        <v>0</v>
      </c>
      <c r="BO626" s="1345"/>
      <c r="BP626" s="1345"/>
      <c r="BQ626" s="1345"/>
      <c r="BR626" s="1346"/>
      <c r="BS626" s="1347">
        <f t="shared" si="6"/>
        <v>0</v>
      </c>
      <c r="BT626" s="1347"/>
      <c r="BU626" s="1347"/>
      <c r="BV626" s="1347"/>
      <c r="BW626" s="1347"/>
      <c r="BX626" s="1347">
        <f t="shared" si="7"/>
        <v>0</v>
      </c>
      <c r="BY626" s="1347"/>
      <c r="BZ626" s="1347"/>
      <c r="CA626" s="1347"/>
      <c r="CB626" s="1347"/>
      <c r="CC626" s="1347">
        <f t="shared" si="8"/>
        <v>0</v>
      </c>
      <c r="CD626" s="1347"/>
      <c r="CE626" s="1347"/>
      <c r="CF626" s="1347"/>
      <c r="CG626" s="1347"/>
      <c r="CH626" s="1347">
        <f t="shared" si="9"/>
        <v>0</v>
      </c>
      <c r="CI626" s="1347"/>
      <c r="CJ626" s="1347"/>
      <c r="CK626" s="1347"/>
      <c r="CL626" s="1347"/>
      <c r="CM626" s="1347">
        <f t="shared" si="10"/>
        <v>0</v>
      </c>
      <c r="CN626" s="1347"/>
      <c r="CO626" s="1347"/>
      <c r="CP626" s="1347"/>
      <c r="CQ626" s="1347"/>
      <c r="CR626" s="1141"/>
      <c r="CS626" s="1343">
        <f t="shared" si="11"/>
        <v>0</v>
      </c>
      <c r="CT626" s="1343"/>
      <c r="CU626" s="1343"/>
      <c r="CV626" s="1343"/>
      <c r="CW626" s="1343"/>
      <c r="CX626" s="1343">
        <f t="shared" si="12"/>
        <v>0</v>
      </c>
      <c r="CY626" s="1343"/>
      <c r="CZ626" s="1343"/>
      <c r="DA626" s="1343"/>
      <c r="DB626" s="1343"/>
      <c r="DC626" s="1343">
        <f t="shared" si="13"/>
        <v>0</v>
      </c>
      <c r="DD626" s="1343"/>
      <c r="DE626" s="1343"/>
      <c r="DF626" s="1343"/>
      <c r="DG626" s="1343"/>
      <c r="DH626" s="1343">
        <f t="shared" si="14"/>
        <v>0</v>
      </c>
      <c r="DI626" s="1343"/>
      <c r="DJ626" s="1343"/>
      <c r="DK626" s="1343"/>
      <c r="DL626" s="1343"/>
      <c r="DM626" s="1343">
        <f t="shared" si="15"/>
        <v>0</v>
      </c>
      <c r="DN626" s="1343"/>
      <c r="DO626" s="1343"/>
      <c r="DP626" s="1343"/>
      <c r="DQ626" s="1343"/>
      <c r="DR626" s="1343">
        <f t="shared" si="16"/>
        <v>0</v>
      </c>
      <c r="DS626" s="1343"/>
      <c r="DT626" s="1343"/>
      <c r="DU626" s="1343"/>
      <c r="DV626" s="1343"/>
      <c r="DX626" s="1340" t="str">
        <f t="shared" si="17"/>
        <v/>
      </c>
      <c r="DY626" s="1341"/>
      <c r="DZ626" s="1341"/>
      <c r="EA626" s="1341"/>
      <c r="EB626" s="1342"/>
      <c r="EC626" s="1340" t="str">
        <f t="shared" si="18"/>
        <v/>
      </c>
      <c r="ED626" s="1341"/>
      <c r="EE626" s="1341"/>
      <c r="EF626" s="1341"/>
      <c r="EG626" s="1342"/>
      <c r="EH626" s="1340" t="str">
        <f t="shared" si="19"/>
        <v/>
      </c>
      <c r="EI626" s="1341"/>
      <c r="EJ626" s="1341"/>
      <c r="EK626" s="1341"/>
      <c r="EL626" s="1342"/>
      <c r="EM626" s="1340" t="str">
        <f t="shared" si="20"/>
        <v/>
      </c>
      <c r="EN626" s="1341"/>
      <c r="EO626" s="1341"/>
      <c r="EP626" s="1341"/>
      <c r="EQ626" s="1342"/>
      <c r="ER626" s="1340" t="str">
        <f t="shared" si="21"/>
        <v/>
      </c>
      <c r="ES626" s="1341"/>
      <c r="ET626" s="1341"/>
      <c r="EU626" s="1341"/>
      <c r="EV626" s="1342"/>
      <c r="EW626" s="1340" t="str">
        <f t="shared" si="22"/>
        <v/>
      </c>
      <c r="EX626" s="1341"/>
      <c r="EY626" s="1341"/>
      <c r="EZ626" s="1341"/>
      <c r="FA626" s="1342"/>
    </row>
    <row r="627" spans="2:157" ht="13" customHeight="1">
      <c r="B627" s="35" t="s">
        <v>17</v>
      </c>
      <c r="C627" s="1467" t="s">
        <v>1498</v>
      </c>
      <c r="D627" s="1467"/>
      <c r="E627" s="1467"/>
      <c r="F627" s="1467"/>
      <c r="G627" s="1467"/>
      <c r="H627" s="1467"/>
      <c r="I627" s="1467"/>
      <c r="J627" s="1467"/>
      <c r="K627" s="1467"/>
      <c r="L627" s="1467"/>
      <c r="M627" s="1632" t="s">
        <v>1423</v>
      </c>
      <c r="N627" s="1632"/>
      <c r="O627" s="1632"/>
      <c r="P627" s="1632"/>
      <c r="Q627" s="1514">
        <f>17*12</f>
        <v>204</v>
      </c>
      <c r="R627" s="1514"/>
      <c r="S627" s="1631"/>
      <c r="T627" s="1630">
        <f>40*12</f>
        <v>480</v>
      </c>
      <c r="U627" s="1514"/>
      <c r="V627" s="1631"/>
      <c r="W627" s="1464">
        <v>0.06</v>
      </c>
      <c r="X627" s="1465"/>
      <c r="Y627" s="1466"/>
      <c r="Z627" s="1457" t="s">
        <v>1499</v>
      </c>
      <c r="AA627" s="1458"/>
      <c r="AB627" s="1459"/>
      <c r="AC627" s="1393">
        <v>1</v>
      </c>
      <c r="AD627" s="1394"/>
      <c r="AE627" s="1395"/>
      <c r="AF627" s="1537">
        <v>475220.43478299998</v>
      </c>
      <c r="AG627" s="1538"/>
      <c r="AH627" s="1538"/>
      <c r="AI627" s="1538"/>
      <c r="AJ627" s="1539"/>
      <c r="AK627" s="1533"/>
      <c r="AL627" s="1534"/>
      <c r="AM627" s="1534"/>
      <c r="AN627" s="1535"/>
      <c r="AO627" s="1560">
        <v>7197514</v>
      </c>
      <c r="AP627" s="1560"/>
      <c r="AQ627" s="1560"/>
      <c r="AR627" s="1560"/>
      <c r="AS627" s="1560"/>
      <c r="AT627" s="2"/>
      <c r="AU627" s="2"/>
      <c r="AZ627" s="2"/>
      <c r="BA627" s="2"/>
      <c r="BB627" s="2"/>
      <c r="BC627" s="2"/>
      <c r="BD627" s="2"/>
      <c r="BE627" s="1340">
        <f t="shared" si="1"/>
        <v>0</v>
      </c>
      <c r="BF627" s="1342"/>
      <c r="BG627" s="1340">
        <f t="shared" si="2"/>
        <v>0</v>
      </c>
      <c r="BH627" s="1342"/>
      <c r="BI627" s="1340">
        <f t="shared" si="3"/>
        <v>0</v>
      </c>
      <c r="BJ627" s="1342"/>
      <c r="BK627" s="1340">
        <f t="shared" si="4"/>
        <v>0</v>
      </c>
      <c r="BL627" s="1342"/>
      <c r="BM627" s="2"/>
      <c r="BN627" s="1344">
        <f t="shared" si="5"/>
        <v>0</v>
      </c>
      <c r="BO627" s="1345"/>
      <c r="BP627" s="1345"/>
      <c r="BQ627" s="1345"/>
      <c r="BR627" s="1346"/>
      <c r="BS627" s="1347">
        <f t="shared" si="6"/>
        <v>0</v>
      </c>
      <c r="BT627" s="1347"/>
      <c r="BU627" s="1347"/>
      <c r="BV627" s="1347"/>
      <c r="BW627" s="1347"/>
      <c r="BX627" s="1347">
        <f t="shared" si="7"/>
        <v>0</v>
      </c>
      <c r="BY627" s="1347"/>
      <c r="BZ627" s="1347"/>
      <c r="CA627" s="1347"/>
      <c r="CB627" s="1347"/>
      <c r="CC627" s="1347">
        <f t="shared" si="8"/>
        <v>0</v>
      </c>
      <c r="CD627" s="1347"/>
      <c r="CE627" s="1347"/>
      <c r="CF627" s="1347"/>
      <c r="CG627" s="1347"/>
      <c r="CH627" s="1347">
        <f t="shared" si="9"/>
        <v>0</v>
      </c>
      <c r="CI627" s="1347"/>
      <c r="CJ627" s="1347"/>
      <c r="CK627" s="1347"/>
      <c r="CL627" s="1347"/>
      <c r="CM627" s="1347">
        <f t="shared" si="10"/>
        <v>0</v>
      </c>
      <c r="CN627" s="1347"/>
      <c r="CO627" s="1347"/>
      <c r="CP627" s="1347"/>
      <c r="CQ627" s="1347"/>
      <c r="CR627" s="1141"/>
      <c r="CS627" s="1343">
        <f t="shared" si="11"/>
        <v>0</v>
      </c>
      <c r="CT627" s="1343"/>
      <c r="CU627" s="1343"/>
      <c r="CV627" s="1343"/>
      <c r="CW627" s="1343"/>
      <c r="CX627" s="1343">
        <f t="shared" si="12"/>
        <v>0</v>
      </c>
      <c r="CY627" s="1343"/>
      <c r="CZ627" s="1343"/>
      <c r="DA627" s="1343"/>
      <c r="DB627" s="1343"/>
      <c r="DC627" s="1343">
        <f t="shared" si="13"/>
        <v>0</v>
      </c>
      <c r="DD627" s="1343"/>
      <c r="DE627" s="1343"/>
      <c r="DF627" s="1343"/>
      <c r="DG627" s="1343"/>
      <c r="DH627" s="1343">
        <f t="shared" si="14"/>
        <v>0</v>
      </c>
      <c r="DI627" s="1343"/>
      <c r="DJ627" s="1343"/>
      <c r="DK627" s="1343"/>
      <c r="DL627" s="1343"/>
      <c r="DM627" s="1343">
        <f t="shared" si="15"/>
        <v>0</v>
      </c>
      <c r="DN627" s="1343"/>
      <c r="DO627" s="1343"/>
      <c r="DP627" s="1343"/>
      <c r="DQ627" s="1343"/>
      <c r="DR627" s="1343">
        <f t="shared" si="16"/>
        <v>0</v>
      </c>
      <c r="DS627" s="1343"/>
      <c r="DT627" s="1343"/>
      <c r="DU627" s="1343"/>
      <c r="DV627" s="1343"/>
      <c r="DX627" s="1340" t="str">
        <f t="shared" si="17"/>
        <v/>
      </c>
      <c r="DY627" s="1341"/>
      <c r="DZ627" s="1341"/>
      <c r="EA627" s="1341"/>
      <c r="EB627" s="1342"/>
      <c r="EC627" s="1340" t="str">
        <f t="shared" si="18"/>
        <v/>
      </c>
      <c r="ED627" s="1341"/>
      <c r="EE627" s="1341"/>
      <c r="EF627" s="1341"/>
      <c r="EG627" s="1342"/>
      <c r="EH627" s="1340" t="str">
        <f t="shared" si="19"/>
        <v/>
      </c>
      <c r="EI627" s="1341"/>
      <c r="EJ627" s="1341"/>
      <c r="EK627" s="1341"/>
      <c r="EL627" s="1342"/>
      <c r="EM627" s="1340" t="str">
        <f t="shared" si="20"/>
        <v/>
      </c>
      <c r="EN627" s="1341"/>
      <c r="EO627" s="1341"/>
      <c r="EP627" s="1341"/>
      <c r="EQ627" s="1342"/>
      <c r="ER627" s="1340" t="str">
        <f t="shared" si="21"/>
        <v/>
      </c>
      <c r="ES627" s="1341"/>
      <c r="ET627" s="1341"/>
      <c r="EU627" s="1341"/>
      <c r="EV627" s="1342"/>
      <c r="EW627" s="1340" t="str">
        <f t="shared" si="22"/>
        <v/>
      </c>
      <c r="EX627" s="1341"/>
      <c r="EY627" s="1341"/>
      <c r="EZ627" s="1341"/>
      <c r="FA627" s="1342"/>
    </row>
    <row r="628" spans="2:157" ht="13" customHeight="1">
      <c r="B628" s="36" t="s">
        <v>30</v>
      </c>
      <c r="C628" s="1467" t="s">
        <v>1500</v>
      </c>
      <c r="D628" s="1467"/>
      <c r="E628" s="1467"/>
      <c r="F628" s="1467"/>
      <c r="G628" s="1467"/>
      <c r="H628" s="1467"/>
      <c r="I628" s="1467"/>
      <c r="J628" s="1467"/>
      <c r="K628" s="1467"/>
      <c r="L628" s="1467"/>
      <c r="M628" s="1632" t="s">
        <v>1410</v>
      </c>
      <c r="N628" s="1632"/>
      <c r="O628" s="1632"/>
      <c r="P628" s="1632"/>
      <c r="Q628" s="1630"/>
      <c r="R628" s="1514"/>
      <c r="S628" s="1631"/>
      <c r="T628" s="1630"/>
      <c r="U628" s="1514"/>
      <c r="V628" s="1631"/>
      <c r="W628" s="1464"/>
      <c r="X628" s="1465"/>
      <c r="Y628" s="1466"/>
      <c r="Z628" s="1457" t="s">
        <v>1501</v>
      </c>
      <c r="AA628" s="1458"/>
      <c r="AB628" s="1459"/>
      <c r="AC628" s="1393"/>
      <c r="AD628" s="1394"/>
      <c r="AE628" s="1395"/>
      <c r="AF628" s="1537"/>
      <c r="AG628" s="1538"/>
      <c r="AH628" s="1538"/>
      <c r="AI628" s="1538"/>
      <c r="AJ628" s="1539"/>
      <c r="AK628" s="1533"/>
      <c r="AL628" s="1534"/>
      <c r="AM628" s="1534"/>
      <c r="AN628" s="1535"/>
      <c r="AO628" s="1461">
        <v>4985639</v>
      </c>
      <c r="AP628" s="1462"/>
      <c r="AQ628" s="1462"/>
      <c r="AR628" s="1462"/>
      <c r="AS628" s="1463"/>
      <c r="AT628" s="960" t="str">
        <f>IF(AND(NOT(C627=""),C628="",NOT(C629="")),"!","")</f>
        <v/>
      </c>
      <c r="AU628" s="2"/>
      <c r="AZ628" s="2"/>
      <c r="BA628" s="2"/>
      <c r="BB628" s="2"/>
      <c r="BC628" s="2"/>
      <c r="BD628" s="2"/>
      <c r="BE628" s="1340">
        <f t="shared" si="1"/>
        <v>0</v>
      </c>
      <c r="BF628" s="1342"/>
      <c r="BG628" s="1340">
        <f t="shared" si="2"/>
        <v>0</v>
      </c>
      <c r="BH628" s="1342"/>
      <c r="BI628" s="1340">
        <f t="shared" si="3"/>
        <v>0</v>
      </c>
      <c r="BJ628" s="1342"/>
      <c r="BK628" s="1340">
        <f t="shared" si="4"/>
        <v>0</v>
      </c>
      <c r="BL628" s="1342"/>
      <c r="BM628" s="2"/>
      <c r="BN628" s="1344">
        <f t="shared" si="5"/>
        <v>0</v>
      </c>
      <c r="BO628" s="1345"/>
      <c r="BP628" s="1345"/>
      <c r="BQ628" s="1345"/>
      <c r="BR628" s="1346"/>
      <c r="BS628" s="1347">
        <f t="shared" si="6"/>
        <v>0</v>
      </c>
      <c r="BT628" s="1347"/>
      <c r="BU628" s="1347"/>
      <c r="BV628" s="1347"/>
      <c r="BW628" s="1347"/>
      <c r="BX628" s="1347">
        <f t="shared" si="7"/>
        <v>0</v>
      </c>
      <c r="BY628" s="1347"/>
      <c r="BZ628" s="1347"/>
      <c r="CA628" s="1347"/>
      <c r="CB628" s="1347"/>
      <c r="CC628" s="1347">
        <f t="shared" si="8"/>
        <v>0</v>
      </c>
      <c r="CD628" s="1347"/>
      <c r="CE628" s="1347"/>
      <c r="CF628" s="1347"/>
      <c r="CG628" s="1347"/>
      <c r="CH628" s="1347">
        <f t="shared" si="9"/>
        <v>0</v>
      </c>
      <c r="CI628" s="1347"/>
      <c r="CJ628" s="1347"/>
      <c r="CK628" s="1347"/>
      <c r="CL628" s="1347"/>
      <c r="CM628" s="1347">
        <f t="shared" si="10"/>
        <v>0</v>
      </c>
      <c r="CN628" s="1347"/>
      <c r="CO628" s="1347"/>
      <c r="CP628" s="1347"/>
      <c r="CQ628" s="1347"/>
      <c r="CR628" s="1141"/>
      <c r="CS628" s="1343">
        <f t="shared" si="11"/>
        <v>0</v>
      </c>
      <c r="CT628" s="1343"/>
      <c r="CU628" s="1343"/>
      <c r="CV628" s="1343"/>
      <c r="CW628" s="1343"/>
      <c r="CX628" s="1343">
        <f t="shared" si="12"/>
        <v>0</v>
      </c>
      <c r="CY628" s="1343"/>
      <c r="CZ628" s="1343"/>
      <c r="DA628" s="1343"/>
      <c r="DB628" s="1343"/>
      <c r="DC628" s="1343">
        <f t="shared" si="13"/>
        <v>0</v>
      </c>
      <c r="DD628" s="1343"/>
      <c r="DE628" s="1343"/>
      <c r="DF628" s="1343"/>
      <c r="DG628" s="1343"/>
      <c r="DH628" s="1343">
        <f t="shared" si="14"/>
        <v>0</v>
      </c>
      <c r="DI628" s="1343"/>
      <c r="DJ628" s="1343"/>
      <c r="DK628" s="1343"/>
      <c r="DL628" s="1343"/>
      <c r="DM628" s="1343">
        <f t="shared" si="15"/>
        <v>0</v>
      </c>
      <c r="DN628" s="1343"/>
      <c r="DO628" s="1343"/>
      <c r="DP628" s="1343"/>
      <c r="DQ628" s="1343"/>
      <c r="DR628" s="1343">
        <f t="shared" si="16"/>
        <v>0</v>
      </c>
      <c r="DS628" s="1343"/>
      <c r="DT628" s="1343"/>
      <c r="DU628" s="1343"/>
      <c r="DV628" s="1343"/>
      <c r="DX628" s="1340" t="str">
        <f t="shared" si="17"/>
        <v/>
      </c>
      <c r="DY628" s="1341"/>
      <c r="DZ628" s="1341"/>
      <c r="EA628" s="1341"/>
      <c r="EB628" s="1342"/>
      <c r="EC628" s="1340" t="str">
        <f t="shared" si="18"/>
        <v/>
      </c>
      <c r="ED628" s="1341"/>
      <c r="EE628" s="1341"/>
      <c r="EF628" s="1341"/>
      <c r="EG628" s="1342"/>
      <c r="EH628" s="1340" t="str">
        <f t="shared" si="19"/>
        <v/>
      </c>
      <c r="EI628" s="1341"/>
      <c r="EJ628" s="1341"/>
      <c r="EK628" s="1341"/>
      <c r="EL628" s="1342"/>
      <c r="EM628" s="1340" t="str">
        <f t="shared" si="20"/>
        <v/>
      </c>
      <c r="EN628" s="1341"/>
      <c r="EO628" s="1341"/>
      <c r="EP628" s="1341"/>
      <c r="EQ628" s="1342"/>
      <c r="ER628" s="1340" t="str">
        <f t="shared" si="21"/>
        <v/>
      </c>
      <c r="ES628" s="1341"/>
      <c r="ET628" s="1341"/>
      <c r="EU628" s="1341"/>
      <c r="EV628" s="1342"/>
      <c r="EW628" s="1340" t="str">
        <f t="shared" si="22"/>
        <v/>
      </c>
      <c r="EX628" s="1341"/>
      <c r="EY628" s="1341"/>
      <c r="EZ628" s="1341"/>
      <c r="FA628" s="1342"/>
    </row>
    <row r="629" spans="2:157" ht="13" customHeight="1">
      <c r="B629" s="36" t="s">
        <v>38</v>
      </c>
      <c r="C629" s="1467" t="s">
        <v>1502</v>
      </c>
      <c r="D629" s="1467"/>
      <c r="E629" s="1467"/>
      <c r="F629" s="1467"/>
      <c r="G629" s="1467"/>
      <c r="H629" s="1467"/>
      <c r="I629" s="1467"/>
      <c r="J629" s="1467"/>
      <c r="K629" s="1467"/>
      <c r="L629" s="1467"/>
      <c r="M629" s="1632" t="s">
        <v>1427</v>
      </c>
      <c r="N629" s="1632"/>
      <c r="O629" s="1632"/>
      <c r="P629" s="1632"/>
      <c r="Q629" s="1630">
        <f>55*12</f>
        <v>660</v>
      </c>
      <c r="R629" s="1514"/>
      <c r="S629" s="1631"/>
      <c r="T629" s="1630"/>
      <c r="U629" s="1514"/>
      <c r="V629" s="1631"/>
      <c r="W629" s="1464">
        <v>0.03</v>
      </c>
      <c r="X629" s="1465"/>
      <c r="Y629" s="1466"/>
      <c r="Z629" s="1457" t="s">
        <v>1499</v>
      </c>
      <c r="AA629" s="1458"/>
      <c r="AB629" s="1459"/>
      <c r="AC629" s="1393">
        <v>2</v>
      </c>
      <c r="AD629" s="1394"/>
      <c r="AE629" s="1395"/>
      <c r="AF629" s="1537"/>
      <c r="AG629" s="1538"/>
      <c r="AH629" s="1538"/>
      <c r="AI629" s="1538"/>
      <c r="AJ629" s="1539"/>
      <c r="AK629" s="1533"/>
      <c r="AL629" s="1534"/>
      <c r="AM629" s="1534"/>
      <c r="AN629" s="1535"/>
      <c r="AO629" s="1461">
        <v>4000000</v>
      </c>
      <c r="AP629" s="1462"/>
      <c r="AQ629" s="1462"/>
      <c r="AR629" s="1462"/>
      <c r="AS629" s="1463"/>
      <c r="AT629" s="960" t="str">
        <f t="shared" ref="AT629:AT638" si="23">IF(AND(NOT(C628=""),C629="",NOT(C630="")),"!","")</f>
        <v/>
      </c>
      <c r="AU629" s="2"/>
      <c r="AZ629" s="2"/>
      <c r="BA629" s="2"/>
      <c r="BB629" s="2"/>
      <c r="BC629" s="2"/>
      <c r="BD629" s="2"/>
      <c r="BE629" s="1340">
        <f t="shared" si="1"/>
        <v>0</v>
      </c>
      <c r="BF629" s="1342"/>
      <c r="BG629" s="1340">
        <f t="shared" si="2"/>
        <v>0</v>
      </c>
      <c r="BH629" s="1342"/>
      <c r="BI629" s="1340">
        <f t="shared" si="3"/>
        <v>0</v>
      </c>
      <c r="BJ629" s="1342"/>
      <c r="BK629" s="1340">
        <f t="shared" si="4"/>
        <v>0</v>
      </c>
      <c r="BL629" s="1342"/>
      <c r="BM629" s="2"/>
      <c r="BN629" s="1344">
        <f t="shared" si="5"/>
        <v>0</v>
      </c>
      <c r="BO629" s="1345"/>
      <c r="BP629" s="1345"/>
      <c r="BQ629" s="1345"/>
      <c r="BR629" s="1346"/>
      <c r="BS629" s="1347">
        <f t="shared" si="6"/>
        <v>0</v>
      </c>
      <c r="BT629" s="1347"/>
      <c r="BU629" s="1347"/>
      <c r="BV629" s="1347"/>
      <c r="BW629" s="1347"/>
      <c r="BX629" s="1347">
        <f t="shared" si="7"/>
        <v>0</v>
      </c>
      <c r="BY629" s="1347"/>
      <c r="BZ629" s="1347"/>
      <c r="CA629" s="1347"/>
      <c r="CB629" s="1347"/>
      <c r="CC629" s="1347">
        <f t="shared" si="8"/>
        <v>0</v>
      </c>
      <c r="CD629" s="1347"/>
      <c r="CE629" s="1347"/>
      <c r="CF629" s="1347"/>
      <c r="CG629" s="1347"/>
      <c r="CH629" s="1347">
        <f t="shared" si="9"/>
        <v>0</v>
      </c>
      <c r="CI629" s="1347"/>
      <c r="CJ629" s="1347"/>
      <c r="CK629" s="1347"/>
      <c r="CL629" s="1347"/>
      <c r="CM629" s="1347">
        <f t="shared" si="10"/>
        <v>0</v>
      </c>
      <c r="CN629" s="1347"/>
      <c r="CO629" s="1347"/>
      <c r="CP629" s="1347"/>
      <c r="CQ629" s="1347"/>
      <c r="CR629" s="1141"/>
      <c r="CS629" s="1343">
        <f t="shared" si="11"/>
        <v>0</v>
      </c>
      <c r="CT629" s="1343"/>
      <c r="CU629" s="1343"/>
      <c r="CV629" s="1343"/>
      <c r="CW629" s="1343"/>
      <c r="CX629" s="1343">
        <f t="shared" si="12"/>
        <v>0</v>
      </c>
      <c r="CY629" s="1343"/>
      <c r="CZ629" s="1343"/>
      <c r="DA629" s="1343"/>
      <c r="DB629" s="1343"/>
      <c r="DC629" s="1343">
        <f t="shared" si="13"/>
        <v>0</v>
      </c>
      <c r="DD629" s="1343"/>
      <c r="DE629" s="1343"/>
      <c r="DF629" s="1343"/>
      <c r="DG629" s="1343"/>
      <c r="DH629" s="1343">
        <f t="shared" si="14"/>
        <v>0</v>
      </c>
      <c r="DI629" s="1343"/>
      <c r="DJ629" s="1343"/>
      <c r="DK629" s="1343"/>
      <c r="DL629" s="1343"/>
      <c r="DM629" s="1343">
        <f t="shared" si="15"/>
        <v>0</v>
      </c>
      <c r="DN629" s="1343"/>
      <c r="DO629" s="1343"/>
      <c r="DP629" s="1343"/>
      <c r="DQ629" s="1343"/>
      <c r="DR629" s="1343">
        <f t="shared" si="16"/>
        <v>0</v>
      </c>
      <c r="DS629" s="1343"/>
      <c r="DT629" s="1343"/>
      <c r="DU629" s="1343"/>
      <c r="DV629" s="1343"/>
      <c r="DX629" s="1340" t="str">
        <f t="shared" si="17"/>
        <v/>
      </c>
      <c r="DY629" s="1341"/>
      <c r="DZ629" s="1341"/>
      <c r="EA629" s="1341"/>
      <c r="EB629" s="1342"/>
      <c r="EC629" s="1340" t="str">
        <f t="shared" si="18"/>
        <v/>
      </c>
      <c r="ED629" s="1341"/>
      <c r="EE629" s="1341"/>
      <c r="EF629" s="1341"/>
      <c r="EG629" s="1342"/>
      <c r="EH629" s="1340" t="str">
        <f t="shared" si="19"/>
        <v/>
      </c>
      <c r="EI629" s="1341"/>
      <c r="EJ629" s="1341"/>
      <c r="EK629" s="1341"/>
      <c r="EL629" s="1342"/>
      <c r="EM629" s="1340" t="str">
        <f t="shared" si="20"/>
        <v/>
      </c>
      <c r="EN629" s="1341"/>
      <c r="EO629" s="1341"/>
      <c r="EP629" s="1341"/>
      <c r="EQ629" s="1342"/>
      <c r="ER629" s="1340" t="str">
        <f t="shared" si="21"/>
        <v/>
      </c>
      <c r="ES629" s="1341"/>
      <c r="ET629" s="1341"/>
      <c r="EU629" s="1341"/>
      <c r="EV629" s="1342"/>
      <c r="EW629" s="1340" t="str">
        <f t="shared" si="22"/>
        <v/>
      </c>
      <c r="EX629" s="1341"/>
      <c r="EY629" s="1341"/>
      <c r="EZ629" s="1341"/>
      <c r="FA629" s="1342"/>
    </row>
    <row r="630" spans="2:157" ht="13" customHeight="1">
      <c r="B630" s="36" t="s">
        <v>81</v>
      </c>
      <c r="C630" s="1467" t="s">
        <v>1503</v>
      </c>
      <c r="D630" s="1467"/>
      <c r="E630" s="1467"/>
      <c r="F630" s="1467"/>
      <c r="G630" s="1467"/>
      <c r="H630" s="1467"/>
      <c r="I630" s="1467"/>
      <c r="J630" s="1467"/>
      <c r="K630" s="1467"/>
      <c r="L630" s="1467"/>
      <c r="M630" s="1632" t="s">
        <v>1427</v>
      </c>
      <c r="N630" s="1632"/>
      <c r="O630" s="1632"/>
      <c r="P630" s="1632"/>
      <c r="Q630" s="1630">
        <f>55*12</f>
        <v>660</v>
      </c>
      <c r="R630" s="1514"/>
      <c r="S630" s="1631"/>
      <c r="T630" s="1630"/>
      <c r="U630" s="1514"/>
      <c r="V630" s="1631"/>
      <c r="W630" s="1464">
        <v>0.03</v>
      </c>
      <c r="X630" s="1465"/>
      <c r="Y630" s="1466"/>
      <c r="Z630" s="1457" t="s">
        <v>1499</v>
      </c>
      <c r="AA630" s="1458"/>
      <c r="AB630" s="1459"/>
      <c r="AC630" s="1393">
        <v>2</v>
      </c>
      <c r="AD630" s="1394"/>
      <c r="AE630" s="1395"/>
      <c r="AF630" s="1537"/>
      <c r="AG630" s="1538"/>
      <c r="AH630" s="1538"/>
      <c r="AI630" s="1538"/>
      <c r="AJ630" s="1539"/>
      <c r="AK630" s="1533"/>
      <c r="AL630" s="1534"/>
      <c r="AM630" s="1534"/>
      <c r="AN630" s="1535"/>
      <c r="AO630" s="1461">
        <v>4403263</v>
      </c>
      <c r="AP630" s="1462"/>
      <c r="AQ630" s="1462"/>
      <c r="AR630" s="1462"/>
      <c r="AS630" s="1463"/>
      <c r="AT630" s="960" t="str">
        <f t="shared" si="23"/>
        <v/>
      </c>
      <c r="AU630" s="2"/>
      <c r="AZ630" s="2"/>
      <c r="BA630" s="2"/>
      <c r="BB630" s="2"/>
      <c r="BC630" s="2"/>
      <c r="BD630" s="2"/>
      <c r="BE630" s="1340">
        <f t="shared" si="1"/>
        <v>0</v>
      </c>
      <c r="BF630" s="1342"/>
      <c r="BG630" s="1340">
        <f t="shared" si="2"/>
        <v>0</v>
      </c>
      <c r="BH630" s="1342"/>
      <c r="BI630" s="1340">
        <f t="shared" si="3"/>
        <v>0</v>
      </c>
      <c r="BJ630" s="1342"/>
      <c r="BK630" s="1340">
        <f t="shared" si="4"/>
        <v>0</v>
      </c>
      <c r="BL630" s="1342"/>
      <c r="BM630" s="2"/>
      <c r="BN630" s="1344">
        <f t="shared" si="5"/>
        <v>0</v>
      </c>
      <c r="BO630" s="1345"/>
      <c r="BP630" s="1345"/>
      <c r="BQ630" s="1345"/>
      <c r="BR630" s="1346"/>
      <c r="BS630" s="1347">
        <f t="shared" si="6"/>
        <v>0</v>
      </c>
      <c r="BT630" s="1347"/>
      <c r="BU630" s="1347"/>
      <c r="BV630" s="1347"/>
      <c r="BW630" s="1347"/>
      <c r="BX630" s="1347">
        <f t="shared" si="7"/>
        <v>0</v>
      </c>
      <c r="BY630" s="1347"/>
      <c r="BZ630" s="1347"/>
      <c r="CA630" s="1347"/>
      <c r="CB630" s="1347"/>
      <c r="CC630" s="1347">
        <f t="shared" si="8"/>
        <v>0</v>
      </c>
      <c r="CD630" s="1347"/>
      <c r="CE630" s="1347"/>
      <c r="CF630" s="1347"/>
      <c r="CG630" s="1347"/>
      <c r="CH630" s="1347">
        <f t="shared" si="9"/>
        <v>0</v>
      </c>
      <c r="CI630" s="1347"/>
      <c r="CJ630" s="1347"/>
      <c r="CK630" s="1347"/>
      <c r="CL630" s="1347"/>
      <c r="CM630" s="1347">
        <f t="shared" si="10"/>
        <v>0</v>
      </c>
      <c r="CN630" s="1347"/>
      <c r="CO630" s="1347"/>
      <c r="CP630" s="1347"/>
      <c r="CQ630" s="1347"/>
      <c r="CR630" s="1141"/>
      <c r="CS630" s="1343">
        <f t="shared" si="11"/>
        <v>0</v>
      </c>
      <c r="CT630" s="1343"/>
      <c r="CU630" s="1343"/>
      <c r="CV630" s="1343"/>
      <c r="CW630" s="1343"/>
      <c r="CX630" s="1343">
        <f t="shared" si="12"/>
        <v>0</v>
      </c>
      <c r="CY630" s="1343"/>
      <c r="CZ630" s="1343"/>
      <c r="DA630" s="1343"/>
      <c r="DB630" s="1343"/>
      <c r="DC630" s="1343">
        <f t="shared" si="13"/>
        <v>0</v>
      </c>
      <c r="DD630" s="1343"/>
      <c r="DE630" s="1343"/>
      <c r="DF630" s="1343"/>
      <c r="DG630" s="1343"/>
      <c r="DH630" s="1343">
        <f t="shared" si="14"/>
        <v>0</v>
      </c>
      <c r="DI630" s="1343"/>
      <c r="DJ630" s="1343"/>
      <c r="DK630" s="1343"/>
      <c r="DL630" s="1343"/>
      <c r="DM630" s="1343">
        <f t="shared" si="15"/>
        <v>0</v>
      </c>
      <c r="DN630" s="1343"/>
      <c r="DO630" s="1343"/>
      <c r="DP630" s="1343"/>
      <c r="DQ630" s="1343"/>
      <c r="DR630" s="1343">
        <f t="shared" si="16"/>
        <v>0</v>
      </c>
      <c r="DS630" s="1343"/>
      <c r="DT630" s="1343"/>
      <c r="DU630" s="1343"/>
      <c r="DV630" s="1343"/>
      <c r="DX630" s="1340" t="str">
        <f t="shared" si="17"/>
        <v/>
      </c>
      <c r="DY630" s="1341"/>
      <c r="DZ630" s="1341"/>
      <c r="EA630" s="1341"/>
      <c r="EB630" s="1342"/>
      <c r="EC630" s="1340" t="str">
        <f t="shared" si="18"/>
        <v/>
      </c>
      <c r="ED630" s="1341"/>
      <c r="EE630" s="1341"/>
      <c r="EF630" s="1341"/>
      <c r="EG630" s="1342"/>
      <c r="EH630" s="1340" t="str">
        <f t="shared" si="19"/>
        <v/>
      </c>
      <c r="EI630" s="1341"/>
      <c r="EJ630" s="1341"/>
      <c r="EK630" s="1341"/>
      <c r="EL630" s="1342"/>
      <c r="EM630" s="1340" t="str">
        <f t="shared" si="20"/>
        <v/>
      </c>
      <c r="EN630" s="1341"/>
      <c r="EO630" s="1341"/>
      <c r="EP630" s="1341"/>
      <c r="EQ630" s="1342"/>
      <c r="ER630" s="1340" t="str">
        <f t="shared" si="21"/>
        <v/>
      </c>
      <c r="ES630" s="1341"/>
      <c r="ET630" s="1341"/>
      <c r="EU630" s="1341"/>
      <c r="EV630" s="1342"/>
      <c r="EW630" s="1340" t="str">
        <f t="shared" si="22"/>
        <v/>
      </c>
      <c r="EX630" s="1341"/>
      <c r="EY630" s="1341"/>
      <c r="EZ630" s="1341"/>
      <c r="FA630" s="1342"/>
    </row>
    <row r="631" spans="2:157" ht="13" customHeight="1">
      <c r="B631" s="36" t="s">
        <v>85</v>
      </c>
      <c r="C631" s="1467" t="s">
        <v>1504</v>
      </c>
      <c r="D631" s="1467"/>
      <c r="E631" s="1467"/>
      <c r="F631" s="1467"/>
      <c r="G631" s="1467"/>
      <c r="H631" s="1467"/>
      <c r="I631" s="1467"/>
      <c r="J631" s="1467"/>
      <c r="K631" s="1467"/>
      <c r="L631" s="1467"/>
      <c r="M631" s="1632" t="s">
        <v>1427</v>
      </c>
      <c r="N631" s="1632"/>
      <c r="O631" s="1632"/>
      <c r="P631" s="1632"/>
      <c r="Q631" s="1630"/>
      <c r="R631" s="1514"/>
      <c r="S631" s="1631"/>
      <c r="T631" s="1630"/>
      <c r="U631" s="1514"/>
      <c r="V631" s="1631"/>
      <c r="W631" s="1464"/>
      <c r="X631" s="1465"/>
      <c r="Y631" s="1466"/>
      <c r="Z631" s="1457" t="s">
        <v>1499</v>
      </c>
      <c r="AA631" s="1458"/>
      <c r="AB631" s="1459"/>
      <c r="AC631" s="1393"/>
      <c r="AD631" s="1394"/>
      <c r="AE631" s="1395"/>
      <c r="AF631" s="1537"/>
      <c r="AG631" s="1538"/>
      <c r="AH631" s="1538"/>
      <c r="AI631" s="1538"/>
      <c r="AJ631" s="1539"/>
      <c r="AK631" s="1533"/>
      <c r="AL631" s="1534"/>
      <c r="AM631" s="1534"/>
      <c r="AN631" s="1535"/>
      <c r="AO631" s="1461">
        <v>650000</v>
      </c>
      <c r="AP631" s="1462"/>
      <c r="AQ631" s="1462"/>
      <c r="AR631" s="1462"/>
      <c r="AS631" s="1463"/>
      <c r="AT631" s="960" t="str">
        <f t="shared" si="23"/>
        <v/>
      </c>
      <c r="AU631" s="2"/>
      <c r="AZ631" s="2"/>
      <c r="BA631" s="2"/>
      <c r="BB631" s="2"/>
      <c r="BC631" s="2"/>
      <c r="BD631" s="2"/>
      <c r="BE631" s="1340">
        <f t="shared" si="1"/>
        <v>0</v>
      </c>
      <c r="BF631" s="1342"/>
      <c r="BG631" s="1340">
        <f t="shared" si="2"/>
        <v>0</v>
      </c>
      <c r="BH631" s="1342"/>
      <c r="BI631" s="1340">
        <f t="shared" si="3"/>
        <v>0</v>
      </c>
      <c r="BJ631" s="1342"/>
      <c r="BK631" s="1340">
        <f t="shared" si="4"/>
        <v>0</v>
      </c>
      <c r="BL631" s="1342"/>
      <c r="BM631" s="2"/>
      <c r="BN631" s="1344">
        <f t="shared" si="5"/>
        <v>0</v>
      </c>
      <c r="BO631" s="1345"/>
      <c r="BP631" s="1345"/>
      <c r="BQ631" s="1345"/>
      <c r="BR631" s="1346"/>
      <c r="BS631" s="1347">
        <f t="shared" si="6"/>
        <v>0</v>
      </c>
      <c r="BT631" s="1347"/>
      <c r="BU631" s="1347"/>
      <c r="BV631" s="1347"/>
      <c r="BW631" s="1347"/>
      <c r="BX631" s="1347">
        <f t="shared" si="7"/>
        <v>0</v>
      </c>
      <c r="BY631" s="1347"/>
      <c r="BZ631" s="1347"/>
      <c r="CA631" s="1347"/>
      <c r="CB631" s="1347"/>
      <c r="CC631" s="1347">
        <f t="shared" si="8"/>
        <v>0</v>
      </c>
      <c r="CD631" s="1347"/>
      <c r="CE631" s="1347"/>
      <c r="CF631" s="1347"/>
      <c r="CG631" s="1347"/>
      <c r="CH631" s="1347">
        <f t="shared" si="9"/>
        <v>0</v>
      </c>
      <c r="CI631" s="1347"/>
      <c r="CJ631" s="1347"/>
      <c r="CK631" s="1347"/>
      <c r="CL631" s="1347"/>
      <c r="CM631" s="1347">
        <f t="shared" si="10"/>
        <v>0</v>
      </c>
      <c r="CN631" s="1347"/>
      <c r="CO631" s="1347"/>
      <c r="CP631" s="1347"/>
      <c r="CQ631" s="1347"/>
      <c r="CR631" s="1141"/>
      <c r="CS631" s="1343">
        <f t="shared" si="11"/>
        <v>0</v>
      </c>
      <c r="CT631" s="1343"/>
      <c r="CU631" s="1343"/>
      <c r="CV631" s="1343"/>
      <c r="CW631" s="1343"/>
      <c r="CX631" s="1343">
        <f t="shared" si="12"/>
        <v>0</v>
      </c>
      <c r="CY631" s="1343"/>
      <c r="CZ631" s="1343"/>
      <c r="DA631" s="1343"/>
      <c r="DB631" s="1343"/>
      <c r="DC631" s="1343">
        <f t="shared" si="13"/>
        <v>0</v>
      </c>
      <c r="DD631" s="1343"/>
      <c r="DE631" s="1343"/>
      <c r="DF631" s="1343"/>
      <c r="DG631" s="1343"/>
      <c r="DH631" s="1343">
        <f t="shared" si="14"/>
        <v>0</v>
      </c>
      <c r="DI631" s="1343"/>
      <c r="DJ631" s="1343"/>
      <c r="DK631" s="1343"/>
      <c r="DL631" s="1343"/>
      <c r="DM631" s="1343">
        <f t="shared" si="15"/>
        <v>0</v>
      </c>
      <c r="DN631" s="1343"/>
      <c r="DO631" s="1343"/>
      <c r="DP631" s="1343"/>
      <c r="DQ631" s="1343"/>
      <c r="DR631" s="1343">
        <f t="shared" si="16"/>
        <v>0</v>
      </c>
      <c r="DS631" s="1343"/>
      <c r="DT631" s="1343"/>
      <c r="DU631" s="1343"/>
      <c r="DV631" s="1343"/>
      <c r="DX631" s="1340" t="str">
        <f t="shared" si="17"/>
        <v/>
      </c>
      <c r="DY631" s="1341"/>
      <c r="DZ631" s="1341"/>
      <c r="EA631" s="1341"/>
      <c r="EB631" s="1342"/>
      <c r="EC631" s="1340" t="str">
        <f t="shared" si="18"/>
        <v/>
      </c>
      <c r="ED631" s="1341"/>
      <c r="EE631" s="1341"/>
      <c r="EF631" s="1341"/>
      <c r="EG631" s="1342"/>
      <c r="EH631" s="1340" t="str">
        <f t="shared" si="19"/>
        <v/>
      </c>
      <c r="EI631" s="1341"/>
      <c r="EJ631" s="1341"/>
      <c r="EK631" s="1341"/>
      <c r="EL631" s="1342"/>
      <c r="EM631" s="1340" t="str">
        <f t="shared" si="20"/>
        <v/>
      </c>
      <c r="EN631" s="1341"/>
      <c r="EO631" s="1341"/>
      <c r="EP631" s="1341"/>
      <c r="EQ631" s="1342"/>
      <c r="ER631" s="1340" t="str">
        <f t="shared" si="21"/>
        <v/>
      </c>
      <c r="ES631" s="1341"/>
      <c r="ET631" s="1341"/>
      <c r="EU631" s="1341"/>
      <c r="EV631" s="1342"/>
      <c r="EW631" s="1340" t="str">
        <f t="shared" si="22"/>
        <v/>
      </c>
      <c r="EX631" s="1341"/>
      <c r="EY631" s="1341"/>
      <c r="EZ631" s="1341"/>
      <c r="FA631" s="1342"/>
    </row>
    <row r="632" spans="2:157" ht="13" customHeight="1">
      <c r="B632" s="36" t="s">
        <v>1463</v>
      </c>
      <c r="C632" s="1467"/>
      <c r="D632" s="1467"/>
      <c r="E632" s="1467"/>
      <c r="F632" s="1467"/>
      <c r="G632" s="1467"/>
      <c r="H632" s="1467"/>
      <c r="I632" s="1467"/>
      <c r="J632" s="1467"/>
      <c r="K632" s="1467"/>
      <c r="L632" s="1467"/>
      <c r="M632" s="1632" t="s">
        <v>1077</v>
      </c>
      <c r="N632" s="1632"/>
      <c r="O632" s="1632"/>
      <c r="P632" s="1632"/>
      <c r="Q632" s="1630"/>
      <c r="R632" s="1514"/>
      <c r="S632" s="1631"/>
      <c r="T632" s="1630"/>
      <c r="U632" s="1514"/>
      <c r="V632" s="1631"/>
      <c r="W632" s="1464"/>
      <c r="X632" s="1465"/>
      <c r="Y632" s="1466"/>
      <c r="Z632" s="1457" t="s">
        <v>1077</v>
      </c>
      <c r="AA632" s="1458"/>
      <c r="AB632" s="1459"/>
      <c r="AC632" s="1393"/>
      <c r="AD632" s="1394"/>
      <c r="AE632" s="1395"/>
      <c r="AF632" s="1537"/>
      <c r="AG632" s="1538"/>
      <c r="AH632" s="1538"/>
      <c r="AI632" s="1538"/>
      <c r="AJ632" s="1539"/>
      <c r="AK632" s="1533"/>
      <c r="AL632" s="1534"/>
      <c r="AM632" s="1534"/>
      <c r="AN632" s="1535"/>
      <c r="AO632" s="1461"/>
      <c r="AP632" s="1462"/>
      <c r="AQ632" s="1462"/>
      <c r="AR632" s="1462"/>
      <c r="AS632" s="1463"/>
      <c r="AT632" s="960" t="str">
        <f t="shared" si="23"/>
        <v/>
      </c>
      <c r="AU632" s="2"/>
      <c r="AZ632" s="2"/>
      <c r="BA632" s="2"/>
      <c r="BB632" s="2"/>
      <c r="BC632" s="2"/>
      <c r="BD632" s="2"/>
      <c r="BE632" s="2"/>
      <c r="BF632" s="2"/>
      <c r="BG632" s="1340">
        <f>SUM(BG597:BH631)</f>
        <v>35</v>
      </c>
      <c r="BH632" s="1342"/>
      <c r="BI632" s="2"/>
      <c r="BJ632" s="2"/>
      <c r="BK632" s="1340">
        <f>SUM(BK597:BL631)</f>
        <v>17</v>
      </c>
      <c r="BL632" s="1342"/>
      <c r="BM632" s="2"/>
      <c r="BN632" s="1340">
        <f>SUM(BN597:BR631)</f>
        <v>0</v>
      </c>
      <c r="BO632" s="1341"/>
      <c r="BP632" s="1341"/>
      <c r="BQ632" s="1341"/>
      <c r="BR632" s="1342"/>
      <c r="BS632" s="1339">
        <f>SUM(BS597:BW631)</f>
        <v>30</v>
      </c>
      <c r="BT632" s="1339"/>
      <c r="BU632" s="1339"/>
      <c r="BV632" s="1339"/>
      <c r="BW632" s="1339"/>
      <c r="BX632" s="1339">
        <f>SUM(BX597:CB631)</f>
        <v>18</v>
      </c>
      <c r="BY632" s="1339"/>
      <c r="BZ632" s="1339"/>
      <c r="CA632" s="1339"/>
      <c r="CB632" s="1339"/>
      <c r="CC632" s="1339">
        <f>SUM(CC597:CG631)</f>
        <v>16</v>
      </c>
      <c r="CD632" s="1339"/>
      <c r="CE632" s="1339"/>
      <c r="CF632" s="1339"/>
      <c r="CG632" s="1339"/>
      <c r="CH632" s="1339">
        <f>SUM(CH597:CL631)</f>
        <v>0</v>
      </c>
      <c r="CI632" s="1339"/>
      <c r="CJ632" s="1339"/>
      <c r="CK632" s="1339"/>
      <c r="CL632" s="1339"/>
      <c r="CM632" s="1339">
        <f>SUM(CM597:CQ631)</f>
        <v>0</v>
      </c>
      <c r="CN632" s="1339"/>
      <c r="CO632" s="1339"/>
      <c r="CP632" s="1339"/>
      <c r="CQ632" s="1339"/>
      <c r="CR632" s="1141"/>
      <c r="CS632" s="1339">
        <f>SUM(CS597:CW631)</f>
        <v>0</v>
      </c>
      <c r="CT632" s="1339"/>
      <c r="CU632" s="1339"/>
      <c r="CV632" s="1339"/>
      <c r="CW632" s="1339"/>
      <c r="CX632" s="1339">
        <f>SUM(CX597:DB631)</f>
        <v>11</v>
      </c>
      <c r="CY632" s="1339"/>
      <c r="CZ632" s="1339"/>
      <c r="DA632" s="1339"/>
      <c r="DB632" s="1339"/>
      <c r="DC632" s="1339">
        <f>SUM(DC597:DG631)</f>
        <v>3</v>
      </c>
      <c r="DD632" s="1339"/>
      <c r="DE632" s="1339"/>
      <c r="DF632" s="1339"/>
      <c r="DG632" s="1339"/>
      <c r="DH632" s="1339">
        <f>SUM(DH597:DL631)</f>
        <v>3</v>
      </c>
      <c r="DI632" s="1339"/>
      <c r="DJ632" s="1339"/>
      <c r="DK632" s="1339"/>
      <c r="DL632" s="1339"/>
      <c r="DM632" s="1339">
        <f>SUM(DM597:DQ631)</f>
        <v>0</v>
      </c>
      <c r="DN632" s="1339"/>
      <c r="DO632" s="1339"/>
      <c r="DP632" s="1339"/>
      <c r="DQ632" s="1339"/>
      <c r="DR632" s="1339">
        <f>SUM(DR597:DV631)</f>
        <v>0</v>
      </c>
      <c r="DS632" s="1339"/>
      <c r="DT632" s="1339"/>
      <c r="DU632" s="1339"/>
      <c r="DV632" s="1339"/>
      <c r="DX632" s="1339">
        <f>SUM(DX597:EB631)</f>
        <v>0</v>
      </c>
      <c r="DY632" s="1339"/>
      <c r="DZ632" s="1339"/>
      <c r="EA632" s="1339"/>
      <c r="EB632" s="1339"/>
      <c r="EC632" s="1339">
        <f ca="1">SUM(EC597:EG631)</f>
        <v>4506.5999999999995</v>
      </c>
      <c r="ED632" s="1339"/>
      <c r="EE632" s="1339"/>
      <c r="EF632" s="1339"/>
      <c r="EG632" s="1339"/>
      <c r="EH632" s="1339">
        <f ca="1">SUM(EH597:EL631)</f>
        <v>5195.2</v>
      </c>
      <c r="EI632" s="1339"/>
      <c r="EJ632" s="1339"/>
      <c r="EK632" s="1339"/>
      <c r="EL632" s="1339"/>
      <c r="EM632" s="1339">
        <f ca="1">SUM(EM597:EQ631)</f>
        <v>5949.8</v>
      </c>
      <c r="EN632" s="1339"/>
      <c r="EO632" s="1339"/>
      <c r="EP632" s="1339"/>
      <c r="EQ632" s="1339"/>
      <c r="ER632" s="1339">
        <f>SUM(ER597:EV631)</f>
        <v>0</v>
      </c>
      <c r="ES632" s="1339"/>
      <c r="ET632" s="1339"/>
      <c r="EU632" s="1339"/>
      <c r="EV632" s="1339"/>
      <c r="EW632" s="1339">
        <f>SUM(EW597:FA631)</f>
        <v>0</v>
      </c>
      <c r="EX632" s="1339"/>
      <c r="EY632" s="1339"/>
      <c r="EZ632" s="1339"/>
      <c r="FA632" s="1339"/>
    </row>
    <row r="633" spans="2:157" ht="13" customHeight="1">
      <c r="B633" s="36" t="s">
        <v>1464</v>
      </c>
      <c r="C633" s="1467"/>
      <c r="D633" s="1467"/>
      <c r="E633" s="1467"/>
      <c r="F633" s="1467"/>
      <c r="G633" s="1467"/>
      <c r="H633" s="1467"/>
      <c r="I633" s="1467"/>
      <c r="J633" s="1467"/>
      <c r="K633" s="1467"/>
      <c r="L633" s="1467"/>
      <c r="M633" s="1632" t="s">
        <v>1077</v>
      </c>
      <c r="N633" s="1632"/>
      <c r="O633" s="1632"/>
      <c r="P633" s="1632"/>
      <c r="Q633" s="1630"/>
      <c r="R633" s="1514"/>
      <c r="S633" s="1631"/>
      <c r="T633" s="1630"/>
      <c r="U633" s="1514"/>
      <c r="V633" s="1631"/>
      <c r="W633" s="1464"/>
      <c r="X633" s="1465"/>
      <c r="Y633" s="1466"/>
      <c r="Z633" s="1457" t="s">
        <v>1077</v>
      </c>
      <c r="AA633" s="1458"/>
      <c r="AB633" s="1459"/>
      <c r="AC633" s="1393"/>
      <c r="AD633" s="1394"/>
      <c r="AE633" s="1395"/>
      <c r="AF633" s="1537"/>
      <c r="AG633" s="1538"/>
      <c r="AH633" s="1538"/>
      <c r="AI633" s="1538"/>
      <c r="AJ633" s="1539"/>
      <c r="AK633" s="1533"/>
      <c r="AL633" s="1534"/>
      <c r="AM633" s="1534"/>
      <c r="AN633" s="1535"/>
      <c r="AO633" s="1461"/>
      <c r="AP633" s="1462"/>
      <c r="AQ633" s="1462"/>
      <c r="AR633" s="1462"/>
      <c r="AS633" s="1463"/>
      <c r="AT633" s="960"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1505</v>
      </c>
      <c r="CM633" s="1340">
        <f>BN632+BS632+BX632+CC632+CH632+CM632</f>
        <v>64</v>
      </c>
      <c r="CN633" s="1341"/>
      <c r="CO633" s="1341"/>
      <c r="CP633" s="1341"/>
      <c r="CQ633" s="1342"/>
      <c r="CR633" s="1141"/>
      <c r="CS633" s="2"/>
      <c r="CT633" s="2"/>
      <c r="CU633" s="2"/>
      <c r="CV633" s="2"/>
      <c r="CW633" s="2"/>
      <c r="CX633" s="2"/>
      <c r="CY633" s="2"/>
      <c r="CZ633" s="2"/>
      <c r="DA633" s="2"/>
      <c r="DB633" s="2"/>
      <c r="DC633" s="2"/>
      <c r="DD633" s="2"/>
      <c r="DE633" s="2"/>
      <c r="DF633" s="2"/>
    </row>
    <row r="634" spans="2:157" ht="13" customHeight="1">
      <c r="B634" s="36" t="s">
        <v>1465</v>
      </c>
      <c r="C634" s="1467"/>
      <c r="D634" s="1467"/>
      <c r="E634" s="1467"/>
      <c r="F634" s="1467"/>
      <c r="G634" s="1467"/>
      <c r="H634" s="1467"/>
      <c r="I634" s="1467"/>
      <c r="J634" s="1467"/>
      <c r="K634" s="1467"/>
      <c r="L634" s="1467"/>
      <c r="M634" s="1632" t="s">
        <v>1077</v>
      </c>
      <c r="N634" s="1632"/>
      <c r="O634" s="1632"/>
      <c r="P634" s="1632"/>
      <c r="Q634" s="1630"/>
      <c r="R634" s="1514"/>
      <c r="S634" s="1631"/>
      <c r="T634" s="1630"/>
      <c r="U634" s="1514"/>
      <c r="V634" s="1631"/>
      <c r="W634" s="1464"/>
      <c r="X634" s="1465"/>
      <c r="Y634" s="1466"/>
      <c r="Z634" s="1457" t="s">
        <v>1077</v>
      </c>
      <c r="AA634" s="1458"/>
      <c r="AB634" s="1459"/>
      <c r="AC634" s="1393"/>
      <c r="AD634" s="1394"/>
      <c r="AE634" s="1395"/>
      <c r="AF634" s="1537"/>
      <c r="AG634" s="1538"/>
      <c r="AH634" s="1538"/>
      <c r="AI634" s="1538"/>
      <c r="AJ634" s="1539"/>
      <c r="AK634" s="1533"/>
      <c r="AL634" s="1534"/>
      <c r="AM634" s="1534"/>
      <c r="AN634" s="1535"/>
      <c r="AO634" s="1461"/>
      <c r="AP634" s="1462"/>
      <c r="AQ634" s="1462"/>
      <c r="AR634" s="1462"/>
      <c r="AS634" s="1463"/>
      <c r="AT634" s="960" t="str">
        <f t="shared" si="23"/>
        <v/>
      </c>
      <c r="AU634" s="2"/>
      <c r="AV634" s="2"/>
      <c r="AW634" s="2"/>
      <c r="AX634" s="2"/>
      <c r="AY634" s="2"/>
      <c r="AZ634" s="2"/>
      <c r="BA634" s="2" t="s">
        <v>1077</v>
      </c>
      <c r="BB634" s="2"/>
      <c r="BC634" s="2"/>
      <c r="BD634" s="2"/>
      <c r="BE634" s="2"/>
      <c r="BF634" s="2"/>
      <c r="BG634" s="2"/>
      <c r="BH634" s="2"/>
      <c r="BI634" s="2"/>
      <c r="BJ634" s="2"/>
      <c r="BK634" s="2"/>
      <c r="BL634" s="2"/>
      <c r="BM634" s="2"/>
      <c r="BR634" s="703">
        <f>BN632*1</f>
        <v>0</v>
      </c>
      <c r="BS634" s="2"/>
      <c r="BT634" s="2"/>
      <c r="BU634" s="2"/>
      <c r="BV634" s="2"/>
      <c r="BW634" s="703">
        <f>BS632*1</f>
        <v>30</v>
      </c>
      <c r="BX634" s="2"/>
      <c r="BY634" s="2"/>
      <c r="BZ634" s="2"/>
      <c r="CA634" s="2"/>
      <c r="CB634" s="703">
        <f>BX632*2</f>
        <v>36</v>
      </c>
      <c r="CC634" s="2"/>
      <c r="CD634" s="2"/>
      <c r="CE634" s="2"/>
      <c r="CF634" s="2"/>
      <c r="CG634" s="703">
        <f>CC632*3</f>
        <v>48</v>
      </c>
      <c r="CH634" s="2"/>
      <c r="CI634" s="2"/>
      <c r="CJ634" s="2"/>
      <c r="CK634" s="2"/>
      <c r="CL634" s="703">
        <f>CH632*4</f>
        <v>0</v>
      </c>
      <c r="CM634" s="2"/>
      <c r="CN634" s="2"/>
      <c r="CO634" s="2"/>
      <c r="CP634" s="2"/>
      <c r="CQ634" s="703">
        <f>CM632*5</f>
        <v>0</v>
      </c>
      <c r="CS634" s="703">
        <f>BR634+BW634+CB634+CG634+CL634+CQ634</f>
        <v>114</v>
      </c>
      <c r="CT634" s="1109" t="s">
        <v>1506</v>
      </c>
      <c r="CU634" s="2"/>
      <c r="CV634" s="2"/>
      <c r="CW634" s="2"/>
      <c r="CX634" s="2"/>
      <c r="CY634" s="2"/>
      <c r="CZ634" s="2"/>
      <c r="DA634" s="2"/>
      <c r="DB634" s="2"/>
      <c r="DC634" s="2"/>
      <c r="DD634" s="2"/>
      <c r="DE634" s="2"/>
      <c r="DF634" s="2"/>
    </row>
    <row r="635" spans="2:157" ht="13" customHeight="1">
      <c r="B635" s="36" t="s">
        <v>1466</v>
      </c>
      <c r="C635" s="1467"/>
      <c r="D635" s="1467"/>
      <c r="E635" s="1467"/>
      <c r="F635" s="1467"/>
      <c r="G635" s="1467"/>
      <c r="H635" s="1467"/>
      <c r="I635" s="1467"/>
      <c r="J635" s="1467"/>
      <c r="K635" s="1467"/>
      <c r="L635" s="1467"/>
      <c r="M635" s="1632" t="s">
        <v>1077</v>
      </c>
      <c r="N635" s="1632"/>
      <c r="O635" s="1632"/>
      <c r="P635" s="1632"/>
      <c r="Q635" s="1630"/>
      <c r="R635" s="1514"/>
      <c r="S635" s="1631"/>
      <c r="T635" s="1630"/>
      <c r="U635" s="1514"/>
      <c r="V635" s="1631"/>
      <c r="W635" s="1464"/>
      <c r="X635" s="1465"/>
      <c r="Y635" s="1466"/>
      <c r="Z635" s="1457" t="s">
        <v>1077</v>
      </c>
      <c r="AA635" s="1458"/>
      <c r="AB635" s="1459"/>
      <c r="AC635" s="1393"/>
      <c r="AD635" s="1394"/>
      <c r="AE635" s="1395"/>
      <c r="AF635" s="1537"/>
      <c r="AG635" s="1538"/>
      <c r="AH635" s="1538"/>
      <c r="AI635" s="1538"/>
      <c r="AJ635" s="1539"/>
      <c r="AK635" s="1533"/>
      <c r="AL635" s="1534"/>
      <c r="AM635" s="1534"/>
      <c r="AN635" s="1535"/>
      <c r="AO635" s="1461"/>
      <c r="AP635" s="1462"/>
      <c r="AQ635" s="1462"/>
      <c r="AR635" s="1462"/>
      <c r="AS635" s="1463"/>
      <c r="AT635" s="960" t="str">
        <f t="shared" si="23"/>
        <v/>
      </c>
      <c r="AU635" s="2"/>
      <c r="AV635" s="2"/>
      <c r="AW635" s="2"/>
      <c r="AX635" s="2"/>
      <c r="AY635" s="2"/>
      <c r="AZ635" s="2"/>
      <c r="BA635" s="2" t="s">
        <v>1501</v>
      </c>
      <c r="BB635" s="2"/>
      <c r="BC635" s="2"/>
      <c r="BD635" s="2"/>
      <c r="BE635" s="2"/>
      <c r="BF635" s="2"/>
      <c r="BG635" s="2"/>
      <c r="BH635" s="2"/>
      <c r="BI635" s="2"/>
      <c r="BJ635" s="2"/>
      <c r="BK635" s="2"/>
      <c r="BL635" s="2"/>
      <c r="BM635" s="2"/>
      <c r="CR635" s="1141"/>
      <c r="CS635" s="2"/>
      <c r="CT635" s="2"/>
      <c r="CU635" s="2"/>
      <c r="CV635" s="2"/>
      <c r="CW635" s="2"/>
      <c r="CX635" s="2"/>
      <c r="CY635" s="2"/>
      <c r="CZ635" s="2"/>
      <c r="DA635" s="2"/>
      <c r="DB635" s="2"/>
      <c r="DC635" s="2"/>
      <c r="DD635" s="2"/>
      <c r="DE635" s="2"/>
      <c r="DF635" s="2"/>
      <c r="DX635" s="1338" t="e">
        <f>DX597*(BN597/$BN$632)</f>
        <v>#VALUE!</v>
      </c>
      <c r="DY635" s="1338"/>
      <c r="DZ635" s="1338"/>
      <c r="EA635" s="1338"/>
      <c r="EB635" s="1338"/>
      <c r="EC635" s="1338">
        <f t="shared" ref="EC635:EC657" ca="1" si="24">EC597*(BS597/$BS$632)</f>
        <v>330.85333333333335</v>
      </c>
      <c r="ED635" s="1338"/>
      <c r="EE635" s="1338"/>
      <c r="EF635" s="1338"/>
      <c r="EG635" s="1338"/>
      <c r="EH635" s="1338" t="e">
        <f t="shared" ref="EH635:EH657" si="25">EH597*(BX597/$BX$632)</f>
        <v>#VALUE!</v>
      </c>
      <c r="EI635" s="1338"/>
      <c r="EJ635" s="1338"/>
      <c r="EK635" s="1338"/>
      <c r="EL635" s="1338"/>
      <c r="EM635" s="1338" t="e">
        <f t="shared" ref="EM635:EM657" si="26">EM597*(CC597/$CC$632)</f>
        <v>#VALUE!</v>
      </c>
      <c r="EN635" s="1338"/>
      <c r="EO635" s="1338"/>
      <c r="EP635" s="1338"/>
      <c r="EQ635" s="1338"/>
      <c r="ER635" s="1338" t="e">
        <f t="shared" ref="ER635:ER657" si="27">ER597*(CH597/$CH$632)</f>
        <v>#VALUE!</v>
      </c>
      <c r="ES635" s="1338"/>
      <c r="ET635" s="1338"/>
      <c r="EU635" s="1338"/>
      <c r="EV635" s="1338"/>
      <c r="EW635" s="1338" t="e">
        <f t="shared" ref="EW635:EW657" si="28">EW597*(CM597/$CM$632)</f>
        <v>#VALUE!</v>
      </c>
      <c r="EX635" s="1338"/>
      <c r="EY635" s="1338"/>
      <c r="EZ635" s="1338"/>
      <c r="FA635" s="1338"/>
    </row>
    <row r="636" spans="2:157" ht="13" customHeight="1">
      <c r="B636" s="36" t="s">
        <v>1467</v>
      </c>
      <c r="C636" s="1467"/>
      <c r="D636" s="1467"/>
      <c r="E636" s="1467"/>
      <c r="F636" s="1467"/>
      <c r="G636" s="1467"/>
      <c r="H636" s="1467"/>
      <c r="I636" s="1467"/>
      <c r="J636" s="1467"/>
      <c r="K636" s="1467"/>
      <c r="L636" s="1467"/>
      <c r="M636" s="1632" t="s">
        <v>1077</v>
      </c>
      <c r="N636" s="1632"/>
      <c r="O636" s="1632"/>
      <c r="P636" s="1632"/>
      <c r="Q636" s="1630"/>
      <c r="R636" s="1514"/>
      <c r="S636" s="1631"/>
      <c r="T636" s="1630"/>
      <c r="U636" s="1514"/>
      <c r="V636" s="1631"/>
      <c r="W636" s="1464"/>
      <c r="X636" s="1465"/>
      <c r="Y636" s="1466"/>
      <c r="Z636" s="1457" t="s">
        <v>1077</v>
      </c>
      <c r="AA636" s="1458"/>
      <c r="AB636" s="1459"/>
      <c r="AC636" s="1393"/>
      <c r="AD636" s="1394"/>
      <c r="AE636" s="1395"/>
      <c r="AF636" s="1537"/>
      <c r="AG636" s="1538"/>
      <c r="AH636" s="1538"/>
      <c r="AI636" s="1538"/>
      <c r="AJ636" s="1539"/>
      <c r="AK636" s="1533"/>
      <c r="AL636" s="1534"/>
      <c r="AM636" s="1534"/>
      <c r="AN636" s="1535"/>
      <c r="AO636" s="1461"/>
      <c r="AP636" s="1462"/>
      <c r="AQ636" s="1462"/>
      <c r="AR636" s="1462"/>
      <c r="AS636" s="1463"/>
      <c r="AT636" s="960" t="str">
        <f t="shared" si="23"/>
        <v/>
      </c>
      <c r="AV636" s="2"/>
      <c r="AW636" s="2"/>
      <c r="AX636" s="2"/>
      <c r="AY636" s="2"/>
      <c r="AZ636" s="2"/>
      <c r="BA636" s="2" t="s">
        <v>1499</v>
      </c>
      <c r="BB636" s="2"/>
      <c r="BC636" s="2"/>
      <c r="BD636" s="2"/>
      <c r="BE636" s="2"/>
      <c r="BF636" s="2"/>
      <c r="BG636" s="2"/>
      <c r="BH636" s="2"/>
      <c r="BI636" s="2"/>
      <c r="BJ636" s="2"/>
      <c r="BK636" s="2"/>
      <c r="BL636" s="2"/>
      <c r="BM636" s="2"/>
      <c r="BN636" s="2" t="s">
        <v>1507</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41"/>
      <c r="CS636" s="2"/>
      <c r="CT636" s="2"/>
      <c r="CU636" s="2"/>
      <c r="CV636" s="2"/>
      <c r="CW636" s="2"/>
      <c r="CX636" s="2"/>
      <c r="CY636" s="2"/>
      <c r="CZ636" s="2"/>
      <c r="DA636" s="2"/>
      <c r="DB636" s="2"/>
      <c r="DC636" s="2"/>
      <c r="DD636" s="2"/>
      <c r="DE636" s="2"/>
      <c r="DF636" s="2"/>
      <c r="DX636" s="1338" t="e">
        <f t="shared" ref="DX636:DX657" si="29">DX598*(BN598/$BN$632)</f>
        <v>#VALUE!</v>
      </c>
      <c r="DY636" s="1338"/>
      <c r="DZ636" s="1338"/>
      <c r="EA636" s="1338"/>
      <c r="EB636" s="1338"/>
      <c r="EC636" s="1338">
        <f t="shared" ca="1" si="24"/>
        <v>873.5</v>
      </c>
      <c r="ED636" s="1338"/>
      <c r="EE636" s="1338"/>
      <c r="EF636" s="1338"/>
      <c r="EG636" s="1338"/>
      <c r="EH636" s="1338" t="e">
        <f t="shared" si="25"/>
        <v>#VALUE!</v>
      </c>
      <c r="EI636" s="1338"/>
      <c r="EJ636" s="1338"/>
      <c r="EK636" s="1338"/>
      <c r="EL636" s="1338"/>
      <c r="EM636" s="1338" t="e">
        <f t="shared" si="26"/>
        <v>#VALUE!</v>
      </c>
      <c r="EN636" s="1338"/>
      <c r="EO636" s="1338"/>
      <c r="EP636" s="1338"/>
      <c r="EQ636" s="1338"/>
      <c r="ER636" s="1338" t="e">
        <f t="shared" si="27"/>
        <v>#VALUE!</v>
      </c>
      <c r="ES636" s="1338"/>
      <c r="ET636" s="1338"/>
      <c r="EU636" s="1338"/>
      <c r="EV636" s="1338"/>
      <c r="EW636" s="1338" t="e">
        <f t="shared" si="28"/>
        <v>#VALUE!</v>
      </c>
      <c r="EX636" s="1338"/>
      <c r="EY636" s="1338"/>
      <c r="EZ636" s="1338"/>
      <c r="FA636" s="1338"/>
    </row>
    <row r="637" spans="2:157" ht="13" customHeight="1">
      <c r="B637" s="36" t="s">
        <v>1468</v>
      </c>
      <c r="C637" s="1467"/>
      <c r="D637" s="1467"/>
      <c r="E637" s="1467"/>
      <c r="F637" s="1467"/>
      <c r="G637" s="1467"/>
      <c r="H637" s="1467"/>
      <c r="I637" s="1467"/>
      <c r="J637" s="1467"/>
      <c r="K637" s="1467"/>
      <c r="L637" s="1467"/>
      <c r="M637" s="1632" t="s">
        <v>1077</v>
      </c>
      <c r="N637" s="1632"/>
      <c r="O637" s="1632"/>
      <c r="P637" s="1632"/>
      <c r="Q637" s="1630"/>
      <c r="R637" s="1514"/>
      <c r="S637" s="1631"/>
      <c r="T637" s="1630"/>
      <c r="U637" s="1514"/>
      <c r="V637" s="1631"/>
      <c r="W637" s="1464"/>
      <c r="X637" s="1465"/>
      <c r="Y637" s="1466"/>
      <c r="Z637" s="1457" t="s">
        <v>1077</v>
      </c>
      <c r="AA637" s="1458"/>
      <c r="AB637" s="1459"/>
      <c r="AC637" s="1393"/>
      <c r="AD637" s="1394"/>
      <c r="AE637" s="1395"/>
      <c r="AF637" s="1537"/>
      <c r="AG637" s="1538"/>
      <c r="AH637" s="1538"/>
      <c r="AI637" s="1538"/>
      <c r="AJ637" s="1539"/>
      <c r="AK637" s="1533"/>
      <c r="AL637" s="1534"/>
      <c r="AM637" s="1534"/>
      <c r="AN637" s="1535"/>
      <c r="AO637" s="1461"/>
      <c r="AP637" s="1462"/>
      <c r="AQ637" s="1462"/>
      <c r="AR637" s="1462"/>
      <c r="AS637" s="1463"/>
      <c r="AT637" s="960" t="str">
        <f t="shared" si="23"/>
        <v/>
      </c>
      <c r="AV637" s="2"/>
      <c r="AW637" s="2"/>
      <c r="AX637" s="2"/>
      <c r="AY637" s="2"/>
      <c r="AZ637" s="2"/>
      <c r="BA637" s="2" t="s">
        <v>1508</v>
      </c>
      <c r="BB637" s="2"/>
      <c r="BC637" s="2"/>
      <c r="BD637" s="2"/>
      <c r="BE637" s="2"/>
      <c r="BF637" s="2"/>
      <c r="BG637" s="2"/>
      <c r="BH637" s="2"/>
      <c r="BI637" s="2"/>
      <c r="BJ637" s="2"/>
      <c r="BK637" s="2"/>
      <c r="BL637" s="2"/>
      <c r="BM637" s="2"/>
      <c r="BN637" s="1344">
        <f>IF(J773="SRO/Studio",O773,0)</f>
        <v>0</v>
      </c>
      <c r="BO637" s="1345"/>
      <c r="BP637" s="1345"/>
      <c r="BQ637" s="1345"/>
      <c r="BR637" s="1346"/>
      <c r="BS637" s="1347">
        <f>IF(J773="1 Bedroom",O773,0)</f>
        <v>0</v>
      </c>
      <c r="BT637" s="1347"/>
      <c r="BU637" s="1347"/>
      <c r="BV637" s="1347"/>
      <c r="BW637" s="1347"/>
      <c r="BX637" s="1347">
        <f>IF(J773="2 Bedrooms",O773,0)</f>
        <v>0</v>
      </c>
      <c r="BY637" s="1347"/>
      <c r="BZ637" s="1347"/>
      <c r="CA637" s="1347"/>
      <c r="CB637" s="1347"/>
      <c r="CC637" s="1347">
        <f>IF(J773="3 Bedrooms",O773,0)</f>
        <v>1</v>
      </c>
      <c r="CD637" s="1347"/>
      <c r="CE637" s="1347"/>
      <c r="CF637" s="1347"/>
      <c r="CG637" s="1347"/>
      <c r="CH637" s="1347">
        <f>IF(J773="4 Bedrooms",O773,0)</f>
        <v>0</v>
      </c>
      <c r="CI637" s="1347"/>
      <c r="CJ637" s="1347"/>
      <c r="CK637" s="1347"/>
      <c r="CL637" s="1347"/>
      <c r="CM637" s="1347">
        <f>IF(J773="5 Bedrooms",O773,0)</f>
        <v>0</v>
      </c>
      <c r="CN637" s="1347"/>
      <c r="CO637" s="1347"/>
      <c r="CP637" s="1347"/>
      <c r="CQ637" s="1347"/>
      <c r="CR637" s="1141"/>
      <c r="CS637" s="2"/>
      <c r="CT637" s="2"/>
      <c r="CU637" s="2"/>
      <c r="CV637" s="2"/>
      <c r="CW637" s="2"/>
      <c r="CX637" s="2"/>
      <c r="CY637" s="2"/>
      <c r="CZ637" s="2"/>
      <c r="DA637" s="2"/>
      <c r="DB637" s="2"/>
      <c r="DC637" s="2"/>
      <c r="DD637" s="2"/>
      <c r="DE637" s="2"/>
      <c r="DF637" s="2"/>
      <c r="DX637" s="1338" t="e">
        <f t="shared" si="29"/>
        <v>#VALUE!</v>
      </c>
      <c r="DY637" s="1338"/>
      <c r="DZ637" s="1338"/>
      <c r="EA637" s="1338"/>
      <c r="EB637" s="1338"/>
      <c r="EC637" s="1338">
        <f t="shared" ca="1" si="24"/>
        <v>102.00666666666666</v>
      </c>
      <c r="ED637" s="1338"/>
      <c r="EE637" s="1338"/>
      <c r="EF637" s="1338"/>
      <c r="EG637" s="1338"/>
      <c r="EH637" s="1338" t="e">
        <f t="shared" si="25"/>
        <v>#VALUE!</v>
      </c>
      <c r="EI637" s="1338"/>
      <c r="EJ637" s="1338"/>
      <c r="EK637" s="1338"/>
      <c r="EL637" s="1338"/>
      <c r="EM637" s="1338" t="e">
        <f t="shared" si="26"/>
        <v>#VALUE!</v>
      </c>
      <c r="EN637" s="1338"/>
      <c r="EO637" s="1338"/>
      <c r="EP637" s="1338"/>
      <c r="EQ637" s="1338"/>
      <c r="ER637" s="1338" t="e">
        <f t="shared" si="27"/>
        <v>#VALUE!</v>
      </c>
      <c r="ES637" s="1338"/>
      <c r="ET637" s="1338"/>
      <c r="EU637" s="1338"/>
      <c r="EV637" s="1338"/>
      <c r="EW637" s="1338" t="e">
        <f t="shared" si="28"/>
        <v>#VALUE!</v>
      </c>
      <c r="EX637" s="1338"/>
      <c r="EY637" s="1338"/>
      <c r="EZ637" s="1338"/>
      <c r="FA637" s="1338"/>
    </row>
    <row r="638" spans="2:157" ht="13" customHeight="1">
      <c r="B638" s="36" t="s">
        <v>1469</v>
      </c>
      <c r="C638" s="1467"/>
      <c r="D638" s="1467"/>
      <c r="E638" s="1467"/>
      <c r="F638" s="1467"/>
      <c r="G638" s="1467"/>
      <c r="H638" s="1467"/>
      <c r="I638" s="1467"/>
      <c r="J638" s="1467"/>
      <c r="K638" s="1467"/>
      <c r="L638" s="1467"/>
      <c r="M638" s="1632" t="s">
        <v>1077</v>
      </c>
      <c r="N638" s="1632"/>
      <c r="O638" s="1632"/>
      <c r="P638" s="1632"/>
      <c r="Q638" s="1630"/>
      <c r="R638" s="1514"/>
      <c r="S638" s="1631"/>
      <c r="T638" s="1630"/>
      <c r="U638" s="1514"/>
      <c r="V638" s="1631"/>
      <c r="W638" s="1464"/>
      <c r="X638" s="1465"/>
      <c r="Y638" s="1466"/>
      <c r="Z638" s="1457" t="s">
        <v>1077</v>
      </c>
      <c r="AA638" s="1458"/>
      <c r="AB638" s="1459"/>
      <c r="AC638" s="1393"/>
      <c r="AD638" s="1394"/>
      <c r="AE638" s="1395"/>
      <c r="AF638" s="1537"/>
      <c r="AG638" s="1538"/>
      <c r="AH638" s="1538"/>
      <c r="AI638" s="1538"/>
      <c r="AJ638" s="1539"/>
      <c r="AK638" s="1533"/>
      <c r="AL638" s="1534"/>
      <c r="AM638" s="1534"/>
      <c r="AN638" s="1535"/>
      <c r="AO638" s="1461"/>
      <c r="AP638" s="1462"/>
      <c r="AQ638" s="1462"/>
      <c r="AR638" s="1462"/>
      <c r="AS638" s="1463"/>
      <c r="AT638" s="960" t="str">
        <f t="shared" si="23"/>
        <v/>
      </c>
      <c r="AV638" s="2"/>
      <c r="AW638" s="2"/>
      <c r="AX638" s="2"/>
      <c r="AY638" s="2"/>
      <c r="AZ638" s="2"/>
      <c r="BA638" s="2" t="s">
        <v>1101</v>
      </c>
      <c r="BB638" s="2"/>
      <c r="BC638" s="2"/>
      <c r="BD638" s="2"/>
      <c r="BE638" s="2"/>
      <c r="BF638" s="2"/>
      <c r="BG638" s="2"/>
      <c r="BH638" s="2"/>
      <c r="BI638" s="2"/>
      <c r="BJ638" s="2"/>
      <c r="BK638" s="2"/>
      <c r="BL638" s="2"/>
      <c r="BM638" s="2"/>
      <c r="BN638" s="1344">
        <f>IF(J774="SRO/Studio",O774,0)</f>
        <v>0</v>
      </c>
      <c r="BO638" s="1345"/>
      <c r="BP638" s="1345"/>
      <c r="BQ638" s="1345"/>
      <c r="BR638" s="1346"/>
      <c r="BS638" s="1347">
        <f>IF(J774="1 Bedroom",O774,0)</f>
        <v>0</v>
      </c>
      <c r="BT638" s="1347"/>
      <c r="BU638" s="1347"/>
      <c r="BV638" s="1347"/>
      <c r="BW638" s="1347"/>
      <c r="BX638" s="1347">
        <f>IF(J774="2 Bedrooms",O774,0)</f>
        <v>0</v>
      </c>
      <c r="BY638" s="1347"/>
      <c r="BZ638" s="1347"/>
      <c r="CA638" s="1347"/>
      <c r="CB638" s="1347"/>
      <c r="CC638" s="1347">
        <f>IF(J774="3 Bedrooms",O774,0)</f>
        <v>0</v>
      </c>
      <c r="CD638" s="1347"/>
      <c r="CE638" s="1347"/>
      <c r="CF638" s="1347"/>
      <c r="CG638" s="1347"/>
      <c r="CH638" s="1347">
        <f>IF(J774="4 Bedrooms",O774,0)</f>
        <v>0</v>
      </c>
      <c r="CI638" s="1347"/>
      <c r="CJ638" s="1347"/>
      <c r="CK638" s="1347"/>
      <c r="CL638" s="1347"/>
      <c r="CM638" s="1347">
        <f>IF(J774="5 Bedrooms",O774,0)</f>
        <v>0</v>
      </c>
      <c r="CN638" s="1347"/>
      <c r="CO638" s="1347"/>
      <c r="CP638" s="1347"/>
      <c r="CQ638" s="1347"/>
      <c r="CR638" s="1141"/>
      <c r="CS638" s="2"/>
      <c r="CT638" s="2"/>
      <c r="CU638" s="2"/>
      <c r="CV638" s="2"/>
      <c r="CW638" s="2"/>
      <c r="CX638" s="2"/>
      <c r="CY638" s="2"/>
      <c r="CZ638" s="2"/>
      <c r="DA638" s="2"/>
      <c r="DB638" s="2"/>
      <c r="DC638" s="2"/>
      <c r="DD638" s="2"/>
      <c r="DE638" s="2"/>
      <c r="DF638" s="2"/>
      <c r="DX638" s="1338" t="e">
        <f t="shared" si="29"/>
        <v>#VALUE!</v>
      </c>
      <c r="DY638" s="1338"/>
      <c r="DZ638" s="1338"/>
      <c r="EA638" s="1338"/>
      <c r="EB638" s="1338"/>
      <c r="EC638" s="1338" t="e">
        <f t="shared" si="24"/>
        <v>#VALUE!</v>
      </c>
      <c r="ED638" s="1338"/>
      <c r="EE638" s="1338"/>
      <c r="EF638" s="1338"/>
      <c r="EG638" s="1338"/>
      <c r="EH638" s="1338">
        <f t="shared" ca="1" si="25"/>
        <v>657.59999999999991</v>
      </c>
      <c r="EI638" s="1338"/>
      <c r="EJ638" s="1338"/>
      <c r="EK638" s="1338"/>
      <c r="EL638" s="1338"/>
      <c r="EM638" s="1338" t="e">
        <f t="shared" si="26"/>
        <v>#VALUE!</v>
      </c>
      <c r="EN638" s="1338"/>
      <c r="EO638" s="1338"/>
      <c r="EP638" s="1338"/>
      <c r="EQ638" s="1338"/>
      <c r="ER638" s="1338" t="e">
        <f t="shared" si="27"/>
        <v>#VALUE!</v>
      </c>
      <c r="ES638" s="1338"/>
      <c r="ET638" s="1338"/>
      <c r="EU638" s="1338"/>
      <c r="EV638" s="1338"/>
      <c r="EW638" s="1338" t="e">
        <f t="shared" si="28"/>
        <v>#VALUE!</v>
      </c>
      <c r="EX638" s="1338"/>
      <c r="EY638" s="1338"/>
      <c r="EZ638" s="1338"/>
      <c r="FA638" s="1338"/>
    </row>
    <row r="639" spans="2:157" ht="13" customHeight="1">
      <c r="B639" s="1435" t="s">
        <v>1509</v>
      </c>
      <c r="C639" s="1436"/>
      <c r="D639" s="1436"/>
      <c r="E639" s="1436"/>
      <c r="F639" s="1436"/>
      <c r="G639" s="1436"/>
      <c r="H639" s="1436"/>
      <c r="I639" s="1436"/>
      <c r="J639" s="1436"/>
      <c r="K639" s="1436"/>
      <c r="L639" s="1436"/>
      <c r="M639" s="1436"/>
      <c r="N639" s="1436"/>
      <c r="O639" s="1436"/>
      <c r="P639" s="1436"/>
      <c r="Q639" s="1436"/>
      <c r="R639" s="1436"/>
      <c r="S639" s="1436"/>
      <c r="T639" s="1436"/>
      <c r="U639" s="1436"/>
      <c r="V639" s="1436"/>
      <c r="W639" s="1436"/>
      <c r="X639" s="1436"/>
      <c r="Y639" s="1436"/>
      <c r="Z639" s="1436"/>
      <c r="AA639" s="1436"/>
      <c r="AB639" s="1436"/>
      <c r="AC639" s="1436"/>
      <c r="AD639" s="1436"/>
      <c r="AE639" s="1436"/>
      <c r="AF639" s="1436"/>
      <c r="AG639" s="1436"/>
      <c r="AH639" s="1436"/>
      <c r="AI639" s="1436"/>
      <c r="AJ639" s="1436"/>
      <c r="AK639" s="1436"/>
      <c r="AL639" s="1436"/>
      <c r="AM639" s="1436"/>
      <c r="AN639" s="1438"/>
      <c r="AO639" s="1564">
        <f>SUM(AO627:AR638)</f>
        <v>21236416</v>
      </c>
      <c r="AP639" s="1565"/>
      <c r="AQ639" s="1565"/>
      <c r="AR639" s="1565"/>
      <c r="AS639" s="1566"/>
      <c r="AV639" s="2"/>
      <c r="AW639" s="2"/>
      <c r="AX639" s="2"/>
      <c r="AY639" s="2"/>
      <c r="AZ639" s="2"/>
      <c r="BA639" s="2"/>
      <c r="BB639" s="2"/>
      <c r="BC639" s="2"/>
      <c r="BD639" s="2"/>
      <c r="BE639" s="2"/>
      <c r="BF639" s="2"/>
      <c r="BG639" s="2"/>
      <c r="BH639" s="2"/>
      <c r="BI639" s="2"/>
      <c r="BJ639" s="2"/>
      <c r="BK639" s="2"/>
      <c r="BL639" s="2"/>
      <c r="BM639" s="2"/>
      <c r="BN639" s="1344">
        <f>IF(J775="SRO/Studio",O775,0)</f>
        <v>0</v>
      </c>
      <c r="BO639" s="1345"/>
      <c r="BP639" s="1345"/>
      <c r="BQ639" s="1345"/>
      <c r="BR639" s="1346"/>
      <c r="BS639" s="1347">
        <f>IF(J775="1 Bedroom",O775,0)</f>
        <v>0</v>
      </c>
      <c r="BT639" s="1347"/>
      <c r="BU639" s="1347"/>
      <c r="BV639" s="1347"/>
      <c r="BW639" s="1347"/>
      <c r="BX639" s="1347">
        <f>IF(J775="2 Bedrooms",O775,0)</f>
        <v>0</v>
      </c>
      <c r="BY639" s="1347"/>
      <c r="BZ639" s="1347"/>
      <c r="CA639" s="1347"/>
      <c r="CB639" s="1347"/>
      <c r="CC639" s="1347">
        <f>IF(J775="3 Bedrooms",O775,0)</f>
        <v>0</v>
      </c>
      <c r="CD639" s="1347"/>
      <c r="CE639" s="1347"/>
      <c r="CF639" s="1347"/>
      <c r="CG639" s="1347"/>
      <c r="CH639" s="1347">
        <f>IF(J775="4 Bedrooms",O775,0)</f>
        <v>0</v>
      </c>
      <c r="CI639" s="1347"/>
      <c r="CJ639" s="1347"/>
      <c r="CK639" s="1347"/>
      <c r="CL639" s="1347"/>
      <c r="CM639" s="1347">
        <f>IF(J775="5 Bedrooms",O775,0)</f>
        <v>0</v>
      </c>
      <c r="CN639" s="1347"/>
      <c r="CO639" s="1347"/>
      <c r="CP639" s="1347"/>
      <c r="CQ639" s="1347"/>
      <c r="CR639" s="1141"/>
      <c r="CV639" s="2"/>
      <c r="CW639" s="2"/>
      <c r="CX639" s="2"/>
      <c r="CY639" s="2"/>
      <c r="CZ639" s="2"/>
      <c r="DA639" s="2"/>
      <c r="DB639" s="2"/>
      <c r="DC639" s="2"/>
      <c r="DD639" s="2"/>
      <c r="DE639" s="2"/>
      <c r="DF639" s="2"/>
      <c r="DX639" s="1338" t="e">
        <f t="shared" si="29"/>
        <v>#VALUE!</v>
      </c>
      <c r="DY639" s="1338"/>
      <c r="DZ639" s="1338"/>
      <c r="EA639" s="1338"/>
      <c r="EB639" s="1338"/>
      <c r="EC639" s="1338" t="e">
        <f t="shared" si="24"/>
        <v>#VALUE!</v>
      </c>
      <c r="ED639" s="1338"/>
      <c r="EE639" s="1338"/>
      <c r="EF639" s="1338"/>
      <c r="EG639" s="1338"/>
      <c r="EH639" s="1338">
        <f t="shared" ca="1" si="25"/>
        <v>1269.8888888888889</v>
      </c>
      <c r="EI639" s="1338"/>
      <c r="EJ639" s="1338"/>
      <c r="EK639" s="1338"/>
      <c r="EL639" s="1338"/>
      <c r="EM639" s="1338" t="e">
        <f t="shared" si="26"/>
        <v>#VALUE!</v>
      </c>
      <c r="EN639" s="1338"/>
      <c r="EO639" s="1338"/>
      <c r="EP639" s="1338"/>
      <c r="EQ639" s="1338"/>
      <c r="ER639" s="1338" t="e">
        <f t="shared" si="27"/>
        <v>#VALUE!</v>
      </c>
      <c r="ES639" s="1338"/>
      <c r="ET639" s="1338"/>
      <c r="EU639" s="1338"/>
      <c r="EV639" s="1338"/>
      <c r="EW639" s="1338" t="e">
        <f t="shared" si="28"/>
        <v>#VALUE!</v>
      </c>
      <c r="EX639" s="1338"/>
      <c r="EY639" s="1338"/>
      <c r="EZ639" s="1338"/>
      <c r="FA639" s="1338"/>
    </row>
    <row r="640" spans="2:157" ht="13" customHeight="1">
      <c r="B640" s="1435" t="s">
        <v>1510</v>
      </c>
      <c r="C640" s="1436"/>
      <c r="D640" s="1436"/>
      <c r="E640" s="1436"/>
      <c r="F640" s="1436"/>
      <c r="G640" s="1436"/>
      <c r="H640" s="1436"/>
      <c r="I640" s="1436"/>
      <c r="J640" s="1436"/>
      <c r="K640" s="1436"/>
      <c r="L640" s="1436"/>
      <c r="M640" s="1436"/>
      <c r="N640" s="1436"/>
      <c r="O640" s="1436"/>
      <c r="P640" s="1436"/>
      <c r="Q640" s="1436"/>
      <c r="R640" s="1436"/>
      <c r="S640" s="1436"/>
      <c r="T640" s="1436"/>
      <c r="U640" s="1436"/>
      <c r="V640" s="1436"/>
      <c r="W640" s="1436"/>
      <c r="X640" s="1436"/>
      <c r="Y640" s="1436"/>
      <c r="Z640" s="1436"/>
      <c r="AA640" s="1436"/>
      <c r="AB640" s="1436"/>
      <c r="AC640" s="1436"/>
      <c r="AD640" s="1436"/>
      <c r="AE640" s="1436"/>
      <c r="AF640" s="1436"/>
      <c r="AG640" s="1436"/>
      <c r="AH640" s="1436"/>
      <c r="AI640" s="1436"/>
      <c r="AJ640" s="1436"/>
      <c r="AK640" s="1436"/>
      <c r="AL640" s="1436"/>
      <c r="AM640" s="1436"/>
      <c r="AN640" s="1438"/>
      <c r="AO640" s="1461">
        <f>'Sources and Uses Budget'!E105</f>
        <v>33997479</v>
      </c>
      <c r="AP640" s="1462"/>
      <c r="AQ640" s="1462"/>
      <c r="AR640" s="1462"/>
      <c r="AS640" s="1463"/>
      <c r="AV640" s="2"/>
      <c r="AW640" s="2"/>
      <c r="AX640" s="2"/>
      <c r="AY640" s="2"/>
      <c r="AZ640" s="2"/>
      <c r="BA640" s="2"/>
      <c r="BB640" s="2"/>
      <c r="BC640" s="2"/>
      <c r="BD640" s="2"/>
      <c r="BE640" s="2"/>
      <c r="BF640" s="2"/>
      <c r="BG640" s="2"/>
      <c r="BH640" s="2"/>
      <c r="BI640" s="2"/>
      <c r="BJ640" s="2"/>
      <c r="BK640" s="2"/>
      <c r="BL640" s="2"/>
      <c r="BM640" s="2"/>
      <c r="BN640" s="1344">
        <f>IF(J776="SRO/Studio",O776,0)</f>
        <v>0</v>
      </c>
      <c r="BO640" s="1345"/>
      <c r="BP640" s="1345"/>
      <c r="BQ640" s="1345"/>
      <c r="BR640" s="1346"/>
      <c r="BS640" s="1347">
        <f>IF(J776="1 Bedroom",O776,0)</f>
        <v>0</v>
      </c>
      <c r="BT640" s="1347"/>
      <c r="BU640" s="1347"/>
      <c r="BV640" s="1347"/>
      <c r="BW640" s="1347"/>
      <c r="BX640" s="1347">
        <f>IF(J776="2 Bedrooms",O776,0)</f>
        <v>0</v>
      </c>
      <c r="BY640" s="1347"/>
      <c r="BZ640" s="1347"/>
      <c r="CA640" s="1347"/>
      <c r="CB640" s="1347"/>
      <c r="CC640" s="1347">
        <f>IF(J776="3 Bedrooms",O776,0)</f>
        <v>0</v>
      </c>
      <c r="CD640" s="1347"/>
      <c r="CE640" s="1347"/>
      <c r="CF640" s="1347"/>
      <c r="CG640" s="1347"/>
      <c r="CH640" s="1347">
        <f>IF(J776="4 Bedrooms",O776,0)</f>
        <v>0</v>
      </c>
      <c r="CI640" s="1347"/>
      <c r="CJ640" s="1347"/>
      <c r="CK640" s="1347"/>
      <c r="CL640" s="1347"/>
      <c r="CM640" s="1347">
        <f>IF(J776="5 Bedrooms",O776,0)</f>
        <v>0</v>
      </c>
      <c r="CN640" s="1347"/>
      <c r="CO640" s="1347"/>
      <c r="CP640" s="1347"/>
      <c r="CQ640" s="1347"/>
      <c r="CV640" s="2"/>
      <c r="CW640" s="2"/>
      <c r="CX640" s="2"/>
      <c r="CY640" s="2"/>
      <c r="CZ640" s="2"/>
      <c r="DA640" s="2"/>
      <c r="DB640" s="2"/>
      <c r="DC640" s="2"/>
      <c r="DD640" s="2"/>
      <c r="DE640" s="2"/>
      <c r="DF640" s="2"/>
      <c r="DX640" s="1338" t="e">
        <f t="shared" si="29"/>
        <v>#VALUE!</v>
      </c>
      <c r="DY640" s="1338"/>
      <c r="DZ640" s="1338"/>
      <c r="EA640" s="1338"/>
      <c r="EB640" s="1338"/>
      <c r="EC640" s="1338" t="e">
        <f t="shared" si="24"/>
        <v>#VALUE!</v>
      </c>
      <c r="ED640" s="1338"/>
      <c r="EE640" s="1338"/>
      <c r="EF640" s="1338"/>
      <c r="EG640" s="1338"/>
      <c r="EH640" s="1338">
        <f t="shared" si="25"/>
        <v>26.333333333333332</v>
      </c>
      <c r="EI640" s="1338"/>
      <c r="EJ640" s="1338"/>
      <c r="EK640" s="1338"/>
      <c r="EL640" s="1338"/>
      <c r="EM640" s="1338" t="e">
        <f t="shared" si="26"/>
        <v>#VALUE!</v>
      </c>
      <c r="EN640" s="1338"/>
      <c r="EO640" s="1338"/>
      <c r="EP640" s="1338"/>
      <c r="EQ640" s="1338"/>
      <c r="ER640" s="1338" t="e">
        <f t="shared" si="27"/>
        <v>#VALUE!</v>
      </c>
      <c r="ES640" s="1338"/>
      <c r="ET640" s="1338"/>
      <c r="EU640" s="1338"/>
      <c r="EV640" s="1338"/>
      <c r="EW640" s="1338" t="e">
        <f t="shared" si="28"/>
        <v>#VALUE!</v>
      </c>
      <c r="EX640" s="1338"/>
      <c r="EY640" s="1338"/>
      <c r="EZ640" s="1338"/>
      <c r="FA640" s="1338"/>
    </row>
    <row r="641" spans="1:157" ht="13" customHeight="1">
      <c r="B641" s="1628" t="s">
        <v>1511</v>
      </c>
      <c r="C641" s="1437"/>
      <c r="D641" s="1437"/>
      <c r="E641" s="1437"/>
      <c r="F641" s="1437"/>
      <c r="G641" s="1437"/>
      <c r="H641" s="1437"/>
      <c r="I641" s="1437"/>
      <c r="J641" s="1437"/>
      <c r="K641" s="1437"/>
      <c r="L641" s="1437"/>
      <c r="M641" s="1437"/>
      <c r="N641" s="1437"/>
      <c r="O641" s="1437"/>
      <c r="P641" s="1437"/>
      <c r="Q641" s="1437"/>
      <c r="R641" s="1437"/>
      <c r="S641" s="1437"/>
      <c r="T641" s="1437"/>
      <c r="U641" s="1437"/>
      <c r="V641" s="1437"/>
      <c r="W641" s="1437"/>
      <c r="X641" s="1437"/>
      <c r="Y641" s="1437"/>
      <c r="Z641" s="1437"/>
      <c r="AA641" s="1437"/>
      <c r="AB641" s="1437"/>
      <c r="AC641" s="1437"/>
      <c r="AD641" s="1437"/>
      <c r="AE641" s="1437"/>
      <c r="AF641" s="1437"/>
      <c r="AG641" s="1437"/>
      <c r="AH641" s="1437"/>
      <c r="AI641" s="1437"/>
      <c r="AJ641" s="1437"/>
      <c r="AK641" s="1437"/>
      <c r="AL641" s="1437"/>
      <c r="AM641" s="1437"/>
      <c r="AN641" s="1629"/>
      <c r="AO641" s="1564">
        <f>AO639+AO640</f>
        <v>55233895</v>
      </c>
      <c r="AP641" s="1565"/>
      <c r="AQ641" s="1565"/>
      <c r="AR641" s="1565"/>
      <c r="AS641" s="1566"/>
      <c r="AV641" s="2"/>
      <c r="AW641" s="2"/>
      <c r="AX641" s="2"/>
      <c r="AY641" s="2"/>
      <c r="AZ641" s="2"/>
      <c r="BA641" s="2"/>
      <c r="BB641" s="2"/>
      <c r="BC641" s="2"/>
      <c r="BD641" s="2"/>
      <c r="BE641" s="2"/>
      <c r="BF641" s="2"/>
      <c r="BG641" s="2"/>
      <c r="BH641" s="2"/>
      <c r="BI641" s="2"/>
      <c r="BJ641" s="2"/>
      <c r="BK641" s="2"/>
      <c r="BL641" s="2"/>
      <c r="BM641" s="2"/>
      <c r="BN641" s="1340">
        <f>SUM(BN637:BR640)</f>
        <v>0</v>
      </c>
      <c r="BO641" s="1341"/>
      <c r="BP641" s="1341"/>
      <c r="BQ641" s="1341"/>
      <c r="BR641" s="1342"/>
      <c r="BS641" s="1340">
        <f>SUM(BS637:BW640)</f>
        <v>0</v>
      </c>
      <c r="BT641" s="1341"/>
      <c r="BU641" s="1341"/>
      <c r="BV641" s="1341"/>
      <c r="BW641" s="1342"/>
      <c r="BX641" s="1340">
        <f>SUM(BX637:CB640)</f>
        <v>0</v>
      </c>
      <c r="BY641" s="1341"/>
      <c r="BZ641" s="1341"/>
      <c r="CA641" s="1341"/>
      <c r="CB641" s="1342"/>
      <c r="CC641" s="1340">
        <f>SUM(CC637:CG640)</f>
        <v>1</v>
      </c>
      <c r="CD641" s="1341"/>
      <c r="CE641" s="1341"/>
      <c r="CF641" s="1341"/>
      <c r="CG641" s="1342"/>
      <c r="CH641" s="1340">
        <f>SUM(CH637:CL640)</f>
        <v>0</v>
      </c>
      <c r="CI641" s="1341"/>
      <c r="CJ641" s="1341"/>
      <c r="CK641" s="1341"/>
      <c r="CL641" s="1342"/>
      <c r="CM641" s="1340">
        <f>SUM(CM637:CQ640)</f>
        <v>0</v>
      </c>
      <c r="CN641" s="1341"/>
      <c r="CO641" s="1341"/>
      <c r="CP641" s="1341"/>
      <c r="CQ641" s="1342"/>
      <c r="CS641" s="703">
        <f>BN641+BS641+BX641+CC641+CH641+CM641</f>
        <v>1</v>
      </c>
      <c r="CT641" s="1109" t="s">
        <v>1512</v>
      </c>
      <c r="CU641" s="2"/>
      <c r="CV641" s="2"/>
      <c r="CW641" s="2"/>
      <c r="CX641" s="2"/>
      <c r="CY641" s="2"/>
      <c r="CZ641" s="2"/>
      <c r="DA641" s="2"/>
      <c r="DB641" s="2"/>
      <c r="DC641" s="2"/>
      <c r="DD641" s="2"/>
      <c r="DE641" s="2"/>
      <c r="DF641" s="2"/>
      <c r="DX641" s="1338" t="e">
        <f t="shared" si="29"/>
        <v>#VALUE!</v>
      </c>
      <c r="DY641" s="1338"/>
      <c r="DZ641" s="1338"/>
      <c r="EA641" s="1338"/>
      <c r="EB641" s="1338"/>
      <c r="EC641" s="1338" t="e">
        <f t="shared" si="24"/>
        <v>#VALUE!</v>
      </c>
      <c r="ED641" s="1338"/>
      <c r="EE641" s="1338"/>
      <c r="EF641" s="1338"/>
      <c r="EG641" s="1338"/>
      <c r="EH641" s="1338" t="e">
        <f t="shared" si="25"/>
        <v>#VALUE!</v>
      </c>
      <c r="EI641" s="1338"/>
      <c r="EJ641" s="1338"/>
      <c r="EK641" s="1338"/>
      <c r="EL641" s="1338"/>
      <c r="EM641" s="1338">
        <f t="shared" ca="1" si="26"/>
        <v>849.5</v>
      </c>
      <c r="EN641" s="1338"/>
      <c r="EO641" s="1338"/>
      <c r="EP641" s="1338"/>
      <c r="EQ641" s="1338"/>
      <c r="ER641" s="1338" t="e">
        <f t="shared" si="27"/>
        <v>#VALUE!</v>
      </c>
      <c r="ES641" s="1338"/>
      <c r="ET641" s="1338"/>
      <c r="EU641" s="1338"/>
      <c r="EV641" s="1338"/>
      <c r="EW641" s="1338" t="e">
        <f t="shared" si="28"/>
        <v>#VALUE!</v>
      </c>
      <c r="EX641" s="1338"/>
      <c r="EY641" s="1338"/>
      <c r="EZ641" s="1338"/>
      <c r="FA641" s="1338"/>
    </row>
    <row r="642" spans="1:157" ht="13" customHeight="1">
      <c r="B642" s="383"/>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3">
        <f>BN641*1</f>
        <v>0</v>
      </c>
      <c r="BS642" s="2"/>
      <c r="BT642" s="2"/>
      <c r="BU642" s="2"/>
      <c r="BV642" s="2"/>
      <c r="BW642" s="703">
        <f>BS641*1</f>
        <v>0</v>
      </c>
      <c r="BX642" s="2"/>
      <c r="BY642" s="2"/>
      <c r="BZ642" s="2"/>
      <c r="CA642" s="2"/>
      <c r="CB642" s="703">
        <f>BX641*2</f>
        <v>0</v>
      </c>
      <c r="CC642" s="2"/>
      <c r="CD642" s="2"/>
      <c r="CE642" s="2"/>
      <c r="CF642" s="2"/>
      <c r="CG642" s="703">
        <f>CC641*3</f>
        <v>3</v>
      </c>
      <c r="CH642" s="2"/>
      <c r="CI642" s="2"/>
      <c r="CJ642" s="2"/>
      <c r="CK642" s="2"/>
      <c r="CL642" s="703">
        <f>CH641*4</f>
        <v>0</v>
      </c>
      <c r="CM642" s="2"/>
      <c r="CN642" s="2"/>
      <c r="CO642" s="2"/>
      <c r="CP642" s="2"/>
      <c r="CQ642" s="703">
        <f>CM641*5</f>
        <v>0</v>
      </c>
      <c r="CS642" s="703">
        <f>BR642+BW642+CB642+CG642+CL642+CQ642</f>
        <v>3</v>
      </c>
      <c r="CT642" s="1109" t="s">
        <v>1513</v>
      </c>
      <c r="CU642" s="2"/>
      <c r="CV642" s="2"/>
      <c r="CW642" s="2"/>
      <c r="CX642" s="2"/>
      <c r="CY642" s="2"/>
      <c r="CZ642" s="2"/>
      <c r="DA642" s="2"/>
      <c r="DB642" s="2"/>
      <c r="DC642" s="2"/>
      <c r="DD642" s="2"/>
      <c r="DE642" s="2"/>
      <c r="DF642" s="2"/>
      <c r="DX642" s="1338" t="e">
        <f t="shared" si="29"/>
        <v>#VALUE!</v>
      </c>
      <c r="DY642" s="1338"/>
      <c r="DZ642" s="1338"/>
      <c r="EA642" s="1338"/>
      <c r="EB642" s="1338"/>
      <c r="EC642" s="1338" t="e">
        <f t="shared" si="24"/>
        <v>#VALUE!</v>
      </c>
      <c r="ED642" s="1338"/>
      <c r="EE642" s="1338"/>
      <c r="EF642" s="1338"/>
      <c r="EG642" s="1338"/>
      <c r="EH642" s="1338" t="e">
        <f t="shared" si="25"/>
        <v>#VALUE!</v>
      </c>
      <c r="EI642" s="1338"/>
      <c r="EJ642" s="1338"/>
      <c r="EK642" s="1338"/>
      <c r="EL642" s="1338"/>
      <c r="EM642" s="1338">
        <f t="shared" ca="1" si="26"/>
        <v>1338.75</v>
      </c>
      <c r="EN642" s="1338"/>
      <c r="EO642" s="1338"/>
      <c r="EP642" s="1338"/>
      <c r="EQ642" s="1338"/>
      <c r="ER642" s="1338" t="e">
        <f t="shared" si="27"/>
        <v>#VALUE!</v>
      </c>
      <c r="ES642" s="1338"/>
      <c r="ET642" s="1338"/>
      <c r="EU642" s="1338"/>
      <c r="EV642" s="1338"/>
      <c r="EW642" s="1338" t="e">
        <f t="shared" si="28"/>
        <v>#VALUE!</v>
      </c>
      <c r="EX642" s="1338"/>
      <c r="EY642" s="1338"/>
      <c r="EZ642" s="1338"/>
      <c r="FA642" s="1338"/>
    </row>
    <row r="643" spans="1:157" ht="13" customHeight="1">
      <c r="A643" s="37" t="s">
        <v>17</v>
      </c>
      <c r="B643" t="s">
        <v>1471</v>
      </c>
      <c r="G643" s="1460" t="str">
        <f>C627</f>
        <v>Citi Permanent Loan</v>
      </c>
      <c r="H643" s="1460"/>
      <c r="I643" s="1460"/>
      <c r="J643" s="1460"/>
      <c r="K643" s="1460"/>
      <c r="L643" s="1460"/>
      <c r="M643" s="1460"/>
      <c r="N643" s="1460"/>
      <c r="O643" s="1460"/>
      <c r="P643" s="1460"/>
      <c r="Q643" s="1460"/>
      <c r="R643" s="1460"/>
      <c r="S643" s="7"/>
      <c r="T643" s="37" t="s">
        <v>30</v>
      </c>
      <c r="U643" t="s">
        <v>1471</v>
      </c>
      <c r="Z643" s="1460" t="str">
        <f>C628</f>
        <v>Deferred Developer Fee</v>
      </c>
      <c r="AA643" s="1460"/>
      <c r="AB643" s="1460"/>
      <c r="AC643" s="1460"/>
      <c r="AD643" s="1460"/>
      <c r="AE643" s="1460"/>
      <c r="AF643" s="1460"/>
      <c r="AG643" s="1460"/>
      <c r="AH643" s="1460"/>
      <c r="AI643" s="1460"/>
      <c r="AJ643" s="1460"/>
      <c r="AK643" s="1460"/>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38" t="e">
        <f t="shared" si="29"/>
        <v>#VALUE!</v>
      </c>
      <c r="DY643" s="1338"/>
      <c r="DZ643" s="1338"/>
      <c r="EA643" s="1338"/>
      <c r="EB643" s="1338"/>
      <c r="EC643" s="1338" t="e">
        <f t="shared" si="24"/>
        <v>#VALUE!</v>
      </c>
      <c r="ED643" s="1338"/>
      <c r="EE643" s="1338"/>
      <c r="EF643" s="1338"/>
      <c r="EG643" s="1338"/>
      <c r="EH643" s="1338" t="e">
        <f t="shared" si="25"/>
        <v>#VALUE!</v>
      </c>
      <c r="EI643" s="1338"/>
      <c r="EJ643" s="1338"/>
      <c r="EK643" s="1338"/>
      <c r="EL643" s="1338"/>
      <c r="EM643" s="1338">
        <f t="shared" si="26"/>
        <v>32.212500000000006</v>
      </c>
      <c r="EN643" s="1338"/>
      <c r="EO643" s="1338"/>
      <c r="EP643" s="1338"/>
      <c r="EQ643" s="1338"/>
      <c r="ER643" s="1338" t="e">
        <f t="shared" si="27"/>
        <v>#VALUE!</v>
      </c>
      <c r="ES643" s="1338"/>
      <c r="ET643" s="1338"/>
      <c r="EU643" s="1338"/>
      <c r="EV643" s="1338"/>
      <c r="EW643" s="1338" t="e">
        <f t="shared" si="28"/>
        <v>#VALUE!</v>
      </c>
      <c r="EX643" s="1338"/>
      <c r="EY643" s="1338"/>
      <c r="EZ643" s="1338"/>
      <c r="FA643" s="1338"/>
    </row>
    <row r="644" spans="1:157" ht="13" customHeight="1">
      <c r="A644" s="18"/>
      <c r="B644" t="s">
        <v>1111</v>
      </c>
      <c r="G644" s="1405" t="s">
        <v>1472</v>
      </c>
      <c r="H644" s="1405"/>
      <c r="I644" s="1405"/>
      <c r="J644" s="1405"/>
      <c r="K644" s="1405"/>
      <c r="L644" s="1405"/>
      <c r="M644" s="1405"/>
      <c r="N644" s="1405"/>
      <c r="O644" s="1405"/>
      <c r="P644" s="1405"/>
      <c r="Q644" s="1405"/>
      <c r="R644" s="1405"/>
      <c r="S644" s="7"/>
      <c r="T644" s="18"/>
      <c r="U644" t="s">
        <v>1111</v>
      </c>
      <c r="Z644" s="1405" t="s">
        <v>1514</v>
      </c>
      <c r="AA644" s="1405"/>
      <c r="AB644" s="1405"/>
      <c r="AC644" s="1405"/>
      <c r="AD644" s="1405"/>
      <c r="AE644" s="1405"/>
      <c r="AF644" s="1405"/>
      <c r="AG644" s="1405"/>
      <c r="AH644" s="1405"/>
      <c r="AI644" s="1405"/>
      <c r="AJ644" s="1405"/>
      <c r="AK644" s="1405"/>
      <c r="AV644" s="2"/>
      <c r="AW644" s="2"/>
      <c r="AX644" s="2"/>
      <c r="AY644" s="2"/>
      <c r="AZ644" s="2"/>
      <c r="BA644" s="2"/>
      <c r="BB644" s="2"/>
      <c r="BC644" s="2"/>
      <c r="BD644" s="2"/>
      <c r="BE644" s="2"/>
      <c r="BF644" s="2"/>
      <c r="BG644" s="2"/>
      <c r="BH644" s="2"/>
      <c r="BI644" s="2"/>
      <c r="BJ644" s="2"/>
      <c r="BK644" s="2"/>
      <c r="BL644" s="2"/>
      <c r="BM644" s="2"/>
      <c r="BN644" s="2" t="s">
        <v>1515</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1516</v>
      </c>
      <c r="CT644" s="2"/>
      <c r="CU644" s="2"/>
      <c r="CV644" s="2"/>
      <c r="CW644" s="2"/>
      <c r="CX644" s="2"/>
      <c r="CY644" s="2"/>
      <c r="CZ644" s="2"/>
      <c r="DA644" s="2"/>
      <c r="DB644" s="2"/>
      <c r="DC644" s="2"/>
      <c r="DD644" s="2"/>
      <c r="DE644" s="2"/>
      <c r="DF644" s="2"/>
      <c r="DX644" s="1338" t="e">
        <f t="shared" si="29"/>
        <v>#VALUE!</v>
      </c>
      <c r="DY644" s="1338"/>
      <c r="DZ644" s="1338"/>
      <c r="EA644" s="1338"/>
      <c r="EB644" s="1338"/>
      <c r="EC644" s="1338" t="e">
        <f t="shared" si="24"/>
        <v>#VALUE!</v>
      </c>
      <c r="ED644" s="1338"/>
      <c r="EE644" s="1338"/>
      <c r="EF644" s="1338"/>
      <c r="EG644" s="1338"/>
      <c r="EH644" s="1338" t="e">
        <f t="shared" si="25"/>
        <v>#VALUE!</v>
      </c>
      <c r="EI644" s="1338"/>
      <c r="EJ644" s="1338"/>
      <c r="EK644" s="1338"/>
      <c r="EL644" s="1338"/>
      <c r="EM644" s="1338" t="e">
        <f t="shared" si="26"/>
        <v>#VALUE!</v>
      </c>
      <c r="EN644" s="1338"/>
      <c r="EO644" s="1338"/>
      <c r="EP644" s="1338"/>
      <c r="EQ644" s="1338"/>
      <c r="ER644" s="1338" t="e">
        <f t="shared" si="27"/>
        <v>#VALUE!</v>
      </c>
      <c r="ES644" s="1338"/>
      <c r="ET644" s="1338"/>
      <c r="EU644" s="1338"/>
      <c r="EV644" s="1338"/>
      <c r="EW644" s="1338" t="e">
        <f t="shared" si="28"/>
        <v>#VALUE!</v>
      </c>
      <c r="EX644" s="1338"/>
      <c r="EY644" s="1338"/>
      <c r="EZ644" s="1338"/>
      <c r="FA644" s="1338"/>
    </row>
    <row r="645" spans="1:157" ht="13" customHeight="1">
      <c r="A645" s="18"/>
      <c r="B645" t="s">
        <v>980</v>
      </c>
      <c r="G645" s="1405" t="s">
        <v>1473</v>
      </c>
      <c r="H645" s="1405"/>
      <c r="I645" s="1405"/>
      <c r="J645" s="1405"/>
      <c r="K645" s="1405"/>
      <c r="L645" s="1405"/>
      <c r="M645" s="1405"/>
      <c r="N645" s="1405"/>
      <c r="O645" s="1405"/>
      <c r="P645" s="1405"/>
      <c r="Q645" s="1405"/>
      <c r="R645" s="1405"/>
      <c r="T645" s="18"/>
      <c r="U645" t="s">
        <v>980</v>
      </c>
      <c r="Z645" s="1353" t="s">
        <v>1517</v>
      </c>
      <c r="AA645" s="1353"/>
      <c r="AB645" s="1353"/>
      <c r="AC645" s="1353"/>
      <c r="AD645" s="1353"/>
      <c r="AE645" s="1353"/>
      <c r="AF645" s="1353"/>
      <c r="AG645" s="1353"/>
      <c r="AH645" s="1353"/>
      <c r="AI645" s="1353"/>
      <c r="AJ645" s="1353"/>
      <c r="AK645" s="1353"/>
      <c r="AV645" s="2"/>
      <c r="AW645" s="2"/>
      <c r="AX645" s="2"/>
      <c r="AY645" s="2"/>
      <c r="AZ645" s="2"/>
      <c r="BA645" s="2"/>
      <c r="BB645" s="2"/>
      <c r="BC645" s="2"/>
      <c r="BD645" s="2"/>
      <c r="BE645" s="2"/>
      <c r="BF645" s="2"/>
      <c r="BG645" s="2"/>
      <c r="BH645" s="2"/>
      <c r="BI645" s="2"/>
      <c r="BJ645" s="2"/>
      <c r="BK645" s="2"/>
      <c r="BL645" s="2"/>
      <c r="BM645" s="2"/>
      <c r="BN645" s="1344">
        <f t="shared" ref="BN645:BN654" si="30">IF(J787="SRO/Studio",O787,0)</f>
        <v>0</v>
      </c>
      <c r="BO645" s="1345"/>
      <c r="BP645" s="1345"/>
      <c r="BQ645" s="1345"/>
      <c r="BR645" s="1346"/>
      <c r="BS645" s="1347">
        <f t="shared" ref="BS645:BS654" si="31">IF(J787="1 Bedroom",O787,0)</f>
        <v>0</v>
      </c>
      <c r="BT645" s="1347"/>
      <c r="BU645" s="1347"/>
      <c r="BV645" s="1347"/>
      <c r="BW645" s="1347"/>
      <c r="BX645" s="1347">
        <f t="shared" ref="BX645:BX654" si="32">IF(J787="2 Bedrooms",O787,0)</f>
        <v>0</v>
      </c>
      <c r="BY645" s="1347"/>
      <c r="BZ645" s="1347"/>
      <c r="CA645" s="1347"/>
      <c r="CB645" s="1347"/>
      <c r="CC645" s="1347">
        <f t="shared" ref="CC645:CC654" si="33">IF(J787="3 Bedrooms",O787,0)</f>
        <v>0</v>
      </c>
      <c r="CD645" s="1347"/>
      <c r="CE645" s="1347"/>
      <c r="CF645" s="1347"/>
      <c r="CG645" s="1347"/>
      <c r="CH645" s="1347">
        <f t="shared" ref="CH645:CH654" si="34">IF(J787="4 Bedrooms",O787,0)</f>
        <v>0</v>
      </c>
      <c r="CI645" s="1347"/>
      <c r="CJ645" s="1347"/>
      <c r="CK645" s="1347"/>
      <c r="CL645" s="1347"/>
      <c r="CM645" s="1347">
        <f t="shared" ref="CM645:CM654" si="35">IF(J787="5 Bedrooms",O787,0)</f>
        <v>0</v>
      </c>
      <c r="CN645" s="1347"/>
      <c r="CO645" s="1347"/>
      <c r="CP645" s="1347"/>
      <c r="CQ645" s="1347"/>
      <c r="CR645" s="1141"/>
      <c r="CS645" s="1344">
        <f t="shared" ref="CS645:CS654" si="36">IF(AND(BN645&gt;=1,AH787&gt;=0.1,AH787&lt;=1),O787,0)</f>
        <v>0</v>
      </c>
      <c r="CT645" s="1345"/>
      <c r="CU645" s="1345"/>
      <c r="CV645" s="1345"/>
      <c r="CW645" s="1346"/>
      <c r="CX645" s="1344">
        <f t="shared" ref="CX645:CX654" si="37">IF(AND(BS645&gt;=1,AH787&gt;=0.1,AH787&lt;=1),O787,0)</f>
        <v>0</v>
      </c>
      <c r="CY645" s="1345"/>
      <c r="CZ645" s="1345"/>
      <c r="DA645" s="1345"/>
      <c r="DB645" s="1346"/>
      <c r="DC645" s="1344">
        <f t="shared" ref="DC645:DC654" si="38">IF(AND(BX645&gt;=1,AH787&gt;=0.1,AH787&lt;=1),O787,0)</f>
        <v>0</v>
      </c>
      <c r="DD645" s="1345"/>
      <c r="DE645" s="1345"/>
      <c r="DF645" s="1345"/>
      <c r="DG645" s="1346"/>
      <c r="DH645" s="1344">
        <f t="shared" ref="DH645:DH654" si="39">IF(AND(CC645&gt;=1,AH787&gt;=0.1,AH787&lt;=1),O787,0)</f>
        <v>0</v>
      </c>
      <c r="DI645" s="1345"/>
      <c r="DJ645" s="1345"/>
      <c r="DK645" s="1345"/>
      <c r="DL645" s="1346"/>
      <c r="DM645" s="1344">
        <f t="shared" ref="DM645:DM654" si="40">IF(AND(CH645&gt;=1,AH787&gt;=0.1,AH787&lt;=1),O787,0)</f>
        <v>0</v>
      </c>
      <c r="DN645" s="1345"/>
      <c r="DO645" s="1345"/>
      <c r="DP645" s="1345"/>
      <c r="DQ645" s="1346"/>
      <c r="DR645" s="1344">
        <f t="shared" ref="DR645:DR654" si="41">IF(AND(CM645&gt;=1,AH787&gt;=0.1,AH787&lt;=1),O787,0)</f>
        <v>0</v>
      </c>
      <c r="DS645" s="1345"/>
      <c r="DT645" s="1345"/>
      <c r="DU645" s="1345"/>
      <c r="DV645" s="1346"/>
      <c r="DX645" s="1338" t="e">
        <f t="shared" si="29"/>
        <v>#VALUE!</v>
      </c>
      <c r="DY645" s="1338"/>
      <c r="DZ645" s="1338"/>
      <c r="EA645" s="1338"/>
      <c r="EB645" s="1338"/>
      <c r="EC645" s="1338" t="e">
        <f t="shared" si="24"/>
        <v>#VALUE!</v>
      </c>
      <c r="ED645" s="1338"/>
      <c r="EE645" s="1338"/>
      <c r="EF645" s="1338"/>
      <c r="EG645" s="1338"/>
      <c r="EH645" s="1338" t="e">
        <f t="shared" si="25"/>
        <v>#VALUE!</v>
      </c>
      <c r="EI645" s="1338"/>
      <c r="EJ645" s="1338"/>
      <c r="EK645" s="1338"/>
      <c r="EL645" s="1338"/>
      <c r="EM645" s="1338" t="e">
        <f t="shared" si="26"/>
        <v>#VALUE!</v>
      </c>
      <c r="EN645" s="1338"/>
      <c r="EO645" s="1338"/>
      <c r="EP645" s="1338"/>
      <c r="EQ645" s="1338"/>
      <c r="ER645" s="1338" t="e">
        <f t="shared" si="27"/>
        <v>#VALUE!</v>
      </c>
      <c r="ES645" s="1338"/>
      <c r="ET645" s="1338"/>
      <c r="EU645" s="1338"/>
      <c r="EV645" s="1338"/>
      <c r="EW645" s="1338" t="e">
        <f t="shared" si="28"/>
        <v>#VALUE!</v>
      </c>
      <c r="EX645" s="1338"/>
      <c r="EY645" s="1338"/>
      <c r="EZ645" s="1338"/>
      <c r="FA645" s="1338"/>
    </row>
    <row r="646" spans="1:157" ht="13" customHeight="1">
      <c r="A646" s="18"/>
      <c r="B646" t="s">
        <v>1474</v>
      </c>
      <c r="G646" s="1405" t="s">
        <v>1475</v>
      </c>
      <c r="H646" s="1405"/>
      <c r="I646" s="1405"/>
      <c r="J646" s="1405"/>
      <c r="K646" s="1405"/>
      <c r="L646" s="1405"/>
      <c r="M646" s="1405"/>
      <c r="N646" s="1405"/>
      <c r="O646" s="1405"/>
      <c r="P646" s="1405"/>
      <c r="Q646" s="1405"/>
      <c r="R646" s="1405"/>
      <c r="S646" s="7"/>
      <c r="T646" s="18"/>
      <c r="U646" t="s">
        <v>1474</v>
      </c>
      <c r="Z646" s="1353" t="s">
        <v>1117</v>
      </c>
      <c r="AA646" s="1353"/>
      <c r="AB646" s="1353"/>
      <c r="AC646" s="1353"/>
      <c r="AD646" s="1353"/>
      <c r="AE646" s="1353"/>
      <c r="AF646" s="1353"/>
      <c r="AG646" s="1353"/>
      <c r="AH646" s="1353"/>
      <c r="AI646" s="1353"/>
      <c r="AJ646" s="1353"/>
      <c r="AK646" s="1353"/>
      <c r="AZ646" s="2"/>
      <c r="BA646" s="2"/>
      <c r="BB646" s="2"/>
      <c r="BC646" s="2"/>
      <c r="BD646" s="2"/>
      <c r="BE646" s="2"/>
      <c r="BF646" s="2"/>
      <c r="BG646" s="2"/>
      <c r="BH646" s="2"/>
      <c r="BI646" s="2"/>
      <c r="BJ646" s="2"/>
      <c r="BK646" s="2"/>
      <c r="BL646" s="2"/>
      <c r="BM646" s="2"/>
      <c r="BN646" s="1344">
        <f t="shared" si="30"/>
        <v>0</v>
      </c>
      <c r="BO646" s="1345"/>
      <c r="BP646" s="1345"/>
      <c r="BQ646" s="1345"/>
      <c r="BR646" s="1346"/>
      <c r="BS646" s="1347">
        <f t="shared" si="31"/>
        <v>0</v>
      </c>
      <c r="BT646" s="1347"/>
      <c r="BU646" s="1347"/>
      <c r="BV646" s="1347"/>
      <c r="BW646" s="1347"/>
      <c r="BX646" s="1347">
        <f t="shared" si="32"/>
        <v>0</v>
      </c>
      <c r="BY646" s="1347"/>
      <c r="BZ646" s="1347"/>
      <c r="CA646" s="1347"/>
      <c r="CB646" s="1347"/>
      <c r="CC646" s="1347">
        <f t="shared" si="33"/>
        <v>0</v>
      </c>
      <c r="CD646" s="1347"/>
      <c r="CE646" s="1347"/>
      <c r="CF646" s="1347"/>
      <c r="CG646" s="1347"/>
      <c r="CH646" s="1347">
        <f t="shared" si="34"/>
        <v>0</v>
      </c>
      <c r="CI646" s="1347"/>
      <c r="CJ646" s="1347"/>
      <c r="CK646" s="1347"/>
      <c r="CL646" s="1347"/>
      <c r="CM646" s="1347">
        <f t="shared" si="35"/>
        <v>0</v>
      </c>
      <c r="CN646" s="1347"/>
      <c r="CO646" s="1347"/>
      <c r="CP646" s="1347"/>
      <c r="CQ646" s="1347"/>
      <c r="CR646" s="1141"/>
      <c r="CS646" s="1344">
        <f t="shared" si="36"/>
        <v>0</v>
      </c>
      <c r="CT646" s="1345"/>
      <c r="CU646" s="1345"/>
      <c r="CV646" s="1345"/>
      <c r="CW646" s="1346"/>
      <c r="CX646" s="1344">
        <f t="shared" si="37"/>
        <v>0</v>
      </c>
      <c r="CY646" s="1345"/>
      <c r="CZ646" s="1345"/>
      <c r="DA646" s="1345"/>
      <c r="DB646" s="1346"/>
      <c r="DC646" s="1344">
        <f t="shared" si="38"/>
        <v>0</v>
      </c>
      <c r="DD646" s="1345"/>
      <c r="DE646" s="1345"/>
      <c r="DF646" s="1345"/>
      <c r="DG646" s="1346"/>
      <c r="DH646" s="1344">
        <f t="shared" si="39"/>
        <v>0</v>
      </c>
      <c r="DI646" s="1345"/>
      <c r="DJ646" s="1345"/>
      <c r="DK646" s="1345"/>
      <c r="DL646" s="1346"/>
      <c r="DM646" s="1344">
        <f t="shared" si="40"/>
        <v>0</v>
      </c>
      <c r="DN646" s="1345"/>
      <c r="DO646" s="1345"/>
      <c r="DP646" s="1345"/>
      <c r="DQ646" s="1346"/>
      <c r="DR646" s="1344">
        <f t="shared" si="41"/>
        <v>0</v>
      </c>
      <c r="DS646" s="1345"/>
      <c r="DT646" s="1345"/>
      <c r="DU646" s="1345"/>
      <c r="DV646" s="1346"/>
      <c r="DX646" s="1338" t="e">
        <f t="shared" si="29"/>
        <v>#VALUE!</v>
      </c>
      <c r="DY646" s="1338"/>
      <c r="DZ646" s="1338"/>
      <c r="EA646" s="1338"/>
      <c r="EB646" s="1338"/>
      <c r="EC646" s="1338" t="e">
        <f t="shared" si="24"/>
        <v>#VALUE!</v>
      </c>
      <c r="ED646" s="1338"/>
      <c r="EE646" s="1338"/>
      <c r="EF646" s="1338"/>
      <c r="EG646" s="1338"/>
      <c r="EH646" s="1338" t="e">
        <f t="shared" si="25"/>
        <v>#VALUE!</v>
      </c>
      <c r="EI646" s="1338"/>
      <c r="EJ646" s="1338"/>
      <c r="EK646" s="1338"/>
      <c r="EL646" s="1338"/>
      <c r="EM646" s="1338" t="e">
        <f t="shared" si="26"/>
        <v>#VALUE!</v>
      </c>
      <c r="EN646" s="1338"/>
      <c r="EO646" s="1338"/>
      <c r="EP646" s="1338"/>
      <c r="EQ646" s="1338"/>
      <c r="ER646" s="1338" t="e">
        <f t="shared" si="27"/>
        <v>#VALUE!</v>
      </c>
      <c r="ES646" s="1338"/>
      <c r="ET646" s="1338"/>
      <c r="EU646" s="1338"/>
      <c r="EV646" s="1338"/>
      <c r="EW646" s="1338" t="e">
        <f t="shared" si="28"/>
        <v>#VALUE!</v>
      </c>
      <c r="EX646" s="1338"/>
      <c r="EY646" s="1338"/>
      <c r="EZ646" s="1338"/>
      <c r="FA646" s="1338"/>
    </row>
    <row r="647" spans="1:157" ht="13" customHeight="1">
      <c r="A647" s="18"/>
      <c r="B647" t="s">
        <v>883</v>
      </c>
      <c r="G647" s="1418" t="s">
        <v>1476</v>
      </c>
      <c r="H647" s="1418"/>
      <c r="I647" s="1418"/>
      <c r="J647" s="1418"/>
      <c r="K647" s="1418"/>
      <c r="L647" s="1418"/>
      <c r="O647" s="840" t="s">
        <v>1120</v>
      </c>
      <c r="P647" s="1434"/>
      <c r="Q647" s="1434"/>
      <c r="R647" s="1434"/>
      <c r="S647" s="9"/>
      <c r="T647" s="18"/>
      <c r="U647" t="s">
        <v>883</v>
      </c>
      <c r="Z647" s="1418" t="s">
        <v>1119</v>
      </c>
      <c r="AA647" s="1418"/>
      <c r="AB647" s="1418"/>
      <c r="AC647" s="1418"/>
      <c r="AD647" s="1418"/>
      <c r="AE647" s="1418"/>
      <c r="AH647" s="840" t="s">
        <v>1120</v>
      </c>
      <c r="AI647" s="1434"/>
      <c r="AJ647" s="1434"/>
      <c r="AK647" s="1434"/>
      <c r="AZ647" s="2"/>
      <c r="BA647" s="2"/>
      <c r="BB647" s="2"/>
      <c r="BC647" s="2"/>
      <c r="BD647" s="2"/>
      <c r="BE647" s="2"/>
      <c r="BF647" s="2"/>
      <c r="BG647" s="2"/>
      <c r="BH647" s="2"/>
      <c r="BI647" s="2"/>
      <c r="BJ647" s="2"/>
      <c r="BK647" s="2"/>
      <c r="BL647" s="2"/>
      <c r="BM647" s="2"/>
      <c r="BN647" s="1344">
        <f t="shared" si="30"/>
        <v>0</v>
      </c>
      <c r="BO647" s="1345"/>
      <c r="BP647" s="1345"/>
      <c r="BQ647" s="1345"/>
      <c r="BR647" s="1346"/>
      <c r="BS647" s="1347">
        <f t="shared" si="31"/>
        <v>0</v>
      </c>
      <c r="BT647" s="1347"/>
      <c r="BU647" s="1347"/>
      <c r="BV647" s="1347"/>
      <c r="BW647" s="1347"/>
      <c r="BX647" s="1347">
        <f t="shared" si="32"/>
        <v>0</v>
      </c>
      <c r="BY647" s="1347"/>
      <c r="BZ647" s="1347"/>
      <c r="CA647" s="1347"/>
      <c r="CB647" s="1347"/>
      <c r="CC647" s="1347">
        <f t="shared" si="33"/>
        <v>0</v>
      </c>
      <c r="CD647" s="1347"/>
      <c r="CE647" s="1347"/>
      <c r="CF647" s="1347"/>
      <c r="CG647" s="1347"/>
      <c r="CH647" s="1347">
        <f t="shared" si="34"/>
        <v>0</v>
      </c>
      <c r="CI647" s="1347"/>
      <c r="CJ647" s="1347"/>
      <c r="CK647" s="1347"/>
      <c r="CL647" s="1347"/>
      <c r="CM647" s="1347">
        <f t="shared" si="35"/>
        <v>0</v>
      </c>
      <c r="CN647" s="1347"/>
      <c r="CO647" s="1347"/>
      <c r="CP647" s="1347"/>
      <c r="CQ647" s="1347"/>
      <c r="CR647" s="1141"/>
      <c r="CS647" s="1344">
        <f t="shared" si="36"/>
        <v>0</v>
      </c>
      <c r="CT647" s="1345"/>
      <c r="CU647" s="1345"/>
      <c r="CV647" s="1345"/>
      <c r="CW647" s="1346"/>
      <c r="CX647" s="1344">
        <f t="shared" si="37"/>
        <v>0</v>
      </c>
      <c r="CY647" s="1345"/>
      <c r="CZ647" s="1345"/>
      <c r="DA647" s="1345"/>
      <c r="DB647" s="1346"/>
      <c r="DC647" s="1344">
        <f t="shared" si="38"/>
        <v>0</v>
      </c>
      <c r="DD647" s="1345"/>
      <c r="DE647" s="1345"/>
      <c r="DF647" s="1345"/>
      <c r="DG647" s="1346"/>
      <c r="DH647" s="1344">
        <f t="shared" si="39"/>
        <v>0</v>
      </c>
      <c r="DI647" s="1345"/>
      <c r="DJ647" s="1345"/>
      <c r="DK647" s="1345"/>
      <c r="DL647" s="1346"/>
      <c r="DM647" s="1344">
        <f t="shared" si="40"/>
        <v>0</v>
      </c>
      <c r="DN647" s="1345"/>
      <c r="DO647" s="1345"/>
      <c r="DP647" s="1345"/>
      <c r="DQ647" s="1346"/>
      <c r="DR647" s="1344">
        <f t="shared" si="41"/>
        <v>0</v>
      </c>
      <c r="DS647" s="1345"/>
      <c r="DT647" s="1345"/>
      <c r="DU647" s="1345"/>
      <c r="DV647" s="1346"/>
      <c r="DX647" s="1338" t="e">
        <f t="shared" si="29"/>
        <v>#VALUE!</v>
      </c>
      <c r="DY647" s="1338"/>
      <c r="DZ647" s="1338"/>
      <c r="EA647" s="1338"/>
      <c r="EB647" s="1338"/>
      <c r="EC647" s="1338" t="e">
        <f t="shared" si="24"/>
        <v>#VALUE!</v>
      </c>
      <c r="ED647" s="1338"/>
      <c r="EE647" s="1338"/>
      <c r="EF647" s="1338"/>
      <c r="EG647" s="1338"/>
      <c r="EH647" s="1338" t="e">
        <f t="shared" si="25"/>
        <v>#VALUE!</v>
      </c>
      <c r="EI647" s="1338"/>
      <c r="EJ647" s="1338"/>
      <c r="EK647" s="1338"/>
      <c r="EL647" s="1338"/>
      <c r="EM647" s="1338" t="e">
        <f t="shared" si="26"/>
        <v>#VALUE!</v>
      </c>
      <c r="EN647" s="1338"/>
      <c r="EO647" s="1338"/>
      <c r="EP647" s="1338"/>
      <c r="EQ647" s="1338"/>
      <c r="ER647" s="1338" t="e">
        <f t="shared" si="27"/>
        <v>#VALUE!</v>
      </c>
      <c r="ES647" s="1338"/>
      <c r="ET647" s="1338"/>
      <c r="EU647" s="1338"/>
      <c r="EV647" s="1338"/>
      <c r="EW647" s="1338" t="e">
        <f t="shared" si="28"/>
        <v>#VALUE!</v>
      </c>
      <c r="EX647" s="1338"/>
      <c r="EY647" s="1338"/>
      <c r="EZ647" s="1338"/>
      <c r="FA647" s="1338"/>
    </row>
    <row r="648" spans="1:157" ht="13" customHeight="1">
      <c r="A648" s="18"/>
      <c r="B648" t="s">
        <v>1477</v>
      </c>
      <c r="H648" s="1405" t="s">
        <v>1423</v>
      </c>
      <c r="I648" s="1405"/>
      <c r="J648" s="1405"/>
      <c r="K648" s="1405"/>
      <c r="L648" s="1405"/>
      <c r="M648" s="1405"/>
      <c r="N648" s="1405"/>
      <c r="O648" s="1405"/>
      <c r="P648" s="1405"/>
      <c r="Q648" s="1405"/>
      <c r="R648" s="1405"/>
      <c r="S648" s="7"/>
      <c r="T648" s="18"/>
      <c r="U648" t="s">
        <v>1477</v>
      </c>
      <c r="AA648" s="1405" t="s">
        <v>1478</v>
      </c>
      <c r="AB648" s="1405"/>
      <c r="AC648" s="1405"/>
      <c r="AD648" s="1405"/>
      <c r="AE648" s="1405"/>
      <c r="AF648" s="1405"/>
      <c r="AG648" s="1405"/>
      <c r="AH648" s="1405"/>
      <c r="AI648" s="1405"/>
      <c r="AJ648" s="1405"/>
      <c r="AK648" s="1405"/>
      <c r="AZ648" s="2"/>
      <c r="BA648" s="2"/>
      <c r="BB648" s="2"/>
      <c r="BC648" s="2"/>
      <c r="BD648" s="2"/>
      <c r="BE648" s="2"/>
      <c r="BF648" s="2"/>
      <c r="BG648" s="2"/>
      <c r="BH648" s="2"/>
      <c r="BI648" s="2"/>
      <c r="BJ648" s="2"/>
      <c r="BK648" s="2"/>
      <c r="BL648" s="2"/>
      <c r="BM648" s="2"/>
      <c r="BN648" s="1344">
        <f t="shared" si="30"/>
        <v>0</v>
      </c>
      <c r="BO648" s="1345"/>
      <c r="BP648" s="1345"/>
      <c r="BQ648" s="1345"/>
      <c r="BR648" s="1346"/>
      <c r="BS648" s="1347">
        <f t="shared" si="31"/>
        <v>0</v>
      </c>
      <c r="BT648" s="1347"/>
      <c r="BU648" s="1347"/>
      <c r="BV648" s="1347"/>
      <c r="BW648" s="1347"/>
      <c r="BX648" s="1347">
        <f t="shared" si="32"/>
        <v>0</v>
      </c>
      <c r="BY648" s="1347"/>
      <c r="BZ648" s="1347"/>
      <c r="CA648" s="1347"/>
      <c r="CB648" s="1347"/>
      <c r="CC648" s="1347">
        <f t="shared" si="33"/>
        <v>0</v>
      </c>
      <c r="CD648" s="1347"/>
      <c r="CE648" s="1347"/>
      <c r="CF648" s="1347"/>
      <c r="CG648" s="1347"/>
      <c r="CH648" s="1347">
        <f t="shared" si="34"/>
        <v>0</v>
      </c>
      <c r="CI648" s="1347"/>
      <c r="CJ648" s="1347"/>
      <c r="CK648" s="1347"/>
      <c r="CL648" s="1347"/>
      <c r="CM648" s="1347">
        <f t="shared" si="35"/>
        <v>0</v>
      </c>
      <c r="CN648" s="1347"/>
      <c r="CO648" s="1347"/>
      <c r="CP648" s="1347"/>
      <c r="CQ648" s="1347"/>
      <c r="CR648" s="1141"/>
      <c r="CS648" s="1344">
        <f t="shared" si="36"/>
        <v>0</v>
      </c>
      <c r="CT648" s="1345"/>
      <c r="CU648" s="1345"/>
      <c r="CV648" s="1345"/>
      <c r="CW648" s="1346"/>
      <c r="CX648" s="1344">
        <f t="shared" si="37"/>
        <v>0</v>
      </c>
      <c r="CY648" s="1345"/>
      <c r="CZ648" s="1345"/>
      <c r="DA648" s="1345"/>
      <c r="DB648" s="1346"/>
      <c r="DC648" s="1344">
        <f t="shared" si="38"/>
        <v>0</v>
      </c>
      <c r="DD648" s="1345"/>
      <c r="DE648" s="1345"/>
      <c r="DF648" s="1345"/>
      <c r="DG648" s="1346"/>
      <c r="DH648" s="1344">
        <f t="shared" si="39"/>
        <v>0</v>
      </c>
      <c r="DI648" s="1345"/>
      <c r="DJ648" s="1345"/>
      <c r="DK648" s="1345"/>
      <c r="DL648" s="1346"/>
      <c r="DM648" s="1344">
        <f t="shared" si="40"/>
        <v>0</v>
      </c>
      <c r="DN648" s="1345"/>
      <c r="DO648" s="1345"/>
      <c r="DP648" s="1345"/>
      <c r="DQ648" s="1346"/>
      <c r="DR648" s="1344">
        <f t="shared" si="41"/>
        <v>0</v>
      </c>
      <c r="DS648" s="1345"/>
      <c r="DT648" s="1345"/>
      <c r="DU648" s="1345"/>
      <c r="DV648" s="1346"/>
      <c r="DX648" s="1338" t="e">
        <f t="shared" si="29"/>
        <v>#VALUE!</v>
      </c>
      <c r="DY648" s="1338"/>
      <c r="DZ648" s="1338"/>
      <c r="EA648" s="1338"/>
      <c r="EB648" s="1338"/>
      <c r="EC648" s="1338" t="e">
        <f t="shared" si="24"/>
        <v>#VALUE!</v>
      </c>
      <c r="ED648" s="1338"/>
      <c r="EE648" s="1338"/>
      <c r="EF648" s="1338"/>
      <c r="EG648" s="1338"/>
      <c r="EH648" s="1338" t="e">
        <f t="shared" si="25"/>
        <v>#VALUE!</v>
      </c>
      <c r="EI648" s="1338"/>
      <c r="EJ648" s="1338"/>
      <c r="EK648" s="1338"/>
      <c r="EL648" s="1338"/>
      <c r="EM648" s="1338" t="e">
        <f t="shared" si="26"/>
        <v>#VALUE!</v>
      </c>
      <c r="EN648" s="1338"/>
      <c r="EO648" s="1338"/>
      <c r="EP648" s="1338"/>
      <c r="EQ648" s="1338"/>
      <c r="ER648" s="1338" t="e">
        <f t="shared" si="27"/>
        <v>#VALUE!</v>
      </c>
      <c r="ES648" s="1338"/>
      <c r="ET648" s="1338"/>
      <c r="EU648" s="1338"/>
      <c r="EV648" s="1338"/>
      <c r="EW648" s="1338" t="e">
        <f t="shared" si="28"/>
        <v>#VALUE!</v>
      </c>
      <c r="EX648" s="1338"/>
      <c r="EY648" s="1338"/>
      <c r="EZ648" s="1338"/>
      <c r="FA648" s="1338"/>
    </row>
    <row r="649" spans="1:157" ht="13" customHeight="1">
      <c r="A649" s="18"/>
      <c r="B649" t="s">
        <v>1480</v>
      </c>
      <c r="N649" s="1361" t="s">
        <v>837</v>
      </c>
      <c r="O649" s="1361"/>
      <c r="T649" s="18"/>
      <c r="U649" t="s">
        <v>1480</v>
      </c>
      <c r="AG649" s="1361" t="s">
        <v>837</v>
      </c>
      <c r="AH649" s="1361"/>
      <c r="AZ649" s="2"/>
      <c r="BA649" s="2"/>
      <c r="BB649" s="2"/>
      <c r="BC649" s="2"/>
      <c r="BD649" s="2"/>
      <c r="BE649" s="2"/>
      <c r="BF649" s="2"/>
      <c r="BG649" s="2"/>
      <c r="BH649" s="2"/>
      <c r="BI649" s="2"/>
      <c r="BJ649" s="2"/>
      <c r="BK649" s="2"/>
      <c r="BL649" s="2"/>
      <c r="BM649" s="2"/>
      <c r="BN649" s="1344">
        <f t="shared" si="30"/>
        <v>0</v>
      </c>
      <c r="BO649" s="1345"/>
      <c r="BP649" s="1345"/>
      <c r="BQ649" s="1345"/>
      <c r="BR649" s="1346"/>
      <c r="BS649" s="1347">
        <f t="shared" si="31"/>
        <v>0</v>
      </c>
      <c r="BT649" s="1347"/>
      <c r="BU649" s="1347"/>
      <c r="BV649" s="1347"/>
      <c r="BW649" s="1347"/>
      <c r="BX649" s="1347">
        <f t="shared" si="32"/>
        <v>0</v>
      </c>
      <c r="BY649" s="1347"/>
      <c r="BZ649" s="1347"/>
      <c r="CA649" s="1347"/>
      <c r="CB649" s="1347"/>
      <c r="CC649" s="1347">
        <f t="shared" si="33"/>
        <v>0</v>
      </c>
      <c r="CD649" s="1347"/>
      <c r="CE649" s="1347"/>
      <c r="CF649" s="1347"/>
      <c r="CG649" s="1347"/>
      <c r="CH649" s="1347">
        <f t="shared" si="34"/>
        <v>0</v>
      </c>
      <c r="CI649" s="1347"/>
      <c r="CJ649" s="1347"/>
      <c r="CK649" s="1347"/>
      <c r="CL649" s="1347"/>
      <c r="CM649" s="1347">
        <f t="shared" si="35"/>
        <v>0</v>
      </c>
      <c r="CN649" s="1347"/>
      <c r="CO649" s="1347"/>
      <c r="CP649" s="1347"/>
      <c r="CQ649" s="1347"/>
      <c r="CR649" s="1141"/>
      <c r="CS649" s="1344">
        <f t="shared" si="36"/>
        <v>0</v>
      </c>
      <c r="CT649" s="1345"/>
      <c r="CU649" s="1345"/>
      <c r="CV649" s="1345"/>
      <c r="CW649" s="1346"/>
      <c r="CX649" s="1344">
        <f t="shared" si="37"/>
        <v>0</v>
      </c>
      <c r="CY649" s="1345"/>
      <c r="CZ649" s="1345"/>
      <c r="DA649" s="1345"/>
      <c r="DB649" s="1346"/>
      <c r="DC649" s="1344">
        <f t="shared" si="38"/>
        <v>0</v>
      </c>
      <c r="DD649" s="1345"/>
      <c r="DE649" s="1345"/>
      <c r="DF649" s="1345"/>
      <c r="DG649" s="1346"/>
      <c r="DH649" s="1344">
        <f t="shared" si="39"/>
        <v>0</v>
      </c>
      <c r="DI649" s="1345"/>
      <c r="DJ649" s="1345"/>
      <c r="DK649" s="1345"/>
      <c r="DL649" s="1346"/>
      <c r="DM649" s="1344">
        <f t="shared" si="40"/>
        <v>0</v>
      </c>
      <c r="DN649" s="1345"/>
      <c r="DO649" s="1345"/>
      <c r="DP649" s="1345"/>
      <c r="DQ649" s="1346"/>
      <c r="DR649" s="1344">
        <f t="shared" si="41"/>
        <v>0</v>
      </c>
      <c r="DS649" s="1345"/>
      <c r="DT649" s="1345"/>
      <c r="DU649" s="1345"/>
      <c r="DV649" s="1346"/>
      <c r="DX649" s="1338" t="e">
        <f t="shared" si="29"/>
        <v>#VALUE!</v>
      </c>
      <c r="DY649" s="1338"/>
      <c r="DZ649" s="1338"/>
      <c r="EA649" s="1338"/>
      <c r="EB649" s="1338"/>
      <c r="EC649" s="1338" t="e">
        <f t="shared" si="24"/>
        <v>#VALUE!</v>
      </c>
      <c r="ED649" s="1338"/>
      <c r="EE649" s="1338"/>
      <c r="EF649" s="1338"/>
      <c r="EG649" s="1338"/>
      <c r="EH649" s="1338" t="e">
        <f t="shared" si="25"/>
        <v>#VALUE!</v>
      </c>
      <c r="EI649" s="1338"/>
      <c r="EJ649" s="1338"/>
      <c r="EK649" s="1338"/>
      <c r="EL649" s="1338"/>
      <c r="EM649" s="1338" t="e">
        <f t="shared" si="26"/>
        <v>#VALUE!</v>
      </c>
      <c r="EN649" s="1338"/>
      <c r="EO649" s="1338"/>
      <c r="EP649" s="1338"/>
      <c r="EQ649" s="1338"/>
      <c r="ER649" s="1338" t="e">
        <f t="shared" si="27"/>
        <v>#VALUE!</v>
      </c>
      <c r="ES649" s="1338"/>
      <c r="ET649" s="1338"/>
      <c r="EU649" s="1338"/>
      <c r="EV649" s="1338"/>
      <c r="EW649" s="1338" t="e">
        <f t="shared" si="28"/>
        <v>#VALUE!</v>
      </c>
      <c r="EX649" s="1338"/>
      <c r="EY649" s="1338"/>
      <c r="EZ649" s="1338"/>
      <c r="FA649" s="1338"/>
    </row>
    <row r="650" spans="1:157" ht="13" customHeight="1">
      <c r="A650" s="18"/>
      <c r="T650" s="18"/>
      <c r="AZ650" s="2"/>
      <c r="BA650" s="2"/>
      <c r="BB650" s="2"/>
      <c r="BC650" s="2"/>
      <c r="BD650" s="2"/>
      <c r="BE650" s="2"/>
      <c r="BF650" s="2"/>
      <c r="BG650" s="2"/>
      <c r="BH650" s="2"/>
      <c r="BI650" s="2"/>
      <c r="BJ650" s="2"/>
      <c r="BK650" s="2"/>
      <c r="BL650" s="2"/>
      <c r="BM650" s="2"/>
      <c r="BN650" s="1344">
        <f t="shared" si="30"/>
        <v>0</v>
      </c>
      <c r="BO650" s="1345"/>
      <c r="BP650" s="1345"/>
      <c r="BQ650" s="1345"/>
      <c r="BR650" s="1346"/>
      <c r="BS650" s="1347">
        <f t="shared" si="31"/>
        <v>0</v>
      </c>
      <c r="BT650" s="1347"/>
      <c r="BU650" s="1347"/>
      <c r="BV650" s="1347"/>
      <c r="BW650" s="1347"/>
      <c r="BX650" s="1347">
        <f t="shared" si="32"/>
        <v>0</v>
      </c>
      <c r="BY650" s="1347"/>
      <c r="BZ650" s="1347"/>
      <c r="CA650" s="1347"/>
      <c r="CB650" s="1347"/>
      <c r="CC650" s="1347">
        <f t="shared" si="33"/>
        <v>0</v>
      </c>
      <c r="CD650" s="1347"/>
      <c r="CE650" s="1347"/>
      <c r="CF650" s="1347"/>
      <c r="CG650" s="1347"/>
      <c r="CH650" s="1347">
        <f t="shared" si="34"/>
        <v>0</v>
      </c>
      <c r="CI650" s="1347"/>
      <c r="CJ650" s="1347"/>
      <c r="CK650" s="1347"/>
      <c r="CL650" s="1347"/>
      <c r="CM650" s="1347">
        <f t="shared" si="35"/>
        <v>0</v>
      </c>
      <c r="CN650" s="1347"/>
      <c r="CO650" s="1347"/>
      <c r="CP650" s="1347"/>
      <c r="CQ650" s="1347"/>
      <c r="CR650" s="1141"/>
      <c r="CS650" s="1344">
        <f t="shared" si="36"/>
        <v>0</v>
      </c>
      <c r="CT650" s="1345"/>
      <c r="CU650" s="1345"/>
      <c r="CV650" s="1345"/>
      <c r="CW650" s="1346"/>
      <c r="CX650" s="1344">
        <f t="shared" si="37"/>
        <v>0</v>
      </c>
      <c r="CY650" s="1345"/>
      <c r="CZ650" s="1345"/>
      <c r="DA650" s="1345"/>
      <c r="DB650" s="1346"/>
      <c r="DC650" s="1344">
        <f t="shared" si="38"/>
        <v>0</v>
      </c>
      <c r="DD650" s="1345"/>
      <c r="DE650" s="1345"/>
      <c r="DF650" s="1345"/>
      <c r="DG650" s="1346"/>
      <c r="DH650" s="1344">
        <f t="shared" si="39"/>
        <v>0</v>
      </c>
      <c r="DI650" s="1345"/>
      <c r="DJ650" s="1345"/>
      <c r="DK650" s="1345"/>
      <c r="DL650" s="1346"/>
      <c r="DM650" s="1344">
        <f t="shared" si="40"/>
        <v>0</v>
      </c>
      <c r="DN650" s="1345"/>
      <c r="DO650" s="1345"/>
      <c r="DP650" s="1345"/>
      <c r="DQ650" s="1346"/>
      <c r="DR650" s="1344">
        <f t="shared" si="41"/>
        <v>0</v>
      </c>
      <c r="DS650" s="1345"/>
      <c r="DT650" s="1345"/>
      <c r="DU650" s="1345"/>
      <c r="DV650" s="1346"/>
      <c r="DX650" s="1338" t="e">
        <f t="shared" si="29"/>
        <v>#VALUE!</v>
      </c>
      <c r="DY650" s="1338"/>
      <c r="DZ650" s="1338"/>
      <c r="EA650" s="1338"/>
      <c r="EB650" s="1338"/>
      <c r="EC650" s="1338" t="e">
        <f t="shared" si="24"/>
        <v>#VALUE!</v>
      </c>
      <c r="ED650" s="1338"/>
      <c r="EE650" s="1338"/>
      <c r="EF650" s="1338"/>
      <c r="EG650" s="1338"/>
      <c r="EH650" s="1338" t="e">
        <f t="shared" si="25"/>
        <v>#VALUE!</v>
      </c>
      <c r="EI650" s="1338"/>
      <c r="EJ650" s="1338"/>
      <c r="EK650" s="1338"/>
      <c r="EL650" s="1338"/>
      <c r="EM650" s="1338" t="e">
        <f t="shared" si="26"/>
        <v>#VALUE!</v>
      </c>
      <c r="EN650" s="1338"/>
      <c r="EO650" s="1338"/>
      <c r="EP650" s="1338"/>
      <c r="EQ650" s="1338"/>
      <c r="ER650" s="1338" t="e">
        <f t="shared" si="27"/>
        <v>#VALUE!</v>
      </c>
      <c r="ES650" s="1338"/>
      <c r="ET650" s="1338"/>
      <c r="EU650" s="1338"/>
      <c r="EV650" s="1338"/>
      <c r="EW650" s="1338" t="e">
        <f t="shared" si="28"/>
        <v>#VALUE!</v>
      </c>
      <c r="EX650" s="1338"/>
      <c r="EY650" s="1338"/>
      <c r="EZ650" s="1338"/>
      <c r="FA650" s="1338"/>
    </row>
    <row r="651" spans="1:157" ht="13" customHeight="1">
      <c r="A651" s="37" t="s">
        <v>38</v>
      </c>
      <c r="B651" t="s">
        <v>1471</v>
      </c>
      <c r="G651" s="1460" t="str">
        <f>C629</f>
        <v>SMC AHF 12.0</v>
      </c>
      <c r="H651" s="1460"/>
      <c r="I651" s="1460"/>
      <c r="J651" s="1460"/>
      <c r="K651" s="1460"/>
      <c r="L651" s="1460"/>
      <c r="M651" s="1460"/>
      <c r="N651" s="1460"/>
      <c r="O651" s="1460"/>
      <c r="P651" s="1460"/>
      <c r="Q651" s="1460"/>
      <c r="R651" s="1460"/>
      <c r="T651" s="37" t="s">
        <v>81</v>
      </c>
      <c r="U651" t="s">
        <v>1471</v>
      </c>
      <c r="Z651" s="1460" t="str">
        <f>C630</f>
        <v>SMC AHF 11.0</v>
      </c>
      <c r="AA651" s="1460"/>
      <c r="AB651" s="1460"/>
      <c r="AC651" s="1460"/>
      <c r="AD651" s="1460"/>
      <c r="AE651" s="1460"/>
      <c r="AF651" s="1460"/>
      <c r="AG651" s="1460"/>
      <c r="AH651" s="1460"/>
      <c r="AI651" s="1460"/>
      <c r="AJ651" s="1460"/>
      <c r="AK651" s="1460"/>
      <c r="AZ651" s="2"/>
      <c r="BA651" s="2"/>
      <c r="BB651" s="2"/>
      <c r="BC651" s="2"/>
      <c r="BD651" s="2"/>
      <c r="BE651" s="2"/>
      <c r="BF651" s="2"/>
      <c r="BG651" s="2"/>
      <c r="BH651" s="2"/>
      <c r="BI651" s="2"/>
      <c r="BJ651" s="2"/>
      <c r="BK651" s="2"/>
      <c r="BL651" s="2"/>
      <c r="BM651" s="2"/>
      <c r="BN651" s="1344">
        <f t="shared" si="30"/>
        <v>0</v>
      </c>
      <c r="BO651" s="1345"/>
      <c r="BP651" s="1345"/>
      <c r="BQ651" s="1345"/>
      <c r="BR651" s="1346"/>
      <c r="BS651" s="1347">
        <f t="shared" si="31"/>
        <v>0</v>
      </c>
      <c r="BT651" s="1347"/>
      <c r="BU651" s="1347"/>
      <c r="BV651" s="1347"/>
      <c r="BW651" s="1347"/>
      <c r="BX651" s="1347">
        <f t="shared" si="32"/>
        <v>0</v>
      </c>
      <c r="BY651" s="1347"/>
      <c r="BZ651" s="1347"/>
      <c r="CA651" s="1347"/>
      <c r="CB651" s="1347"/>
      <c r="CC651" s="1347">
        <f t="shared" si="33"/>
        <v>0</v>
      </c>
      <c r="CD651" s="1347"/>
      <c r="CE651" s="1347"/>
      <c r="CF651" s="1347"/>
      <c r="CG651" s="1347"/>
      <c r="CH651" s="1347">
        <f t="shared" si="34"/>
        <v>0</v>
      </c>
      <c r="CI651" s="1347"/>
      <c r="CJ651" s="1347"/>
      <c r="CK651" s="1347"/>
      <c r="CL651" s="1347"/>
      <c r="CM651" s="1347">
        <f t="shared" si="35"/>
        <v>0</v>
      </c>
      <c r="CN651" s="1347"/>
      <c r="CO651" s="1347"/>
      <c r="CP651" s="1347"/>
      <c r="CQ651" s="1347"/>
      <c r="CR651" s="1141"/>
      <c r="CS651" s="1344">
        <f t="shared" si="36"/>
        <v>0</v>
      </c>
      <c r="CT651" s="1345"/>
      <c r="CU651" s="1345"/>
      <c r="CV651" s="1345"/>
      <c r="CW651" s="1346"/>
      <c r="CX651" s="1344">
        <f t="shared" si="37"/>
        <v>0</v>
      </c>
      <c r="CY651" s="1345"/>
      <c r="CZ651" s="1345"/>
      <c r="DA651" s="1345"/>
      <c r="DB651" s="1346"/>
      <c r="DC651" s="1344">
        <f t="shared" si="38"/>
        <v>0</v>
      </c>
      <c r="DD651" s="1345"/>
      <c r="DE651" s="1345"/>
      <c r="DF651" s="1345"/>
      <c r="DG651" s="1346"/>
      <c r="DH651" s="1344">
        <f t="shared" si="39"/>
        <v>0</v>
      </c>
      <c r="DI651" s="1345"/>
      <c r="DJ651" s="1345"/>
      <c r="DK651" s="1345"/>
      <c r="DL651" s="1346"/>
      <c r="DM651" s="1344">
        <f t="shared" si="40"/>
        <v>0</v>
      </c>
      <c r="DN651" s="1345"/>
      <c r="DO651" s="1345"/>
      <c r="DP651" s="1345"/>
      <c r="DQ651" s="1346"/>
      <c r="DR651" s="1344">
        <f t="shared" si="41"/>
        <v>0</v>
      </c>
      <c r="DS651" s="1345"/>
      <c r="DT651" s="1345"/>
      <c r="DU651" s="1345"/>
      <c r="DV651" s="1346"/>
      <c r="DX651" s="1338" t="e">
        <f t="shared" si="29"/>
        <v>#VALUE!</v>
      </c>
      <c r="DY651" s="1338"/>
      <c r="DZ651" s="1338"/>
      <c r="EA651" s="1338"/>
      <c r="EB651" s="1338"/>
      <c r="EC651" s="1338" t="e">
        <f t="shared" si="24"/>
        <v>#VALUE!</v>
      </c>
      <c r="ED651" s="1338"/>
      <c r="EE651" s="1338"/>
      <c r="EF651" s="1338"/>
      <c r="EG651" s="1338"/>
      <c r="EH651" s="1338" t="e">
        <f t="shared" si="25"/>
        <v>#VALUE!</v>
      </c>
      <c r="EI651" s="1338"/>
      <c r="EJ651" s="1338"/>
      <c r="EK651" s="1338"/>
      <c r="EL651" s="1338"/>
      <c r="EM651" s="1338" t="e">
        <f t="shared" si="26"/>
        <v>#VALUE!</v>
      </c>
      <c r="EN651" s="1338"/>
      <c r="EO651" s="1338"/>
      <c r="EP651" s="1338"/>
      <c r="EQ651" s="1338"/>
      <c r="ER651" s="1338" t="e">
        <f t="shared" si="27"/>
        <v>#VALUE!</v>
      </c>
      <c r="ES651" s="1338"/>
      <c r="ET651" s="1338"/>
      <c r="EU651" s="1338"/>
      <c r="EV651" s="1338"/>
      <c r="EW651" s="1338" t="e">
        <f t="shared" si="28"/>
        <v>#VALUE!</v>
      </c>
      <c r="EX651" s="1338"/>
      <c r="EY651" s="1338"/>
      <c r="EZ651" s="1338"/>
      <c r="FA651" s="1338"/>
    </row>
    <row r="652" spans="1:157" ht="13" customHeight="1">
      <c r="A652" s="18"/>
      <c r="B652" t="s">
        <v>1111</v>
      </c>
      <c r="G652" s="1405" t="s">
        <v>1518</v>
      </c>
      <c r="H652" s="1405"/>
      <c r="I652" s="1405"/>
      <c r="J652" s="1405"/>
      <c r="K652" s="1405"/>
      <c r="L652" s="1405"/>
      <c r="M652" s="1405"/>
      <c r="N652" s="1405"/>
      <c r="O652" s="1405"/>
      <c r="P652" s="1405"/>
      <c r="Q652" s="1405"/>
      <c r="R652" s="1405"/>
      <c r="T652" s="18"/>
      <c r="U652" t="s">
        <v>1111</v>
      </c>
      <c r="Z652" s="1405" t="s">
        <v>1518</v>
      </c>
      <c r="AA652" s="1405"/>
      <c r="AB652" s="1405"/>
      <c r="AC652" s="1405"/>
      <c r="AD652" s="1405"/>
      <c r="AE652" s="1405"/>
      <c r="AF652" s="1405"/>
      <c r="AG652" s="1405"/>
      <c r="AH652" s="1405"/>
      <c r="AI652" s="1405"/>
      <c r="AJ652" s="1405"/>
      <c r="AK652" s="1405"/>
      <c r="AZ652" s="2"/>
      <c r="BA652" s="2"/>
      <c r="BB652" s="2"/>
      <c r="BC652" s="2"/>
      <c r="BD652" s="2"/>
      <c r="BE652" s="2"/>
      <c r="BF652" s="2"/>
      <c r="BG652" s="2"/>
      <c r="BH652" s="2"/>
      <c r="BI652" s="2"/>
      <c r="BJ652" s="2"/>
      <c r="BK652" s="2"/>
      <c r="BL652" s="2"/>
      <c r="BM652" s="2"/>
      <c r="BN652" s="1344">
        <f t="shared" si="30"/>
        <v>0</v>
      </c>
      <c r="BO652" s="1345"/>
      <c r="BP652" s="1345"/>
      <c r="BQ652" s="1345"/>
      <c r="BR652" s="1346"/>
      <c r="BS652" s="1347">
        <f t="shared" si="31"/>
        <v>0</v>
      </c>
      <c r="BT652" s="1347"/>
      <c r="BU652" s="1347"/>
      <c r="BV652" s="1347"/>
      <c r="BW652" s="1347"/>
      <c r="BX652" s="1347">
        <f t="shared" si="32"/>
        <v>0</v>
      </c>
      <c r="BY652" s="1347"/>
      <c r="BZ652" s="1347"/>
      <c r="CA652" s="1347"/>
      <c r="CB652" s="1347"/>
      <c r="CC652" s="1347">
        <f t="shared" si="33"/>
        <v>0</v>
      </c>
      <c r="CD652" s="1347"/>
      <c r="CE652" s="1347"/>
      <c r="CF652" s="1347"/>
      <c r="CG652" s="1347"/>
      <c r="CH652" s="1347">
        <f t="shared" si="34"/>
        <v>0</v>
      </c>
      <c r="CI652" s="1347"/>
      <c r="CJ652" s="1347"/>
      <c r="CK652" s="1347"/>
      <c r="CL652" s="1347"/>
      <c r="CM652" s="1347">
        <f t="shared" si="35"/>
        <v>0</v>
      </c>
      <c r="CN652" s="1347"/>
      <c r="CO652" s="1347"/>
      <c r="CP652" s="1347"/>
      <c r="CQ652" s="1347"/>
      <c r="CR652" s="1141"/>
      <c r="CS652" s="1344">
        <f t="shared" si="36"/>
        <v>0</v>
      </c>
      <c r="CT652" s="1345"/>
      <c r="CU652" s="1345"/>
      <c r="CV652" s="1345"/>
      <c r="CW652" s="1346"/>
      <c r="CX652" s="1344">
        <f t="shared" si="37"/>
        <v>0</v>
      </c>
      <c r="CY652" s="1345"/>
      <c r="CZ652" s="1345"/>
      <c r="DA652" s="1345"/>
      <c r="DB652" s="1346"/>
      <c r="DC652" s="1344">
        <f t="shared" si="38"/>
        <v>0</v>
      </c>
      <c r="DD652" s="1345"/>
      <c r="DE652" s="1345"/>
      <c r="DF652" s="1345"/>
      <c r="DG652" s="1346"/>
      <c r="DH652" s="1344">
        <f t="shared" si="39"/>
        <v>0</v>
      </c>
      <c r="DI652" s="1345"/>
      <c r="DJ652" s="1345"/>
      <c r="DK652" s="1345"/>
      <c r="DL652" s="1346"/>
      <c r="DM652" s="1344">
        <f t="shared" si="40"/>
        <v>0</v>
      </c>
      <c r="DN652" s="1345"/>
      <c r="DO652" s="1345"/>
      <c r="DP652" s="1345"/>
      <c r="DQ652" s="1346"/>
      <c r="DR652" s="1344">
        <f t="shared" si="41"/>
        <v>0</v>
      </c>
      <c r="DS652" s="1345"/>
      <c r="DT652" s="1345"/>
      <c r="DU652" s="1345"/>
      <c r="DV652" s="1346"/>
      <c r="DX652" s="1338" t="e">
        <f t="shared" si="29"/>
        <v>#VALUE!</v>
      </c>
      <c r="DY652" s="1338"/>
      <c r="DZ652" s="1338"/>
      <c r="EA652" s="1338"/>
      <c r="EB652" s="1338"/>
      <c r="EC652" s="1338" t="e">
        <f t="shared" si="24"/>
        <v>#VALUE!</v>
      </c>
      <c r="ED652" s="1338"/>
      <c r="EE652" s="1338"/>
      <c r="EF652" s="1338"/>
      <c r="EG652" s="1338"/>
      <c r="EH652" s="1338" t="e">
        <f t="shared" si="25"/>
        <v>#VALUE!</v>
      </c>
      <c r="EI652" s="1338"/>
      <c r="EJ652" s="1338"/>
      <c r="EK652" s="1338"/>
      <c r="EL652" s="1338"/>
      <c r="EM652" s="1338" t="e">
        <f t="shared" si="26"/>
        <v>#VALUE!</v>
      </c>
      <c r="EN652" s="1338"/>
      <c r="EO652" s="1338"/>
      <c r="EP652" s="1338"/>
      <c r="EQ652" s="1338"/>
      <c r="ER652" s="1338" t="e">
        <f t="shared" si="27"/>
        <v>#VALUE!</v>
      </c>
      <c r="ES652" s="1338"/>
      <c r="ET652" s="1338"/>
      <c r="EU652" s="1338"/>
      <c r="EV652" s="1338"/>
      <c r="EW652" s="1338" t="e">
        <f t="shared" si="28"/>
        <v>#VALUE!</v>
      </c>
      <c r="EX652" s="1338"/>
      <c r="EY652" s="1338"/>
      <c r="EZ652" s="1338"/>
      <c r="FA652" s="1338"/>
    </row>
    <row r="653" spans="1:157" ht="13" customHeight="1">
      <c r="A653" s="18"/>
      <c r="B653" t="s">
        <v>980</v>
      </c>
      <c r="G653" s="1353" t="s">
        <v>1519</v>
      </c>
      <c r="H653" s="1353"/>
      <c r="I653" s="1353"/>
      <c r="J653" s="1353"/>
      <c r="K653" s="1353"/>
      <c r="L653" s="1353"/>
      <c r="M653" s="1353"/>
      <c r="N653" s="1353"/>
      <c r="O653" s="1353"/>
      <c r="P653" s="1353"/>
      <c r="Q653" s="1353"/>
      <c r="R653" s="1353"/>
      <c r="T653" s="18"/>
      <c r="U653" t="s">
        <v>980</v>
      </c>
      <c r="Z653" s="1353" t="s">
        <v>1519</v>
      </c>
      <c r="AA653" s="1353"/>
      <c r="AB653" s="1353"/>
      <c r="AC653" s="1353"/>
      <c r="AD653" s="1353"/>
      <c r="AE653" s="1353"/>
      <c r="AF653" s="1353"/>
      <c r="AG653" s="1353"/>
      <c r="AH653" s="1353"/>
      <c r="AI653" s="1353"/>
      <c r="AJ653" s="1353"/>
      <c r="AK653" s="1353"/>
      <c r="AZ653" s="2"/>
      <c r="BA653" s="2"/>
      <c r="BB653" s="2"/>
      <c r="BC653" s="2"/>
      <c r="BD653" s="2"/>
      <c r="BE653" s="2"/>
      <c r="BF653" s="2"/>
      <c r="BG653" s="2"/>
      <c r="BH653" s="2"/>
      <c r="BI653" s="2"/>
      <c r="BJ653" s="2"/>
      <c r="BK653" s="2"/>
      <c r="BL653" s="2"/>
      <c r="BM653" s="2"/>
      <c r="BN653" s="1344">
        <f t="shared" si="30"/>
        <v>0</v>
      </c>
      <c r="BO653" s="1345"/>
      <c r="BP653" s="1345"/>
      <c r="BQ653" s="1345"/>
      <c r="BR653" s="1346"/>
      <c r="BS653" s="1347">
        <f t="shared" si="31"/>
        <v>0</v>
      </c>
      <c r="BT653" s="1347"/>
      <c r="BU653" s="1347"/>
      <c r="BV653" s="1347"/>
      <c r="BW653" s="1347"/>
      <c r="BX653" s="1347">
        <f t="shared" si="32"/>
        <v>0</v>
      </c>
      <c r="BY653" s="1347"/>
      <c r="BZ653" s="1347"/>
      <c r="CA653" s="1347"/>
      <c r="CB653" s="1347"/>
      <c r="CC653" s="1347">
        <f t="shared" si="33"/>
        <v>0</v>
      </c>
      <c r="CD653" s="1347"/>
      <c r="CE653" s="1347"/>
      <c r="CF653" s="1347"/>
      <c r="CG653" s="1347"/>
      <c r="CH653" s="1347">
        <f t="shared" si="34"/>
        <v>0</v>
      </c>
      <c r="CI653" s="1347"/>
      <c r="CJ653" s="1347"/>
      <c r="CK653" s="1347"/>
      <c r="CL653" s="1347"/>
      <c r="CM653" s="1347">
        <f t="shared" si="35"/>
        <v>0</v>
      </c>
      <c r="CN653" s="1347"/>
      <c r="CO653" s="1347"/>
      <c r="CP653" s="1347"/>
      <c r="CQ653" s="1347"/>
      <c r="CR653" s="1141"/>
      <c r="CS653" s="1344">
        <f t="shared" si="36"/>
        <v>0</v>
      </c>
      <c r="CT653" s="1345"/>
      <c r="CU653" s="1345"/>
      <c r="CV653" s="1345"/>
      <c r="CW653" s="1346"/>
      <c r="CX653" s="1344">
        <f t="shared" si="37"/>
        <v>0</v>
      </c>
      <c r="CY653" s="1345"/>
      <c r="CZ653" s="1345"/>
      <c r="DA653" s="1345"/>
      <c r="DB653" s="1346"/>
      <c r="DC653" s="1344">
        <f t="shared" si="38"/>
        <v>0</v>
      </c>
      <c r="DD653" s="1345"/>
      <c r="DE653" s="1345"/>
      <c r="DF653" s="1345"/>
      <c r="DG653" s="1346"/>
      <c r="DH653" s="1344">
        <f t="shared" si="39"/>
        <v>0</v>
      </c>
      <c r="DI653" s="1345"/>
      <c r="DJ653" s="1345"/>
      <c r="DK653" s="1345"/>
      <c r="DL653" s="1346"/>
      <c r="DM653" s="1344">
        <f t="shared" si="40"/>
        <v>0</v>
      </c>
      <c r="DN653" s="1345"/>
      <c r="DO653" s="1345"/>
      <c r="DP653" s="1345"/>
      <c r="DQ653" s="1346"/>
      <c r="DR653" s="1344">
        <f t="shared" si="41"/>
        <v>0</v>
      </c>
      <c r="DS653" s="1345"/>
      <c r="DT653" s="1345"/>
      <c r="DU653" s="1345"/>
      <c r="DV653" s="1346"/>
      <c r="DX653" s="1338" t="e">
        <f t="shared" si="29"/>
        <v>#VALUE!</v>
      </c>
      <c r="DY653" s="1338"/>
      <c r="DZ653" s="1338"/>
      <c r="EA653" s="1338"/>
      <c r="EB653" s="1338"/>
      <c r="EC653" s="1338" t="e">
        <f t="shared" si="24"/>
        <v>#VALUE!</v>
      </c>
      <c r="ED653" s="1338"/>
      <c r="EE653" s="1338"/>
      <c r="EF653" s="1338"/>
      <c r="EG653" s="1338"/>
      <c r="EH653" s="1338" t="e">
        <f t="shared" si="25"/>
        <v>#VALUE!</v>
      </c>
      <c r="EI653" s="1338"/>
      <c r="EJ653" s="1338"/>
      <c r="EK653" s="1338"/>
      <c r="EL653" s="1338"/>
      <c r="EM653" s="1338" t="e">
        <f t="shared" si="26"/>
        <v>#VALUE!</v>
      </c>
      <c r="EN653" s="1338"/>
      <c r="EO653" s="1338"/>
      <c r="EP653" s="1338"/>
      <c r="EQ653" s="1338"/>
      <c r="ER653" s="1338" t="e">
        <f t="shared" si="27"/>
        <v>#VALUE!</v>
      </c>
      <c r="ES653" s="1338"/>
      <c r="ET653" s="1338"/>
      <c r="EU653" s="1338"/>
      <c r="EV653" s="1338"/>
      <c r="EW653" s="1338" t="e">
        <f t="shared" si="28"/>
        <v>#VALUE!</v>
      </c>
      <c r="EX653" s="1338"/>
      <c r="EY653" s="1338"/>
      <c r="EZ653" s="1338"/>
      <c r="FA653" s="1338"/>
    </row>
    <row r="654" spans="1:157" ht="13" customHeight="1">
      <c r="A654" s="18"/>
      <c r="B654" t="s">
        <v>1474</v>
      </c>
      <c r="G654" s="1353" t="s">
        <v>1520</v>
      </c>
      <c r="H654" s="1353"/>
      <c r="I654" s="1353"/>
      <c r="J654" s="1353"/>
      <c r="K654" s="1353"/>
      <c r="L654" s="1353"/>
      <c r="M654" s="1353"/>
      <c r="N654" s="1353"/>
      <c r="O654" s="1353"/>
      <c r="P654" s="1353"/>
      <c r="Q654" s="1353"/>
      <c r="R654" s="1353"/>
      <c r="T654" s="18"/>
      <c r="U654" t="s">
        <v>1474</v>
      </c>
      <c r="Z654" s="1353" t="s">
        <v>1520</v>
      </c>
      <c r="AA654" s="1353"/>
      <c r="AB654" s="1353"/>
      <c r="AC654" s="1353"/>
      <c r="AD654" s="1353"/>
      <c r="AE654" s="1353"/>
      <c r="AF654" s="1353"/>
      <c r="AG654" s="1353"/>
      <c r="AH654" s="1353"/>
      <c r="AI654" s="1353"/>
      <c r="AJ654" s="1353"/>
      <c r="AK654" s="1353"/>
      <c r="AZ654" s="2"/>
      <c r="BA654" s="2"/>
      <c r="BB654" s="2"/>
      <c r="BC654" s="2"/>
      <c r="BD654" s="2"/>
      <c r="BE654" s="2"/>
      <c r="BF654" s="2"/>
      <c r="BG654" s="2"/>
      <c r="BH654" s="2"/>
      <c r="BI654" s="2"/>
      <c r="BJ654" s="2"/>
      <c r="BK654" s="2"/>
      <c r="BL654" s="2"/>
      <c r="BM654" s="2"/>
      <c r="BN654" s="1344">
        <f t="shared" si="30"/>
        <v>0</v>
      </c>
      <c r="BO654" s="1345"/>
      <c r="BP654" s="1345"/>
      <c r="BQ654" s="1345"/>
      <c r="BR654" s="1346"/>
      <c r="BS654" s="1347">
        <f t="shared" si="31"/>
        <v>0</v>
      </c>
      <c r="BT654" s="1347"/>
      <c r="BU654" s="1347"/>
      <c r="BV654" s="1347"/>
      <c r="BW654" s="1347"/>
      <c r="BX654" s="1347">
        <f t="shared" si="32"/>
        <v>0</v>
      </c>
      <c r="BY654" s="1347"/>
      <c r="BZ654" s="1347"/>
      <c r="CA654" s="1347"/>
      <c r="CB654" s="1347"/>
      <c r="CC654" s="1347">
        <f t="shared" si="33"/>
        <v>0</v>
      </c>
      <c r="CD654" s="1347"/>
      <c r="CE654" s="1347"/>
      <c r="CF654" s="1347"/>
      <c r="CG654" s="1347"/>
      <c r="CH654" s="1347">
        <f t="shared" si="34"/>
        <v>0</v>
      </c>
      <c r="CI654" s="1347"/>
      <c r="CJ654" s="1347"/>
      <c r="CK654" s="1347"/>
      <c r="CL654" s="1347"/>
      <c r="CM654" s="1347">
        <f t="shared" si="35"/>
        <v>0</v>
      </c>
      <c r="CN654" s="1347"/>
      <c r="CO654" s="1347"/>
      <c r="CP654" s="1347"/>
      <c r="CQ654" s="1347"/>
      <c r="CR654" s="1141"/>
      <c r="CS654" s="1344">
        <f t="shared" si="36"/>
        <v>0</v>
      </c>
      <c r="CT654" s="1345"/>
      <c r="CU654" s="1345"/>
      <c r="CV654" s="1345"/>
      <c r="CW654" s="1346"/>
      <c r="CX654" s="1344">
        <f t="shared" si="37"/>
        <v>0</v>
      </c>
      <c r="CY654" s="1345"/>
      <c r="CZ654" s="1345"/>
      <c r="DA654" s="1345"/>
      <c r="DB654" s="1346"/>
      <c r="DC654" s="1344">
        <f t="shared" si="38"/>
        <v>0</v>
      </c>
      <c r="DD654" s="1345"/>
      <c r="DE654" s="1345"/>
      <c r="DF654" s="1345"/>
      <c r="DG654" s="1346"/>
      <c r="DH654" s="1344">
        <f t="shared" si="39"/>
        <v>0</v>
      </c>
      <c r="DI654" s="1345"/>
      <c r="DJ654" s="1345"/>
      <c r="DK654" s="1345"/>
      <c r="DL654" s="1346"/>
      <c r="DM654" s="1344">
        <f t="shared" si="40"/>
        <v>0</v>
      </c>
      <c r="DN654" s="1345"/>
      <c r="DO654" s="1345"/>
      <c r="DP654" s="1345"/>
      <c r="DQ654" s="1346"/>
      <c r="DR654" s="1344">
        <f t="shared" si="41"/>
        <v>0</v>
      </c>
      <c r="DS654" s="1345"/>
      <c r="DT654" s="1345"/>
      <c r="DU654" s="1345"/>
      <c r="DV654" s="1346"/>
      <c r="DX654" s="1338" t="e">
        <f t="shared" si="29"/>
        <v>#VALUE!</v>
      </c>
      <c r="DY654" s="1338"/>
      <c r="DZ654" s="1338"/>
      <c r="EA654" s="1338"/>
      <c r="EB654" s="1338"/>
      <c r="EC654" s="1338" t="e">
        <f t="shared" si="24"/>
        <v>#VALUE!</v>
      </c>
      <c r="ED654" s="1338"/>
      <c r="EE654" s="1338"/>
      <c r="EF654" s="1338"/>
      <c r="EG654" s="1338"/>
      <c r="EH654" s="1338" t="e">
        <f t="shared" si="25"/>
        <v>#VALUE!</v>
      </c>
      <c r="EI654" s="1338"/>
      <c r="EJ654" s="1338"/>
      <c r="EK654" s="1338"/>
      <c r="EL654" s="1338"/>
      <c r="EM654" s="1338" t="e">
        <f t="shared" si="26"/>
        <v>#VALUE!</v>
      </c>
      <c r="EN654" s="1338"/>
      <c r="EO654" s="1338"/>
      <c r="EP654" s="1338"/>
      <c r="EQ654" s="1338"/>
      <c r="ER654" s="1338" t="e">
        <f t="shared" si="27"/>
        <v>#VALUE!</v>
      </c>
      <c r="ES654" s="1338"/>
      <c r="ET654" s="1338"/>
      <c r="EU654" s="1338"/>
      <c r="EV654" s="1338"/>
      <c r="EW654" s="1338" t="e">
        <f t="shared" si="28"/>
        <v>#VALUE!</v>
      </c>
      <c r="EX654" s="1338"/>
      <c r="EY654" s="1338"/>
      <c r="EZ654" s="1338"/>
      <c r="FA654" s="1338"/>
    </row>
    <row r="655" spans="1:157" ht="13" customHeight="1">
      <c r="A655" s="18"/>
      <c r="B655" t="s">
        <v>883</v>
      </c>
      <c r="G655" s="1418" t="s">
        <v>1521</v>
      </c>
      <c r="H655" s="1418"/>
      <c r="I655" s="1418"/>
      <c r="J655" s="1418"/>
      <c r="K655" s="1418"/>
      <c r="L655" s="1418"/>
      <c r="O655" s="840" t="s">
        <v>1120</v>
      </c>
      <c r="P655" s="1434"/>
      <c r="Q655" s="1434"/>
      <c r="R655" s="1434"/>
      <c r="T655" s="18"/>
      <c r="U655" t="s">
        <v>883</v>
      </c>
      <c r="Z655" s="1418" t="s">
        <v>1521</v>
      </c>
      <c r="AA655" s="1418"/>
      <c r="AB655" s="1418"/>
      <c r="AC655" s="1418"/>
      <c r="AD655" s="1418"/>
      <c r="AE655" s="1418"/>
      <c r="AH655" s="840" t="s">
        <v>1120</v>
      </c>
      <c r="AI655" s="1434"/>
      <c r="AJ655" s="1434"/>
      <c r="AK655" s="1434"/>
      <c r="AZ655" s="2"/>
      <c r="BA655" s="2"/>
      <c r="BB655" s="2"/>
      <c r="BC655" s="2"/>
      <c r="BD655" s="2"/>
      <c r="BE655" s="2"/>
      <c r="BF655" s="2"/>
      <c r="BG655" s="2"/>
      <c r="BH655" s="2"/>
      <c r="BI655" s="2"/>
      <c r="BJ655" s="2"/>
      <c r="BK655" s="2"/>
      <c r="BL655" s="2"/>
      <c r="BM655" s="2"/>
      <c r="BN655" s="1340">
        <f>SUM(BN645:BR654)</f>
        <v>0</v>
      </c>
      <c r="BO655" s="1341"/>
      <c r="BP655" s="1341"/>
      <c r="BQ655" s="1341"/>
      <c r="BR655" s="1342"/>
      <c r="BS655" s="1340">
        <f>SUM(BS645:BW654)</f>
        <v>0</v>
      </c>
      <c r="BT655" s="1341"/>
      <c r="BU655" s="1341"/>
      <c r="BV655" s="1341"/>
      <c r="BW655" s="1342"/>
      <c r="BX655" s="1340">
        <f>SUM(BX645:CB654)</f>
        <v>0</v>
      </c>
      <c r="BY655" s="1341"/>
      <c r="BZ655" s="1341"/>
      <c r="CA655" s="1341"/>
      <c r="CB655" s="1342"/>
      <c r="CC655" s="1340">
        <f>SUM(CC645:CG654)</f>
        <v>0</v>
      </c>
      <c r="CD655" s="1341"/>
      <c r="CE655" s="1341"/>
      <c r="CF655" s="1341"/>
      <c r="CG655" s="1342"/>
      <c r="CH655" s="1340">
        <f>SUM(CH645:CL654)</f>
        <v>0</v>
      </c>
      <c r="CI655" s="1341"/>
      <c r="CJ655" s="1341"/>
      <c r="CK655" s="1341"/>
      <c r="CL655" s="1342"/>
      <c r="CM655" s="1340">
        <f>SUM(CM645:CQ654)</f>
        <v>0</v>
      </c>
      <c r="CN655" s="1341"/>
      <c r="CO655" s="1341"/>
      <c r="CP655" s="1341"/>
      <c r="CQ655" s="1342"/>
      <c r="CR655" s="1141"/>
      <c r="CS655" s="1339">
        <f>SUM(CS645:CW654)</f>
        <v>0</v>
      </c>
      <c r="CT655" s="1339"/>
      <c r="CU655" s="1339"/>
      <c r="CV655" s="1339"/>
      <c r="CW655" s="1339"/>
      <c r="CX655" s="1339">
        <f>SUM(CX645:DB654)</f>
        <v>0</v>
      </c>
      <c r="CY655" s="1339"/>
      <c r="CZ655" s="1339"/>
      <c r="DA655" s="1339"/>
      <c r="DB655" s="1339"/>
      <c r="DC655" s="1339">
        <f>SUM(DC645:DG654)</f>
        <v>0</v>
      </c>
      <c r="DD655" s="1339"/>
      <c r="DE655" s="1339"/>
      <c r="DF655" s="1339"/>
      <c r="DG655" s="1339"/>
      <c r="DH655" s="1339">
        <f>SUM(DH645:DL654)</f>
        <v>0</v>
      </c>
      <c r="DI655" s="1339"/>
      <c r="DJ655" s="1339"/>
      <c r="DK655" s="1339"/>
      <c r="DL655" s="1339"/>
      <c r="DM655" s="1339">
        <f>SUM(DM645:DQ654)</f>
        <v>0</v>
      </c>
      <c r="DN655" s="1339"/>
      <c r="DO655" s="1339"/>
      <c r="DP655" s="1339"/>
      <c r="DQ655" s="1339"/>
      <c r="DR655" s="1339">
        <f>SUM(DR645:DV654)</f>
        <v>0</v>
      </c>
      <c r="DS655" s="1339"/>
      <c r="DT655" s="1339"/>
      <c r="DU655" s="1339"/>
      <c r="DV655" s="1339"/>
      <c r="DX655" s="1338" t="e">
        <f t="shared" si="29"/>
        <v>#VALUE!</v>
      </c>
      <c r="DY655" s="1338"/>
      <c r="DZ655" s="1338"/>
      <c r="EA655" s="1338"/>
      <c r="EB655" s="1338"/>
      <c r="EC655" s="1338" t="e">
        <f t="shared" si="24"/>
        <v>#VALUE!</v>
      </c>
      <c r="ED655" s="1338"/>
      <c r="EE655" s="1338"/>
      <c r="EF655" s="1338"/>
      <c r="EG655" s="1338"/>
      <c r="EH655" s="1338" t="e">
        <f t="shared" si="25"/>
        <v>#VALUE!</v>
      </c>
      <c r="EI655" s="1338"/>
      <c r="EJ655" s="1338"/>
      <c r="EK655" s="1338"/>
      <c r="EL655" s="1338"/>
      <c r="EM655" s="1338" t="e">
        <f t="shared" si="26"/>
        <v>#VALUE!</v>
      </c>
      <c r="EN655" s="1338"/>
      <c r="EO655" s="1338"/>
      <c r="EP655" s="1338"/>
      <c r="EQ655" s="1338"/>
      <c r="ER655" s="1338" t="e">
        <f t="shared" si="27"/>
        <v>#VALUE!</v>
      </c>
      <c r="ES655" s="1338"/>
      <c r="ET655" s="1338"/>
      <c r="EU655" s="1338"/>
      <c r="EV655" s="1338"/>
      <c r="EW655" s="1338" t="e">
        <f t="shared" si="28"/>
        <v>#VALUE!</v>
      </c>
      <c r="EX655" s="1338"/>
      <c r="EY655" s="1338"/>
      <c r="EZ655" s="1338"/>
      <c r="FA655" s="1338"/>
    </row>
    <row r="656" spans="1:157" ht="13" customHeight="1">
      <c r="A656" s="18"/>
      <c r="B656" t="s">
        <v>1477</v>
      </c>
      <c r="H656" s="1405"/>
      <c r="I656" s="1405"/>
      <c r="J656" s="1405"/>
      <c r="K656" s="1405"/>
      <c r="L656" s="1405"/>
      <c r="M656" s="1405"/>
      <c r="N656" s="1405"/>
      <c r="O656" s="1405"/>
      <c r="P656" s="1405"/>
      <c r="Q656" s="1405"/>
      <c r="R656" s="1405"/>
      <c r="T656" s="18"/>
      <c r="U656" t="s">
        <v>1477</v>
      </c>
      <c r="AA656" s="1405"/>
      <c r="AB656" s="1405"/>
      <c r="AC656" s="1405"/>
      <c r="AD656" s="1405"/>
      <c r="AE656" s="1405"/>
      <c r="AF656" s="1405"/>
      <c r="AG656" s="1405"/>
      <c r="AH656" s="1405"/>
      <c r="AI656" s="1405"/>
      <c r="AJ656" s="1405"/>
      <c r="AK656" s="1405"/>
      <c r="AZ656" s="2"/>
      <c r="BA656" s="2"/>
      <c r="BB656" s="2"/>
      <c r="BC656" s="2"/>
      <c r="BD656" s="2"/>
      <c r="BE656" s="2"/>
      <c r="BF656" s="2"/>
      <c r="BG656" s="2"/>
      <c r="BH656" s="2"/>
      <c r="BI656" s="2"/>
      <c r="BJ656" s="2"/>
      <c r="BK656" s="2"/>
      <c r="BL656" s="2"/>
      <c r="BM656" s="2"/>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38" t="e">
        <f t="shared" si="29"/>
        <v>#VALUE!</v>
      </c>
      <c r="DY656" s="1338"/>
      <c r="DZ656" s="1338"/>
      <c r="EA656" s="1338"/>
      <c r="EB656" s="1338"/>
      <c r="EC656" s="1338" t="e">
        <f t="shared" si="24"/>
        <v>#VALUE!</v>
      </c>
      <c r="ED656" s="1338"/>
      <c r="EE656" s="1338"/>
      <c r="EF656" s="1338"/>
      <c r="EG656" s="1338"/>
      <c r="EH656" s="1338" t="e">
        <f t="shared" si="25"/>
        <v>#VALUE!</v>
      </c>
      <c r="EI656" s="1338"/>
      <c r="EJ656" s="1338"/>
      <c r="EK656" s="1338"/>
      <c r="EL656" s="1338"/>
      <c r="EM656" s="1338" t="e">
        <f t="shared" si="26"/>
        <v>#VALUE!</v>
      </c>
      <c r="EN656" s="1338"/>
      <c r="EO656" s="1338"/>
      <c r="EP656" s="1338"/>
      <c r="EQ656" s="1338"/>
      <c r="ER656" s="1338" t="e">
        <f t="shared" si="27"/>
        <v>#VALUE!</v>
      </c>
      <c r="ES656" s="1338"/>
      <c r="ET656" s="1338"/>
      <c r="EU656" s="1338"/>
      <c r="EV656" s="1338"/>
      <c r="EW656" s="1338" t="e">
        <f t="shared" si="28"/>
        <v>#VALUE!</v>
      </c>
      <c r="EX656" s="1338"/>
      <c r="EY656" s="1338"/>
      <c r="EZ656" s="1338"/>
      <c r="FA656" s="1338"/>
    </row>
    <row r="657" spans="1:157" ht="13" customHeight="1">
      <c r="A657" s="18"/>
      <c r="B657" t="s">
        <v>1480</v>
      </c>
      <c r="N657" s="1361" t="s">
        <v>837</v>
      </c>
      <c r="O657" s="1361"/>
      <c r="T657" s="18"/>
      <c r="U657" t="s">
        <v>1480</v>
      </c>
      <c r="AG657" s="1361" t="s">
        <v>837</v>
      </c>
      <c r="AH657" s="1361"/>
      <c r="AZ657" s="2"/>
      <c r="BA657" s="2"/>
      <c r="BB657" s="2"/>
      <c r="BC657" s="2"/>
      <c r="BD657" s="2"/>
      <c r="BE657" s="2"/>
      <c r="BF657" s="2"/>
      <c r="BG657" s="2"/>
      <c r="BH657" s="2"/>
      <c r="BI657" s="2"/>
      <c r="BJ657" s="2"/>
      <c r="BK657" s="2"/>
      <c r="BL657" s="2"/>
      <c r="BM657" s="2"/>
      <c r="CR657" s="2"/>
      <c r="CS657" s="703">
        <f>BN655+BS655+BX655+CC655+CH655+CM655</f>
        <v>0</v>
      </c>
      <c r="CT657" s="1109" t="s">
        <v>1522</v>
      </c>
      <c r="CU657" s="2"/>
      <c r="CV657" s="2"/>
      <c r="CW657" s="2"/>
      <c r="CX657" s="2"/>
      <c r="CY657" s="2"/>
      <c r="CZ657" s="2"/>
      <c r="DA657" s="2"/>
      <c r="DB657" s="2"/>
      <c r="DC657" s="2"/>
      <c r="DD657" s="2"/>
      <c r="DE657" s="2"/>
      <c r="DF657" s="2"/>
      <c r="DQ657" s="38" t="s">
        <v>1523</v>
      </c>
      <c r="DR657" s="1338">
        <f>SUM(CS655:DV655)</f>
        <v>0</v>
      </c>
      <c r="DS657" s="1338"/>
      <c r="DT657" s="1338"/>
      <c r="DU657" s="1338"/>
      <c r="DV657" s="1338"/>
      <c r="DX657" s="1338" t="e">
        <f t="shared" si="29"/>
        <v>#VALUE!</v>
      </c>
      <c r="DY657" s="1338"/>
      <c r="DZ657" s="1338"/>
      <c r="EA657" s="1338"/>
      <c r="EB657" s="1338"/>
      <c r="EC657" s="1338" t="e">
        <f t="shared" si="24"/>
        <v>#VALUE!</v>
      </c>
      <c r="ED657" s="1338"/>
      <c r="EE657" s="1338"/>
      <c r="EF657" s="1338"/>
      <c r="EG657" s="1338"/>
      <c r="EH657" s="1338" t="e">
        <f t="shared" si="25"/>
        <v>#VALUE!</v>
      </c>
      <c r="EI657" s="1338"/>
      <c r="EJ657" s="1338"/>
      <c r="EK657" s="1338"/>
      <c r="EL657" s="1338"/>
      <c r="EM657" s="1338" t="e">
        <f t="shared" si="26"/>
        <v>#VALUE!</v>
      </c>
      <c r="EN657" s="1338"/>
      <c r="EO657" s="1338"/>
      <c r="EP657" s="1338"/>
      <c r="EQ657" s="1338"/>
      <c r="ER657" s="1338" t="e">
        <f t="shared" si="27"/>
        <v>#VALUE!</v>
      </c>
      <c r="ES657" s="1338"/>
      <c r="ET657" s="1338"/>
      <c r="EU657" s="1338"/>
      <c r="EV657" s="1338"/>
      <c r="EW657" s="1338" t="e">
        <f t="shared" si="28"/>
        <v>#VALUE!</v>
      </c>
      <c r="EX657" s="1338"/>
      <c r="EY657" s="1338"/>
      <c r="EZ657" s="1338"/>
      <c r="FA657" s="1338"/>
    </row>
    <row r="658" spans="1:157" ht="13" customHeight="1">
      <c r="A658" s="18"/>
      <c r="T658" s="18"/>
      <c r="AZ658" s="2"/>
      <c r="BA658" s="2"/>
      <c r="BB658" s="2"/>
      <c r="BC658" s="2"/>
      <c r="BD658" s="2"/>
      <c r="BE658" s="2"/>
      <c r="BF658" s="2"/>
      <c r="BG658" s="2"/>
      <c r="BH658" s="2"/>
      <c r="BI658" s="2"/>
      <c r="BJ658" s="2"/>
      <c r="BK658" s="2"/>
      <c r="BL658" s="2"/>
      <c r="BM658" s="2"/>
      <c r="CR658" s="2"/>
      <c r="CS658" s="703">
        <f>BR656+BW656+CB656+CG656+CL656+CQ656</f>
        <v>0</v>
      </c>
      <c r="CT658" s="1109" t="s">
        <v>1524</v>
      </c>
      <c r="CU658" s="2"/>
      <c r="CV658" s="2"/>
      <c r="CW658" s="2"/>
      <c r="CX658" s="2"/>
      <c r="CY658" s="2"/>
      <c r="CZ658" s="2"/>
      <c r="DA658" s="2"/>
      <c r="DB658" s="2"/>
      <c r="DC658" s="2"/>
      <c r="DD658" s="2"/>
      <c r="DE658" s="2"/>
      <c r="DF658" s="2"/>
      <c r="DX658" s="1338" t="e">
        <f t="shared" ref="DX658:DX667" si="42">DX620*(BN620/$BN$632)</f>
        <v>#VALUE!</v>
      </c>
      <c r="DY658" s="1338"/>
      <c r="DZ658" s="1338"/>
      <c r="EA658" s="1338"/>
      <c r="EB658" s="1338"/>
      <c r="EC658" s="1338" t="e">
        <f t="shared" ref="EC658:EC667" si="43">EC620*(BS620/$BS$632)</f>
        <v>#VALUE!</v>
      </c>
      <c r="ED658" s="1338"/>
      <c r="EE658" s="1338"/>
      <c r="EF658" s="1338"/>
      <c r="EG658" s="1338"/>
      <c r="EH658" s="1338" t="e">
        <f t="shared" ref="EH658:EH667" si="44">EH620*(BX620/$BX$632)</f>
        <v>#VALUE!</v>
      </c>
      <c r="EI658" s="1338"/>
      <c r="EJ658" s="1338"/>
      <c r="EK658" s="1338"/>
      <c r="EL658" s="1338"/>
      <c r="EM658" s="1338" t="e">
        <f t="shared" ref="EM658:EM667" si="45">EM620*(CC620/$CC$632)</f>
        <v>#VALUE!</v>
      </c>
      <c r="EN658" s="1338"/>
      <c r="EO658" s="1338"/>
      <c r="EP658" s="1338"/>
      <c r="EQ658" s="1338"/>
      <c r="ER658" s="1338" t="e">
        <f t="shared" ref="ER658:ER667" si="46">ER620*(CH620/$CH$632)</f>
        <v>#VALUE!</v>
      </c>
      <c r="ES658" s="1338"/>
      <c r="ET658" s="1338"/>
      <c r="EU658" s="1338"/>
      <c r="EV658" s="1338"/>
      <c r="EW658" s="1338" t="e">
        <f t="shared" ref="EW658:EW667" si="47">EW620*(CM620/$CM$632)</f>
        <v>#VALUE!</v>
      </c>
      <c r="EX658" s="1338"/>
      <c r="EY658" s="1338"/>
      <c r="EZ658" s="1338"/>
      <c r="FA658" s="1338"/>
    </row>
    <row r="659" spans="1:157" ht="13" customHeight="1">
      <c r="A659" s="37" t="s">
        <v>85</v>
      </c>
      <c r="B659" t="s">
        <v>1471</v>
      </c>
      <c r="G659" s="1460" t="str">
        <f>C631</f>
        <v>AHP Funds</v>
      </c>
      <c r="H659" s="1460"/>
      <c r="I659" s="1460"/>
      <c r="J659" s="1460"/>
      <c r="K659" s="1460"/>
      <c r="L659" s="1460"/>
      <c r="M659" s="1460"/>
      <c r="N659" s="1460"/>
      <c r="O659" s="1460"/>
      <c r="P659" s="1460"/>
      <c r="Q659" s="1460"/>
      <c r="R659" s="1460"/>
      <c r="T659" s="37" t="s">
        <v>1463</v>
      </c>
      <c r="U659" t="s">
        <v>1471</v>
      </c>
      <c r="Z659" s="1460">
        <f>C632</f>
        <v>0</v>
      </c>
      <c r="AA659" s="1460"/>
      <c r="AB659" s="1460"/>
      <c r="AC659" s="1460"/>
      <c r="AD659" s="1460"/>
      <c r="AE659" s="1460"/>
      <c r="AF659" s="1460"/>
      <c r="AG659" s="1460"/>
      <c r="AH659" s="1460"/>
      <c r="AI659" s="1460"/>
      <c r="AJ659" s="1460"/>
      <c r="AK659" s="1460"/>
      <c r="AZ659" s="2"/>
      <c r="BA659" s="2"/>
      <c r="BB659" s="2"/>
      <c r="BC659" s="2"/>
      <c r="BD659" s="2"/>
      <c r="BE659" s="2"/>
      <c r="BF659" s="2"/>
      <c r="BG659" s="2"/>
      <c r="BH659" s="2"/>
      <c r="BI659" s="2"/>
      <c r="BJ659" s="2"/>
      <c r="BK659" s="2"/>
      <c r="BL659" s="2"/>
      <c r="BM659" s="2"/>
      <c r="BN659" s="2" t="s">
        <v>1525</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38" t="e">
        <f t="shared" si="42"/>
        <v>#VALUE!</v>
      </c>
      <c r="DY659" s="1338"/>
      <c r="DZ659" s="1338"/>
      <c r="EA659" s="1338"/>
      <c r="EB659" s="1338"/>
      <c r="EC659" s="1338" t="e">
        <f t="shared" si="43"/>
        <v>#VALUE!</v>
      </c>
      <c r="ED659" s="1338"/>
      <c r="EE659" s="1338"/>
      <c r="EF659" s="1338"/>
      <c r="EG659" s="1338"/>
      <c r="EH659" s="1338" t="e">
        <f t="shared" si="44"/>
        <v>#VALUE!</v>
      </c>
      <c r="EI659" s="1338"/>
      <c r="EJ659" s="1338"/>
      <c r="EK659" s="1338"/>
      <c r="EL659" s="1338"/>
      <c r="EM659" s="1338" t="e">
        <f t="shared" si="45"/>
        <v>#VALUE!</v>
      </c>
      <c r="EN659" s="1338"/>
      <c r="EO659" s="1338"/>
      <c r="EP659" s="1338"/>
      <c r="EQ659" s="1338"/>
      <c r="ER659" s="1338" t="e">
        <f t="shared" si="46"/>
        <v>#VALUE!</v>
      </c>
      <c r="ES659" s="1338"/>
      <c r="ET659" s="1338"/>
      <c r="EU659" s="1338"/>
      <c r="EV659" s="1338"/>
      <c r="EW659" s="1338" t="e">
        <f t="shared" si="47"/>
        <v>#VALUE!</v>
      </c>
      <c r="EX659" s="1338"/>
      <c r="EY659" s="1338"/>
      <c r="EZ659" s="1338"/>
      <c r="FA659" s="1338"/>
    </row>
    <row r="660" spans="1:157" ht="13" customHeight="1">
      <c r="A660" s="18"/>
      <c r="B660" t="s">
        <v>1111</v>
      </c>
      <c r="G660" s="1405"/>
      <c r="H660" s="1405"/>
      <c r="I660" s="1405"/>
      <c r="J660" s="1405"/>
      <c r="K660" s="1405"/>
      <c r="L660" s="1405"/>
      <c r="M660" s="1405"/>
      <c r="N660" s="1405"/>
      <c r="O660" s="1405"/>
      <c r="P660" s="1405"/>
      <c r="Q660" s="1405"/>
      <c r="R660" s="1405"/>
      <c r="T660" s="18"/>
      <c r="U660" t="s">
        <v>1111</v>
      </c>
      <c r="Z660" s="1405"/>
      <c r="AA660" s="1405"/>
      <c r="AB660" s="1405"/>
      <c r="AC660" s="1405"/>
      <c r="AD660" s="1405"/>
      <c r="AE660" s="1405"/>
      <c r="AF660" s="1405"/>
      <c r="AG660" s="1405"/>
      <c r="AH660" s="1405"/>
      <c r="AI660" s="1405"/>
      <c r="AJ660" s="1405"/>
      <c r="AK660" s="1405"/>
      <c r="AZ660" s="2"/>
      <c r="BA660" s="2"/>
      <c r="BB660" s="2"/>
      <c r="BC660" s="2"/>
      <c r="BD660" s="2"/>
      <c r="BE660" s="2"/>
      <c r="BF660" s="2"/>
      <c r="BG660" s="2"/>
      <c r="BH660" s="2"/>
      <c r="BI660" s="2"/>
      <c r="BJ660" s="2"/>
      <c r="BK660" s="2"/>
      <c r="BL660" s="2"/>
      <c r="BM660" s="2"/>
      <c r="BN660" s="1340">
        <f>BN632+BN641+BN655</f>
        <v>0</v>
      </c>
      <c r="BO660" s="1341"/>
      <c r="BP660" s="1341"/>
      <c r="BQ660" s="1341"/>
      <c r="BR660" s="1342"/>
      <c r="BS660" s="1340">
        <f>BS632+BS641+BS655</f>
        <v>30</v>
      </c>
      <c r="BT660" s="1341"/>
      <c r="BU660" s="1341"/>
      <c r="BV660" s="1341"/>
      <c r="BW660" s="1342"/>
      <c r="BX660" s="1340">
        <f>BX632+BX641+BX655</f>
        <v>18</v>
      </c>
      <c r="BY660" s="1341"/>
      <c r="BZ660" s="1341"/>
      <c r="CA660" s="1341"/>
      <c r="CB660" s="1342"/>
      <c r="CC660" s="1340">
        <f>CC632+CC641+CC655</f>
        <v>17</v>
      </c>
      <c r="CD660" s="1341"/>
      <c r="CE660" s="1341"/>
      <c r="CF660" s="1341"/>
      <c r="CG660" s="1342"/>
      <c r="CH660" s="1340">
        <f>CH632+CH641+CH655</f>
        <v>0</v>
      </c>
      <c r="CI660" s="1341"/>
      <c r="CJ660" s="1341"/>
      <c r="CK660" s="1341"/>
      <c r="CL660" s="1342"/>
      <c r="CM660" s="1340">
        <f>CM655+CM641+CM632</f>
        <v>0</v>
      </c>
      <c r="CN660" s="1341"/>
      <c r="CO660" s="1341"/>
      <c r="CP660" s="1341"/>
      <c r="CQ660" s="1342"/>
      <c r="CR660" s="2"/>
      <c r="CS660" s="703">
        <f>CS634+CS658</f>
        <v>114</v>
      </c>
      <c r="CT660" s="1109" t="s">
        <v>1526</v>
      </c>
      <c r="CU660" s="2"/>
      <c r="CV660" s="2"/>
      <c r="CW660" s="2"/>
      <c r="CX660" s="2"/>
      <c r="CY660" s="2"/>
      <c r="CZ660" s="2"/>
      <c r="DA660" s="2"/>
      <c r="DB660" s="2"/>
      <c r="DC660" s="2"/>
      <c r="DD660" s="2"/>
      <c r="DE660" s="2"/>
      <c r="DF660" s="2"/>
      <c r="DX660" s="1338" t="e">
        <f t="shared" si="42"/>
        <v>#VALUE!</v>
      </c>
      <c r="DY660" s="1338"/>
      <c r="DZ660" s="1338"/>
      <c r="EA660" s="1338"/>
      <c r="EB660" s="1338"/>
      <c r="EC660" s="1338" t="e">
        <f t="shared" si="43"/>
        <v>#VALUE!</v>
      </c>
      <c r="ED660" s="1338"/>
      <c r="EE660" s="1338"/>
      <c r="EF660" s="1338"/>
      <c r="EG660" s="1338"/>
      <c r="EH660" s="1338" t="e">
        <f t="shared" si="44"/>
        <v>#VALUE!</v>
      </c>
      <c r="EI660" s="1338"/>
      <c r="EJ660" s="1338"/>
      <c r="EK660" s="1338"/>
      <c r="EL660" s="1338"/>
      <c r="EM660" s="1338" t="e">
        <f t="shared" si="45"/>
        <v>#VALUE!</v>
      </c>
      <c r="EN660" s="1338"/>
      <c r="EO660" s="1338"/>
      <c r="EP660" s="1338"/>
      <c r="EQ660" s="1338"/>
      <c r="ER660" s="1338" t="e">
        <f t="shared" si="46"/>
        <v>#VALUE!</v>
      </c>
      <c r="ES660" s="1338"/>
      <c r="ET660" s="1338"/>
      <c r="EU660" s="1338"/>
      <c r="EV660" s="1338"/>
      <c r="EW660" s="1338" t="e">
        <f t="shared" si="47"/>
        <v>#VALUE!</v>
      </c>
      <c r="EX660" s="1338"/>
      <c r="EY660" s="1338"/>
      <c r="EZ660" s="1338"/>
      <c r="FA660" s="1338"/>
    </row>
    <row r="661" spans="1:157" ht="13" customHeight="1">
      <c r="A661" s="18"/>
      <c r="B661" t="s">
        <v>980</v>
      </c>
      <c r="G661" s="1405"/>
      <c r="H661" s="1405"/>
      <c r="I661" s="1405"/>
      <c r="J661" s="1405"/>
      <c r="K661" s="1405"/>
      <c r="L661" s="1405"/>
      <c r="M661" s="1405"/>
      <c r="N661" s="1405"/>
      <c r="O661" s="1405"/>
      <c r="P661" s="1405"/>
      <c r="Q661" s="1405"/>
      <c r="R661" s="1405"/>
      <c r="T661" s="18"/>
      <c r="U661" t="s">
        <v>980</v>
      </c>
      <c r="Z661" s="1353"/>
      <c r="AA661" s="1353"/>
      <c r="AB661" s="1353"/>
      <c r="AC661" s="1353"/>
      <c r="AD661" s="1353"/>
      <c r="AE661" s="1353"/>
      <c r="AF661" s="1353"/>
      <c r="AG661" s="1353"/>
      <c r="AH661" s="1353"/>
      <c r="AI661" s="1353"/>
      <c r="AJ661" s="1353"/>
      <c r="AK661" s="1353"/>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38" t="e">
        <f t="shared" si="42"/>
        <v>#VALUE!</v>
      </c>
      <c r="DY661" s="1338"/>
      <c r="DZ661" s="1338"/>
      <c r="EA661" s="1338"/>
      <c r="EB661" s="1338"/>
      <c r="EC661" s="1338" t="e">
        <f t="shared" si="43"/>
        <v>#VALUE!</v>
      </c>
      <c r="ED661" s="1338"/>
      <c r="EE661" s="1338"/>
      <c r="EF661" s="1338"/>
      <c r="EG661" s="1338"/>
      <c r="EH661" s="1338" t="e">
        <f t="shared" si="44"/>
        <v>#VALUE!</v>
      </c>
      <c r="EI661" s="1338"/>
      <c r="EJ661" s="1338"/>
      <c r="EK661" s="1338"/>
      <c r="EL661" s="1338"/>
      <c r="EM661" s="1338" t="e">
        <f t="shared" si="45"/>
        <v>#VALUE!</v>
      </c>
      <c r="EN661" s="1338"/>
      <c r="EO661" s="1338"/>
      <c r="EP661" s="1338"/>
      <c r="EQ661" s="1338"/>
      <c r="ER661" s="1338" t="e">
        <f t="shared" si="46"/>
        <v>#VALUE!</v>
      </c>
      <c r="ES661" s="1338"/>
      <c r="ET661" s="1338"/>
      <c r="EU661" s="1338"/>
      <c r="EV661" s="1338"/>
      <c r="EW661" s="1338" t="e">
        <f t="shared" si="47"/>
        <v>#VALUE!</v>
      </c>
      <c r="EX661" s="1338"/>
      <c r="EY661" s="1338"/>
      <c r="EZ661" s="1338"/>
      <c r="FA661" s="1338"/>
    </row>
    <row r="662" spans="1:157" ht="13" customHeight="1">
      <c r="A662" s="18"/>
      <c r="B662" t="s">
        <v>1474</v>
      </c>
      <c r="G662" s="1405"/>
      <c r="H662" s="1405"/>
      <c r="I662" s="1405"/>
      <c r="J662" s="1405"/>
      <c r="K662" s="1405"/>
      <c r="L662" s="1405"/>
      <c r="M662" s="1405"/>
      <c r="N662" s="1405"/>
      <c r="O662" s="1405"/>
      <c r="P662" s="1405"/>
      <c r="Q662" s="1405"/>
      <c r="R662" s="1405"/>
      <c r="T662" s="18"/>
      <c r="U662" t="s">
        <v>1474</v>
      </c>
      <c r="Z662" s="1353"/>
      <c r="AA662" s="1353"/>
      <c r="AB662" s="1353"/>
      <c r="AC662" s="1353"/>
      <c r="AD662" s="1353"/>
      <c r="AE662" s="1353"/>
      <c r="AF662" s="1353"/>
      <c r="AG662" s="1353"/>
      <c r="AH662" s="1353"/>
      <c r="AI662" s="1353"/>
      <c r="AJ662" s="1353"/>
      <c r="AK662" s="1353"/>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38" t="e">
        <f t="shared" si="42"/>
        <v>#VALUE!</v>
      </c>
      <c r="DY662" s="1338"/>
      <c r="DZ662" s="1338"/>
      <c r="EA662" s="1338"/>
      <c r="EB662" s="1338"/>
      <c r="EC662" s="1338" t="e">
        <f t="shared" si="43"/>
        <v>#VALUE!</v>
      </c>
      <c r="ED662" s="1338"/>
      <c r="EE662" s="1338"/>
      <c r="EF662" s="1338"/>
      <c r="EG662" s="1338"/>
      <c r="EH662" s="1338" t="e">
        <f t="shared" si="44"/>
        <v>#VALUE!</v>
      </c>
      <c r="EI662" s="1338"/>
      <c r="EJ662" s="1338"/>
      <c r="EK662" s="1338"/>
      <c r="EL662" s="1338"/>
      <c r="EM662" s="1338" t="e">
        <f t="shared" si="45"/>
        <v>#VALUE!</v>
      </c>
      <c r="EN662" s="1338"/>
      <c r="EO662" s="1338"/>
      <c r="EP662" s="1338"/>
      <c r="EQ662" s="1338"/>
      <c r="ER662" s="1338" t="e">
        <f t="shared" si="46"/>
        <v>#VALUE!</v>
      </c>
      <c r="ES662" s="1338"/>
      <c r="ET662" s="1338"/>
      <c r="EU662" s="1338"/>
      <c r="EV662" s="1338"/>
      <c r="EW662" s="1338" t="e">
        <f t="shared" si="47"/>
        <v>#VALUE!</v>
      </c>
      <c r="EX662" s="1338"/>
      <c r="EY662" s="1338"/>
      <c r="EZ662" s="1338"/>
      <c r="FA662" s="1338"/>
    </row>
    <row r="663" spans="1:157" ht="13" customHeight="1">
      <c r="A663" s="18"/>
      <c r="B663" t="s">
        <v>883</v>
      </c>
      <c r="G663" s="1418"/>
      <c r="H663" s="1418"/>
      <c r="I663" s="1418"/>
      <c r="J663" s="1418"/>
      <c r="K663" s="1418"/>
      <c r="L663" s="1418"/>
      <c r="O663" s="840" t="s">
        <v>1120</v>
      </c>
      <c r="P663" s="1434"/>
      <c r="Q663" s="1434"/>
      <c r="R663" s="1434"/>
      <c r="T663" s="18"/>
      <c r="U663" t="s">
        <v>883</v>
      </c>
      <c r="Z663" s="1418"/>
      <c r="AA663" s="1418"/>
      <c r="AB663" s="1418"/>
      <c r="AC663" s="1418"/>
      <c r="AD663" s="1418"/>
      <c r="AE663" s="1418"/>
      <c r="AH663" s="840" t="s">
        <v>1120</v>
      </c>
      <c r="AI663" s="1434"/>
      <c r="AJ663" s="1434"/>
      <c r="AK663" s="1434"/>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38" t="e">
        <f t="shared" si="42"/>
        <v>#VALUE!</v>
      </c>
      <c r="DY663" s="1338"/>
      <c r="DZ663" s="1338"/>
      <c r="EA663" s="1338"/>
      <c r="EB663" s="1338"/>
      <c r="EC663" s="1338" t="e">
        <f t="shared" si="43"/>
        <v>#VALUE!</v>
      </c>
      <c r="ED663" s="1338"/>
      <c r="EE663" s="1338"/>
      <c r="EF663" s="1338"/>
      <c r="EG663" s="1338"/>
      <c r="EH663" s="1338" t="e">
        <f t="shared" si="44"/>
        <v>#VALUE!</v>
      </c>
      <c r="EI663" s="1338"/>
      <c r="EJ663" s="1338"/>
      <c r="EK663" s="1338"/>
      <c r="EL663" s="1338"/>
      <c r="EM663" s="1338" t="e">
        <f t="shared" si="45"/>
        <v>#VALUE!</v>
      </c>
      <c r="EN663" s="1338"/>
      <c r="EO663" s="1338"/>
      <c r="EP663" s="1338"/>
      <c r="EQ663" s="1338"/>
      <c r="ER663" s="1338" t="e">
        <f t="shared" si="46"/>
        <v>#VALUE!</v>
      </c>
      <c r="ES663" s="1338"/>
      <c r="ET663" s="1338"/>
      <c r="EU663" s="1338"/>
      <c r="EV663" s="1338"/>
      <c r="EW663" s="1338" t="e">
        <f t="shared" si="47"/>
        <v>#VALUE!</v>
      </c>
      <c r="EX663" s="1338"/>
      <c r="EY663" s="1338"/>
      <c r="EZ663" s="1338"/>
      <c r="FA663" s="1338"/>
    </row>
    <row r="664" spans="1:157" ht="13" customHeight="1">
      <c r="A664" s="18"/>
      <c r="B664" t="s">
        <v>1477</v>
      </c>
      <c r="H664" s="1405"/>
      <c r="I664" s="1405"/>
      <c r="J664" s="1405"/>
      <c r="K664" s="1405"/>
      <c r="L664" s="1405"/>
      <c r="M664" s="1405"/>
      <c r="N664" s="1405"/>
      <c r="O664" s="1405"/>
      <c r="P664" s="1405"/>
      <c r="Q664" s="1405"/>
      <c r="R664" s="1405"/>
      <c r="T664" s="18"/>
      <c r="U664" t="s">
        <v>1477</v>
      </c>
      <c r="AA664" s="1405"/>
      <c r="AB664" s="1405"/>
      <c r="AC664" s="1405"/>
      <c r="AD664" s="1405"/>
      <c r="AE664" s="1405"/>
      <c r="AF664" s="1405"/>
      <c r="AG664" s="1405"/>
      <c r="AH664" s="1405"/>
      <c r="AI664" s="1405"/>
      <c r="AJ664" s="1405"/>
      <c r="AK664" s="1405"/>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38" t="e">
        <f t="shared" si="42"/>
        <v>#VALUE!</v>
      </c>
      <c r="DY664" s="1338"/>
      <c r="DZ664" s="1338"/>
      <c r="EA664" s="1338"/>
      <c r="EB664" s="1338"/>
      <c r="EC664" s="1338" t="e">
        <f t="shared" si="43"/>
        <v>#VALUE!</v>
      </c>
      <c r="ED664" s="1338"/>
      <c r="EE664" s="1338"/>
      <c r="EF664" s="1338"/>
      <c r="EG664" s="1338"/>
      <c r="EH664" s="1338" t="e">
        <f t="shared" si="44"/>
        <v>#VALUE!</v>
      </c>
      <c r="EI664" s="1338"/>
      <c r="EJ664" s="1338"/>
      <c r="EK664" s="1338"/>
      <c r="EL664" s="1338"/>
      <c r="EM664" s="1338" t="e">
        <f t="shared" si="45"/>
        <v>#VALUE!</v>
      </c>
      <c r="EN664" s="1338"/>
      <c r="EO664" s="1338"/>
      <c r="EP664" s="1338"/>
      <c r="EQ664" s="1338"/>
      <c r="ER664" s="1338" t="e">
        <f t="shared" si="46"/>
        <v>#VALUE!</v>
      </c>
      <c r="ES664" s="1338"/>
      <c r="ET664" s="1338"/>
      <c r="EU664" s="1338"/>
      <c r="EV664" s="1338"/>
      <c r="EW664" s="1338" t="e">
        <f t="shared" si="47"/>
        <v>#VALUE!</v>
      </c>
      <c r="EX664" s="1338"/>
      <c r="EY664" s="1338"/>
      <c r="EZ664" s="1338"/>
      <c r="FA664" s="1338"/>
    </row>
    <row r="665" spans="1:157" ht="13" customHeight="1">
      <c r="A665" s="18"/>
      <c r="B665" t="s">
        <v>1480</v>
      </c>
      <c r="N665" s="1361" t="s">
        <v>893</v>
      </c>
      <c r="O665" s="1361"/>
      <c r="T665" s="18"/>
      <c r="U665" t="s">
        <v>1480</v>
      </c>
      <c r="AG665" s="1361" t="s">
        <v>893</v>
      </c>
      <c r="AH665" s="1361"/>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38" t="e">
        <f t="shared" si="42"/>
        <v>#VALUE!</v>
      </c>
      <c r="DY665" s="1338"/>
      <c r="DZ665" s="1338"/>
      <c r="EA665" s="1338"/>
      <c r="EB665" s="1338"/>
      <c r="EC665" s="1338" t="e">
        <f t="shared" si="43"/>
        <v>#VALUE!</v>
      </c>
      <c r="ED665" s="1338"/>
      <c r="EE665" s="1338"/>
      <c r="EF665" s="1338"/>
      <c r="EG665" s="1338"/>
      <c r="EH665" s="1338" t="e">
        <f t="shared" si="44"/>
        <v>#VALUE!</v>
      </c>
      <c r="EI665" s="1338"/>
      <c r="EJ665" s="1338"/>
      <c r="EK665" s="1338"/>
      <c r="EL665" s="1338"/>
      <c r="EM665" s="1338" t="e">
        <f t="shared" si="45"/>
        <v>#VALUE!</v>
      </c>
      <c r="EN665" s="1338"/>
      <c r="EO665" s="1338"/>
      <c r="EP665" s="1338"/>
      <c r="EQ665" s="1338"/>
      <c r="ER665" s="1338" t="e">
        <f t="shared" si="46"/>
        <v>#VALUE!</v>
      </c>
      <c r="ES665" s="1338"/>
      <c r="ET665" s="1338"/>
      <c r="EU665" s="1338"/>
      <c r="EV665" s="1338"/>
      <c r="EW665" s="1338" t="e">
        <f t="shared" si="47"/>
        <v>#VALUE!</v>
      </c>
      <c r="EX665" s="1338"/>
      <c r="EY665" s="1338"/>
      <c r="EZ665" s="1338"/>
      <c r="FA665" s="1338"/>
    </row>
    <row r="666" spans="1:157" ht="13" customHeight="1">
      <c r="A666" s="18"/>
      <c r="T666" s="18"/>
      <c r="AZ666" s="2"/>
      <c r="BA666" s="57" t="s">
        <v>1527</v>
      </c>
      <c r="BB666" s="2"/>
      <c r="BC666" s="2"/>
      <c r="BD666" s="2"/>
      <c r="BE666" s="2"/>
      <c r="BF666" s="118"/>
      <c r="BG666" s="119" t="s">
        <v>1528</v>
      </c>
      <c r="BH666" s="118"/>
      <c r="BI666" s="118"/>
      <c r="BJ666" s="2"/>
      <c r="BK666" s="2"/>
      <c r="BL666" s="2"/>
      <c r="BM666" s="2"/>
      <c r="BN666" s="2"/>
      <c r="BO666" s="2"/>
      <c r="BT666" s="119" t="s">
        <v>1529</v>
      </c>
      <c r="BU666" s="118"/>
      <c r="BV666" s="118"/>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38" t="e">
        <f t="shared" si="42"/>
        <v>#VALUE!</v>
      </c>
      <c r="DY666" s="1338"/>
      <c r="DZ666" s="1338"/>
      <c r="EA666" s="1338"/>
      <c r="EB666" s="1338"/>
      <c r="EC666" s="1338" t="e">
        <f t="shared" si="43"/>
        <v>#VALUE!</v>
      </c>
      <c r="ED666" s="1338"/>
      <c r="EE666" s="1338"/>
      <c r="EF666" s="1338"/>
      <c r="EG666" s="1338"/>
      <c r="EH666" s="1338" t="e">
        <f t="shared" si="44"/>
        <v>#VALUE!</v>
      </c>
      <c r="EI666" s="1338"/>
      <c r="EJ666" s="1338"/>
      <c r="EK666" s="1338"/>
      <c r="EL666" s="1338"/>
      <c r="EM666" s="1338" t="e">
        <f t="shared" si="45"/>
        <v>#VALUE!</v>
      </c>
      <c r="EN666" s="1338"/>
      <c r="EO666" s="1338"/>
      <c r="EP666" s="1338"/>
      <c r="EQ666" s="1338"/>
      <c r="ER666" s="1338" t="e">
        <f t="shared" si="46"/>
        <v>#VALUE!</v>
      </c>
      <c r="ES666" s="1338"/>
      <c r="ET666" s="1338"/>
      <c r="EU666" s="1338"/>
      <c r="EV666" s="1338"/>
      <c r="EW666" s="1338" t="e">
        <f t="shared" si="47"/>
        <v>#VALUE!</v>
      </c>
      <c r="EX666" s="1338"/>
      <c r="EY666" s="1338"/>
      <c r="EZ666" s="1338"/>
      <c r="FA666" s="1338"/>
    </row>
    <row r="667" spans="1:157" ht="13" customHeight="1">
      <c r="A667" s="37" t="s">
        <v>1464</v>
      </c>
      <c r="B667" t="s">
        <v>1471</v>
      </c>
      <c r="G667" s="1460">
        <f>C633</f>
        <v>0</v>
      </c>
      <c r="H667" s="1460"/>
      <c r="I667" s="1460"/>
      <c r="J667" s="1460"/>
      <c r="K667" s="1460"/>
      <c r="L667" s="1460"/>
      <c r="M667" s="1460"/>
      <c r="N667" s="1460"/>
      <c r="O667" s="1460"/>
      <c r="P667" s="1460"/>
      <c r="Q667" s="1460"/>
      <c r="R667" s="1460"/>
      <c r="T667" s="37" t="s">
        <v>1465</v>
      </c>
      <c r="U667" t="s">
        <v>1471</v>
      </c>
      <c r="Z667" s="1460">
        <f>C634</f>
        <v>0</v>
      </c>
      <c r="AA667" s="1460"/>
      <c r="AB667" s="1460"/>
      <c r="AC667" s="1460"/>
      <c r="AD667" s="1460"/>
      <c r="AE667" s="1460"/>
      <c r="AF667" s="1460"/>
      <c r="AG667" s="1460"/>
      <c r="AH667" s="1460"/>
      <c r="AI667" s="1460"/>
      <c r="AJ667" s="1460"/>
      <c r="AK667" s="1460"/>
      <c r="AZ667" s="2"/>
      <c r="BA667" s="68">
        <f t="shared" ref="BA667:BA699" si="48">IF($G718=0,"N/A",VLOOKUP($T$189,TC_Rent,(MATCH($B718,bedrooms,FALSE))))</f>
        <v>3672</v>
      </c>
      <c r="BB667" s="2"/>
      <c r="BC667" s="2"/>
      <c r="BD667" s="2"/>
      <c r="BE667" s="2"/>
      <c r="BF667" s="118"/>
      <c r="BG667" s="188" t="s">
        <v>1530</v>
      </c>
      <c r="BH667" s="192" t="s">
        <v>1531</v>
      </c>
      <c r="BI667" s="191" t="s">
        <v>1532</v>
      </c>
      <c r="BJ667" s="2"/>
      <c r="BK667" s="2"/>
      <c r="BL667" s="2"/>
      <c r="BM667" s="2"/>
      <c r="BN667" s="2"/>
      <c r="BO667" s="2"/>
      <c r="BT667" s="188" t="s">
        <v>1530</v>
      </c>
      <c r="BU667" s="192" t="s">
        <v>1531</v>
      </c>
      <c r="BV667" s="191" t="s">
        <v>1532</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38" t="e">
        <f t="shared" si="42"/>
        <v>#VALUE!</v>
      </c>
      <c r="DY667" s="1338"/>
      <c r="DZ667" s="1338"/>
      <c r="EA667" s="1338"/>
      <c r="EB667" s="1338"/>
      <c r="EC667" s="1338" t="e">
        <f t="shared" si="43"/>
        <v>#VALUE!</v>
      </c>
      <c r="ED667" s="1338"/>
      <c r="EE667" s="1338"/>
      <c r="EF667" s="1338"/>
      <c r="EG667" s="1338"/>
      <c r="EH667" s="1338" t="e">
        <f t="shared" si="44"/>
        <v>#VALUE!</v>
      </c>
      <c r="EI667" s="1338"/>
      <c r="EJ667" s="1338"/>
      <c r="EK667" s="1338"/>
      <c r="EL667" s="1338"/>
      <c r="EM667" s="1338" t="e">
        <f t="shared" si="45"/>
        <v>#VALUE!</v>
      </c>
      <c r="EN667" s="1338"/>
      <c r="EO667" s="1338"/>
      <c r="EP667" s="1338"/>
      <c r="EQ667" s="1338"/>
      <c r="ER667" s="1338" t="e">
        <f t="shared" si="46"/>
        <v>#VALUE!</v>
      </c>
      <c r="ES667" s="1338"/>
      <c r="ET667" s="1338"/>
      <c r="EU667" s="1338"/>
      <c r="EV667" s="1338"/>
      <c r="EW667" s="1338" t="e">
        <f t="shared" si="47"/>
        <v>#VALUE!</v>
      </c>
      <c r="EX667" s="1338"/>
      <c r="EY667" s="1338"/>
      <c r="EZ667" s="1338"/>
      <c r="FA667" s="1338"/>
    </row>
    <row r="668" spans="1:157" ht="13" customHeight="1">
      <c r="A668" s="18"/>
      <c r="B668" t="s">
        <v>1111</v>
      </c>
      <c r="G668" s="1405"/>
      <c r="H668" s="1405"/>
      <c r="I668" s="1405"/>
      <c r="J668" s="1405"/>
      <c r="K668" s="1405"/>
      <c r="L668" s="1405"/>
      <c r="M668" s="1405"/>
      <c r="N668" s="1405"/>
      <c r="O668" s="1405"/>
      <c r="P668" s="1405"/>
      <c r="Q668" s="1405"/>
      <c r="R668" s="1405"/>
      <c r="T668" s="18"/>
      <c r="U668" t="s">
        <v>1111</v>
      </c>
      <c r="Z668" s="1405"/>
      <c r="AA668" s="1405"/>
      <c r="AB668" s="1405"/>
      <c r="AC668" s="1405"/>
      <c r="AD668" s="1405"/>
      <c r="AE668" s="1405"/>
      <c r="AF668" s="1405"/>
      <c r="AG668" s="1405"/>
      <c r="AH668" s="1405"/>
      <c r="AI668" s="1405"/>
      <c r="AJ668" s="1405"/>
      <c r="AK668" s="1405"/>
      <c r="AZ668" s="2"/>
      <c r="BA668" s="68">
        <f t="shared" si="48"/>
        <v>3672</v>
      </c>
      <c r="BB668" s="2"/>
      <c r="BC668" s="2"/>
      <c r="BD668" s="2"/>
      <c r="BE668" s="2"/>
      <c r="BF668" s="118"/>
      <c r="BG668" s="189">
        <f t="shared" ref="BG668:BG700" si="49">G718</f>
        <v>4</v>
      </c>
      <c r="BH668" s="193">
        <f t="shared" ref="BH668:BH702" si="50">IF($BG$703=0,0,BG668/$BG$703)</f>
        <v>6.25E-2</v>
      </c>
      <c r="BI668" s="194">
        <f t="shared" ref="BI668:BI691" si="51">IF(BH668=0,"",BH668*AC718)</f>
        <v>4.3749999999999997E-2</v>
      </c>
      <c r="BJ668" s="2"/>
      <c r="BK668" s="2"/>
      <c r="BL668" s="2"/>
      <c r="BM668" s="2"/>
      <c r="BN668" s="2"/>
      <c r="BO668" s="2"/>
      <c r="BT668" s="189">
        <f t="shared" ref="BT668:BT700" si="52">G718</f>
        <v>4</v>
      </c>
      <c r="BU668" s="193">
        <f t="shared" ref="BU668:BU702" si="53">IF($BT$703=0,0,BT668/$BT$703)</f>
        <v>6.25E-2</v>
      </c>
      <c r="BV668" s="194">
        <f t="shared" ref="BV668:BV700" ca="1" si="54">IF(BU668=0,"",BU668*AH718)</f>
        <v>4.3750000000000004E-2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38" t="e">
        <f>DX630*(BN630/$BN$632)</f>
        <v>#VALUE!</v>
      </c>
      <c r="DY668" s="1338"/>
      <c r="DZ668" s="1338"/>
      <c r="EA668" s="1338"/>
      <c r="EB668" s="1338"/>
      <c r="EC668" s="1338" t="e">
        <f>EC630*(BS630/$BS$632)</f>
        <v>#VALUE!</v>
      </c>
      <c r="ED668" s="1338"/>
      <c r="EE668" s="1338"/>
      <c r="EF668" s="1338"/>
      <c r="EG668" s="1338"/>
      <c r="EH668" s="1338" t="e">
        <f>EH630*(BX630/$BX$632)</f>
        <v>#VALUE!</v>
      </c>
      <c r="EI668" s="1338"/>
      <c r="EJ668" s="1338"/>
      <c r="EK668" s="1338"/>
      <c r="EL668" s="1338"/>
      <c r="EM668" s="1338" t="e">
        <f>EM630*(CC630/$CC$632)</f>
        <v>#VALUE!</v>
      </c>
      <c r="EN668" s="1338"/>
      <c r="EO668" s="1338"/>
      <c r="EP668" s="1338"/>
      <c r="EQ668" s="1338"/>
      <c r="ER668" s="1338" t="e">
        <f>ER630*(CH630/$CH$632)</f>
        <v>#VALUE!</v>
      </c>
      <c r="ES668" s="1338"/>
      <c r="ET668" s="1338"/>
      <c r="EU668" s="1338"/>
      <c r="EV668" s="1338"/>
      <c r="EW668" s="1338" t="e">
        <f>EW630*(CM630/$CM$632)</f>
        <v>#VALUE!</v>
      </c>
      <c r="EX668" s="1338"/>
      <c r="EY668" s="1338"/>
      <c r="EZ668" s="1338"/>
      <c r="FA668" s="1338"/>
    </row>
    <row r="669" spans="1:157" ht="13" customHeight="1">
      <c r="A669" s="18"/>
      <c r="B669" t="s">
        <v>980</v>
      </c>
      <c r="G669" s="1405"/>
      <c r="H669" s="1405"/>
      <c r="I669" s="1405"/>
      <c r="J669" s="1405"/>
      <c r="K669" s="1405"/>
      <c r="L669" s="1405"/>
      <c r="M669" s="1405"/>
      <c r="N669" s="1405"/>
      <c r="O669" s="1405"/>
      <c r="P669" s="1405"/>
      <c r="Q669" s="1405"/>
      <c r="R669" s="1405"/>
      <c r="T669" s="18"/>
      <c r="U669" t="s">
        <v>980</v>
      </c>
      <c r="Z669" s="1353"/>
      <c r="AA669" s="1353"/>
      <c r="AB669" s="1353"/>
      <c r="AC669" s="1353"/>
      <c r="AD669" s="1353"/>
      <c r="AE669" s="1353"/>
      <c r="AF669" s="1353"/>
      <c r="AG669" s="1353"/>
      <c r="AH669" s="1353"/>
      <c r="AI669" s="1353"/>
      <c r="AJ669" s="1353"/>
      <c r="AK669" s="1353"/>
      <c r="AZ669" s="2"/>
      <c r="BA669" s="68">
        <f t="shared" si="48"/>
        <v>3672</v>
      </c>
      <c r="BB669" s="2"/>
      <c r="BC669" s="2"/>
      <c r="BD669" s="2"/>
      <c r="BE669" s="2"/>
      <c r="BF669" s="118"/>
      <c r="BG669" s="190">
        <f t="shared" si="49"/>
        <v>15</v>
      </c>
      <c r="BH669" s="193">
        <f t="shared" si="50"/>
        <v>0.234375</v>
      </c>
      <c r="BI669" s="194">
        <f t="shared" si="51"/>
        <v>0.1171875</v>
      </c>
      <c r="BJ669" s="2"/>
      <c r="BK669" s="2"/>
      <c r="BL669" s="2"/>
      <c r="BM669" s="2"/>
      <c r="BN669" s="2"/>
      <c r="BO669" s="2"/>
      <c r="BT669" s="190">
        <f t="shared" si="52"/>
        <v>15</v>
      </c>
      <c r="BU669" s="193">
        <f t="shared" si="53"/>
        <v>0.234375</v>
      </c>
      <c r="BV669" s="194">
        <f t="shared" ca="1" si="54"/>
        <v>0.1171875</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38" t="e">
        <f>DX631*(BN631/$BN$632)</f>
        <v>#VALUE!</v>
      </c>
      <c r="DY669" s="1338"/>
      <c r="DZ669" s="1338"/>
      <c r="EA669" s="1338"/>
      <c r="EB669" s="1338"/>
      <c r="EC669" s="1338" t="e">
        <f>EC631*(BS631/$BS$632)</f>
        <v>#VALUE!</v>
      </c>
      <c r="ED669" s="1338"/>
      <c r="EE669" s="1338"/>
      <c r="EF669" s="1338"/>
      <c r="EG669" s="1338"/>
      <c r="EH669" s="1338" t="e">
        <f>EH631*(BX631/$BX$632)</f>
        <v>#VALUE!</v>
      </c>
      <c r="EI669" s="1338"/>
      <c r="EJ669" s="1338"/>
      <c r="EK669" s="1338"/>
      <c r="EL669" s="1338"/>
      <c r="EM669" s="1338" t="e">
        <f>EM631*(CC631/$CC$632)</f>
        <v>#VALUE!</v>
      </c>
      <c r="EN669" s="1338"/>
      <c r="EO669" s="1338"/>
      <c r="EP669" s="1338"/>
      <c r="EQ669" s="1338"/>
      <c r="ER669" s="1338" t="e">
        <f>ER631*(CH631/$CH$632)</f>
        <v>#VALUE!</v>
      </c>
      <c r="ES669" s="1338"/>
      <c r="ET669" s="1338"/>
      <c r="EU669" s="1338"/>
      <c r="EV669" s="1338"/>
      <c r="EW669" s="1338" t="e">
        <f>EW631*(CM631/$CM$632)</f>
        <v>#VALUE!</v>
      </c>
      <c r="EX669" s="1338"/>
      <c r="EY669" s="1338"/>
      <c r="EZ669" s="1338"/>
      <c r="FA669" s="1338"/>
    </row>
    <row r="670" spans="1:157" ht="13" customHeight="1">
      <c r="A670" s="18"/>
      <c r="B670" t="s">
        <v>1474</v>
      </c>
      <c r="G670" s="1405"/>
      <c r="H670" s="1405"/>
      <c r="I670" s="1405"/>
      <c r="J670" s="1405"/>
      <c r="K670" s="1405"/>
      <c r="L670" s="1405"/>
      <c r="M670" s="1405"/>
      <c r="N670" s="1405"/>
      <c r="O670" s="1405"/>
      <c r="P670" s="1405"/>
      <c r="Q670" s="1405"/>
      <c r="R670" s="1405"/>
      <c r="T670" s="18"/>
      <c r="U670" t="s">
        <v>1474</v>
      </c>
      <c r="Z670" s="1353"/>
      <c r="AA670" s="1353"/>
      <c r="AB670" s="1353"/>
      <c r="AC670" s="1353"/>
      <c r="AD670" s="1353"/>
      <c r="AE670" s="1353"/>
      <c r="AF670" s="1353"/>
      <c r="AG670" s="1353"/>
      <c r="AH670" s="1353"/>
      <c r="AI670" s="1353"/>
      <c r="AJ670" s="1353"/>
      <c r="AK670" s="1353"/>
      <c r="AZ670" s="2"/>
      <c r="BA670" s="68">
        <f t="shared" si="48"/>
        <v>4406</v>
      </c>
      <c r="BB670" s="2"/>
      <c r="BC670" s="2"/>
      <c r="BD670" s="2"/>
      <c r="BE670" s="2"/>
      <c r="BF670" s="118"/>
      <c r="BG670" s="190">
        <f t="shared" si="49"/>
        <v>11</v>
      </c>
      <c r="BH670" s="193">
        <f t="shared" si="50"/>
        <v>0.171875</v>
      </c>
      <c r="BI670" s="194">
        <f t="shared" si="51"/>
        <v>5.1562499999999997E-2</v>
      </c>
      <c r="BJ670" s="2"/>
      <c r="BK670" s="2"/>
      <c r="BL670" s="2"/>
      <c r="BM670" s="2"/>
      <c r="BN670" s="2"/>
      <c r="BO670" s="2"/>
      <c r="BT670" s="190">
        <f t="shared" si="52"/>
        <v>11</v>
      </c>
      <c r="BU670" s="193">
        <f t="shared" si="53"/>
        <v>0.171875</v>
      </c>
      <c r="BV670" s="194">
        <f t="shared" ca="1" si="54"/>
        <v>1.7187499999999998E-2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38">
        <f>SUMIF(DX635:EB669,"&gt;0")</f>
        <v>0</v>
      </c>
      <c r="DY670" s="1338"/>
      <c r="DZ670" s="1338"/>
      <c r="EA670" s="1338"/>
      <c r="EB670" s="1338"/>
      <c r="EC670" s="1338">
        <f ca="1">SUMIF(EC635:EG669,"&gt;0")</f>
        <v>1306.3600000000001</v>
      </c>
      <c r="ED670" s="1338"/>
      <c r="EE670" s="1338"/>
      <c r="EF670" s="1338"/>
      <c r="EG670" s="1338"/>
      <c r="EH670" s="1338">
        <f ca="1">SUMIF(EH635:EL669,"&gt;0")</f>
        <v>1953.8222222222221</v>
      </c>
      <c r="EI670" s="1338"/>
      <c r="EJ670" s="1338"/>
      <c r="EK670" s="1338"/>
      <c r="EL670" s="1338"/>
      <c r="EM670" s="1338">
        <f ca="1">SUMIF(EM635:EQ669,"&gt;0")</f>
        <v>2220.4625000000001</v>
      </c>
      <c r="EN670" s="1338"/>
      <c r="EO670" s="1338"/>
      <c r="EP670" s="1338"/>
      <c r="EQ670" s="1338"/>
      <c r="ER670" s="1338">
        <f>SUMIF(ER635:EV669,"&gt;0")</f>
        <v>0</v>
      </c>
      <c r="ES670" s="1338"/>
      <c r="ET670" s="1338"/>
      <c r="EU670" s="1338"/>
      <c r="EV670" s="1338"/>
      <c r="EW670" s="1338">
        <f>SUMIF(EW635:FA669,"&gt;0")</f>
        <v>0</v>
      </c>
      <c r="EX670" s="1338"/>
      <c r="EY670" s="1338"/>
      <c r="EZ670" s="1338"/>
      <c r="FA670" s="1338"/>
    </row>
    <row r="671" spans="1:157" ht="13" customHeight="1">
      <c r="A671" s="18"/>
      <c r="B671" t="s">
        <v>883</v>
      </c>
      <c r="G671" s="1418"/>
      <c r="H671" s="1418"/>
      <c r="I671" s="1418"/>
      <c r="J671" s="1418"/>
      <c r="K671" s="1418"/>
      <c r="L671" s="1418"/>
      <c r="O671" s="840" t="s">
        <v>1120</v>
      </c>
      <c r="P671" s="1434"/>
      <c r="Q671" s="1434"/>
      <c r="R671" s="1434"/>
      <c r="T671" s="18"/>
      <c r="U671" t="s">
        <v>883</v>
      </c>
      <c r="Z671" s="1418"/>
      <c r="AA671" s="1418"/>
      <c r="AB671" s="1418"/>
      <c r="AC671" s="1418"/>
      <c r="AD671" s="1418"/>
      <c r="AE671" s="1418"/>
      <c r="AH671" s="840" t="s">
        <v>1120</v>
      </c>
      <c r="AI671" s="1434"/>
      <c r="AJ671" s="1434"/>
      <c r="AK671" s="1434"/>
      <c r="AZ671" s="2"/>
      <c r="BA671" s="68">
        <f t="shared" si="48"/>
        <v>4406</v>
      </c>
      <c r="BB671" s="2"/>
      <c r="BC671" s="2"/>
      <c r="BD671" s="2"/>
      <c r="BE671" s="2"/>
      <c r="BF671" s="118"/>
      <c r="BG671" s="190">
        <f t="shared" si="49"/>
        <v>4</v>
      </c>
      <c r="BH671" s="193">
        <f t="shared" si="50"/>
        <v>6.25E-2</v>
      </c>
      <c r="BI671" s="194">
        <f t="shared" si="51"/>
        <v>4.3749999999999997E-2</v>
      </c>
      <c r="BJ671" s="2"/>
      <c r="BK671" s="2"/>
      <c r="BL671" s="2"/>
      <c r="BM671" s="2"/>
      <c r="BN671" s="2"/>
      <c r="BO671" s="2"/>
      <c r="BT671" s="190">
        <f t="shared" si="52"/>
        <v>4</v>
      </c>
      <c r="BU671" s="193">
        <f t="shared" si="53"/>
        <v>6.25E-2</v>
      </c>
      <c r="BV671" s="194">
        <f t="shared" ca="1" si="54"/>
        <v>4.3749999999999997E-2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 customHeight="1">
      <c r="A672" s="18"/>
      <c r="B672" t="s">
        <v>1477</v>
      </c>
      <c r="H672" s="1405"/>
      <c r="I672" s="1405"/>
      <c r="J672" s="1405"/>
      <c r="K672" s="1405"/>
      <c r="L672" s="1405"/>
      <c r="M672" s="1405"/>
      <c r="N672" s="1405"/>
      <c r="O672" s="1405"/>
      <c r="P672" s="1405"/>
      <c r="Q672" s="1405"/>
      <c r="R672" s="1405"/>
      <c r="T672" s="18"/>
      <c r="U672" t="s">
        <v>1477</v>
      </c>
      <c r="AA672" s="1405"/>
      <c r="AB672" s="1405"/>
      <c r="AC672" s="1405"/>
      <c r="AD672" s="1405"/>
      <c r="AE672" s="1405"/>
      <c r="AF672" s="1405"/>
      <c r="AG672" s="1405"/>
      <c r="AH672" s="1405"/>
      <c r="AI672" s="1405"/>
      <c r="AJ672" s="1405"/>
      <c r="AK672" s="1405"/>
      <c r="AZ672" s="2"/>
      <c r="BA672" s="68">
        <f t="shared" si="48"/>
        <v>4406</v>
      </c>
      <c r="BB672" s="2"/>
      <c r="BC672" s="2"/>
      <c r="BD672" s="2"/>
      <c r="BE672" s="2"/>
      <c r="BF672" s="118"/>
      <c r="BG672" s="190">
        <f t="shared" si="49"/>
        <v>11</v>
      </c>
      <c r="BH672" s="193">
        <f t="shared" si="50"/>
        <v>0.171875</v>
      </c>
      <c r="BI672" s="194">
        <f t="shared" si="51"/>
        <v>8.59375E-2</v>
      </c>
      <c r="BJ672" s="2"/>
      <c r="BK672" s="2"/>
      <c r="BL672" s="2"/>
      <c r="BM672" s="2"/>
      <c r="BN672" s="2"/>
      <c r="BO672" s="2"/>
      <c r="BT672" s="190">
        <f t="shared" si="52"/>
        <v>11</v>
      </c>
      <c r="BU672" s="193">
        <f t="shared" si="53"/>
        <v>0.171875</v>
      </c>
      <c r="BV672" s="194">
        <f t="shared" ca="1" si="54"/>
        <v>8.59375E-2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 customHeight="1">
      <c r="A673" s="18"/>
      <c r="B673" t="s">
        <v>1480</v>
      </c>
      <c r="N673" s="1361" t="s">
        <v>893</v>
      </c>
      <c r="O673" s="1361"/>
      <c r="T673" s="18"/>
      <c r="U673" t="s">
        <v>1480</v>
      </c>
      <c r="AG673" s="1361" t="s">
        <v>893</v>
      </c>
      <c r="AH673" s="1361"/>
      <c r="AZ673" s="2"/>
      <c r="BA673" s="68">
        <f t="shared" si="48"/>
        <v>5090</v>
      </c>
      <c r="BB673" s="2"/>
      <c r="BC673" s="2"/>
      <c r="BD673" s="2"/>
      <c r="BE673" s="2"/>
      <c r="BF673" s="118"/>
      <c r="BG673" s="190">
        <f t="shared" si="49"/>
        <v>3</v>
      </c>
      <c r="BH673" s="193">
        <f t="shared" si="50"/>
        <v>4.6875E-2</v>
      </c>
      <c r="BI673" s="194">
        <f t="shared" si="51"/>
        <v>1.4062499999999999E-2</v>
      </c>
      <c r="BJ673" s="2"/>
      <c r="BK673" s="2"/>
      <c r="BL673" s="2"/>
      <c r="BM673" s="2"/>
      <c r="BN673" s="2"/>
      <c r="BO673" s="2"/>
      <c r="BT673" s="190">
        <f t="shared" si="52"/>
        <v>3</v>
      </c>
      <c r="BU673" s="193">
        <f t="shared" si="53"/>
        <v>4.6875E-2</v>
      </c>
      <c r="BV673" s="194">
        <f t="shared" si="54"/>
        <v>3.0108091239219249E-3</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 customHeight="1">
      <c r="A674" s="18"/>
      <c r="T674" s="18"/>
      <c r="AZ674" s="2"/>
      <c r="BA674" s="68">
        <f t="shared" si="48"/>
        <v>5090</v>
      </c>
      <c r="BB674" s="2"/>
      <c r="BC674" s="2"/>
      <c r="BD674" s="2"/>
      <c r="BE674" s="2"/>
      <c r="BF674" s="118"/>
      <c r="BG674" s="190">
        <f t="shared" si="49"/>
        <v>4</v>
      </c>
      <c r="BH674" s="193">
        <f t="shared" si="50"/>
        <v>6.25E-2</v>
      </c>
      <c r="BI674" s="194">
        <f t="shared" si="51"/>
        <v>4.3749999999999997E-2</v>
      </c>
      <c r="BJ674" s="2"/>
      <c r="BK674" s="2"/>
      <c r="BL674" s="2"/>
      <c r="BM674" s="2"/>
      <c r="BN674" s="2"/>
      <c r="BO674" s="2"/>
      <c r="BT674" s="190">
        <f t="shared" si="52"/>
        <v>4</v>
      </c>
      <c r="BU674" s="193">
        <f t="shared" si="53"/>
        <v>6.25E-2</v>
      </c>
      <c r="BV674" s="194">
        <f t="shared" ca="1" si="54"/>
        <v>4.3749999999999997E-2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 customHeight="1">
      <c r="A675" s="37" t="s">
        <v>1466</v>
      </c>
      <c r="B675" t="s">
        <v>1471</v>
      </c>
      <c r="G675" s="1460">
        <f>C635</f>
        <v>0</v>
      </c>
      <c r="H675" s="1460"/>
      <c r="I675" s="1460"/>
      <c r="J675" s="1460"/>
      <c r="K675" s="1460"/>
      <c r="L675" s="1460"/>
      <c r="M675" s="1460"/>
      <c r="N675" s="1460"/>
      <c r="O675" s="1460"/>
      <c r="P675" s="1460"/>
      <c r="Q675" s="1460"/>
      <c r="R675" s="1460"/>
      <c r="T675" s="37" t="s">
        <v>1467</v>
      </c>
      <c r="U675" t="s">
        <v>1471</v>
      </c>
      <c r="Z675" s="1460">
        <f>C636</f>
        <v>0</v>
      </c>
      <c r="AA675" s="1460"/>
      <c r="AB675" s="1460"/>
      <c r="AC675" s="1460"/>
      <c r="AD675" s="1460"/>
      <c r="AE675" s="1460"/>
      <c r="AF675" s="1460"/>
      <c r="AG675" s="1460"/>
      <c r="AH675" s="1460"/>
      <c r="AI675" s="1460"/>
      <c r="AJ675" s="1460"/>
      <c r="AK675" s="1460"/>
      <c r="AZ675" s="2"/>
      <c r="BA675" s="68">
        <f t="shared" si="48"/>
        <v>5090</v>
      </c>
      <c r="BB675" s="2"/>
      <c r="BC675" s="2"/>
      <c r="BD675" s="2"/>
      <c r="BE675" s="2"/>
      <c r="BF675" s="118"/>
      <c r="BG675" s="190">
        <f t="shared" si="49"/>
        <v>9</v>
      </c>
      <c r="BH675" s="193">
        <f t="shared" si="50"/>
        <v>0.140625</v>
      </c>
      <c r="BI675" s="194">
        <f t="shared" si="51"/>
        <v>7.03125E-2</v>
      </c>
      <c r="BJ675" s="2"/>
      <c r="BK675" s="2"/>
      <c r="BL675" s="2"/>
      <c r="BM675" s="2"/>
      <c r="BN675" s="2"/>
      <c r="BO675" s="2"/>
      <c r="BT675" s="190">
        <f t="shared" si="52"/>
        <v>9</v>
      </c>
      <c r="BU675" s="193">
        <f t="shared" si="53"/>
        <v>0.140625</v>
      </c>
      <c r="BV675" s="194">
        <f t="shared" ca="1" si="54"/>
        <v>7.03125E-2</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 customHeight="1">
      <c r="A676" s="18"/>
      <c r="B676" t="s">
        <v>1111</v>
      </c>
      <c r="G676" s="1405"/>
      <c r="H676" s="1405"/>
      <c r="I676" s="1405"/>
      <c r="J676" s="1405"/>
      <c r="K676" s="1405"/>
      <c r="L676" s="1405"/>
      <c r="M676" s="1405"/>
      <c r="N676" s="1405"/>
      <c r="O676" s="1405"/>
      <c r="P676" s="1405"/>
      <c r="Q676" s="1405"/>
      <c r="R676" s="1405"/>
      <c r="T676" s="18"/>
      <c r="U676" t="s">
        <v>1111</v>
      </c>
      <c r="Z676" s="1405"/>
      <c r="AA676" s="1405"/>
      <c r="AB676" s="1405"/>
      <c r="AC676" s="1405"/>
      <c r="AD676" s="1405"/>
      <c r="AE676" s="1405"/>
      <c r="AF676" s="1405"/>
      <c r="AG676" s="1405"/>
      <c r="AH676" s="1405"/>
      <c r="AI676" s="1405"/>
      <c r="AJ676" s="1405"/>
      <c r="AK676" s="1405"/>
      <c r="AZ676" s="2"/>
      <c r="BA676" s="68" t="str">
        <f t="shared" si="48"/>
        <v>N/A</v>
      </c>
      <c r="BB676" s="2"/>
      <c r="BC676" s="2"/>
      <c r="BD676" s="2"/>
      <c r="BE676" s="2"/>
      <c r="BF676" s="118"/>
      <c r="BG676" s="190">
        <f t="shared" si="49"/>
        <v>3</v>
      </c>
      <c r="BH676" s="193">
        <f t="shared" si="50"/>
        <v>4.6875E-2</v>
      </c>
      <c r="BI676" s="194">
        <f t="shared" si="51"/>
        <v>1.4062499999999999E-2</v>
      </c>
      <c r="BJ676" s="2"/>
      <c r="BK676" s="2"/>
      <c r="BL676" s="2"/>
      <c r="BM676" s="2"/>
      <c r="BN676" s="2"/>
      <c r="BO676" s="2"/>
      <c r="BT676" s="190">
        <f t="shared" si="52"/>
        <v>3</v>
      </c>
      <c r="BU676" s="193">
        <f t="shared" si="53"/>
        <v>4.6875E-2</v>
      </c>
      <c r="BV676" s="194">
        <f t="shared" si="54"/>
        <v>3.1016699410609042E-3</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 customHeight="1">
      <c r="A677" s="18"/>
      <c r="B677" t="s">
        <v>980</v>
      </c>
      <c r="G677" s="1405"/>
      <c r="H677" s="1405"/>
      <c r="I677" s="1405"/>
      <c r="J677" s="1405"/>
      <c r="K677" s="1405"/>
      <c r="L677" s="1405"/>
      <c r="M677" s="1405"/>
      <c r="N677" s="1405"/>
      <c r="O677" s="1405"/>
      <c r="P677" s="1405"/>
      <c r="Q677" s="1405"/>
      <c r="R677" s="1405"/>
      <c r="T677" s="18"/>
      <c r="U677" t="s">
        <v>980</v>
      </c>
      <c r="Z677" s="1353"/>
      <c r="AA677" s="1353"/>
      <c r="AB677" s="1353"/>
      <c r="AC677" s="1353"/>
      <c r="AD677" s="1353"/>
      <c r="AE677" s="1353"/>
      <c r="AF677" s="1353"/>
      <c r="AG677" s="1353"/>
      <c r="AH677" s="1353"/>
      <c r="AI677" s="1353"/>
      <c r="AJ677" s="1353"/>
      <c r="AK677" s="1353"/>
      <c r="AZ677" s="2"/>
      <c r="BA677" s="68" t="str">
        <f t="shared" si="48"/>
        <v>N/A</v>
      </c>
      <c r="BB677" s="2"/>
      <c r="BC677" s="2"/>
      <c r="BD677" s="2"/>
      <c r="BE677" s="2"/>
      <c r="BF677" s="118"/>
      <c r="BG677" s="190">
        <f t="shared" si="49"/>
        <v>0</v>
      </c>
      <c r="BH677" s="193">
        <f t="shared" si="50"/>
        <v>0</v>
      </c>
      <c r="BI677" s="194" t="str">
        <f t="shared" si="51"/>
        <v/>
      </c>
      <c r="BJ677" s="2"/>
      <c r="BK677" s="2"/>
      <c r="BL677" s="2"/>
      <c r="BM677" s="2"/>
      <c r="BN677" s="2"/>
      <c r="BO677" s="2"/>
      <c r="BT677" s="190">
        <f t="shared" si="52"/>
        <v>0</v>
      </c>
      <c r="BU677" s="193">
        <f t="shared" si="53"/>
        <v>0</v>
      </c>
      <c r="BV677" s="194"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 customHeight="1">
      <c r="A678" s="18"/>
      <c r="B678" t="s">
        <v>1474</v>
      </c>
      <c r="G678" s="1405"/>
      <c r="H678" s="1405"/>
      <c r="I678" s="1405"/>
      <c r="J678" s="1405"/>
      <c r="K678" s="1405"/>
      <c r="L678" s="1405"/>
      <c r="M678" s="1405"/>
      <c r="N678" s="1405"/>
      <c r="O678" s="1405"/>
      <c r="P678" s="1405"/>
      <c r="Q678" s="1405"/>
      <c r="R678" s="1405"/>
      <c r="T678" s="18"/>
      <c r="U678" t="s">
        <v>1474</v>
      </c>
      <c r="Z678" s="1353"/>
      <c r="AA678" s="1353"/>
      <c r="AB678" s="1353"/>
      <c r="AC678" s="1353"/>
      <c r="AD678" s="1353"/>
      <c r="AE678" s="1353"/>
      <c r="AF678" s="1353"/>
      <c r="AG678" s="1353"/>
      <c r="AH678" s="1353"/>
      <c r="AI678" s="1353"/>
      <c r="AJ678" s="1353"/>
      <c r="AK678" s="1353"/>
      <c r="AZ678" s="2"/>
      <c r="BA678" s="68" t="str">
        <f t="shared" si="48"/>
        <v>N/A</v>
      </c>
      <c r="BB678" s="2"/>
      <c r="BC678" s="2"/>
      <c r="BD678" s="2"/>
      <c r="BE678" s="2"/>
      <c r="BF678" s="118"/>
      <c r="BG678" s="190">
        <f t="shared" si="49"/>
        <v>0</v>
      </c>
      <c r="BH678" s="193">
        <f t="shared" si="50"/>
        <v>0</v>
      </c>
      <c r="BI678" s="194" t="str">
        <f t="shared" si="51"/>
        <v/>
      </c>
      <c r="BJ678" s="2"/>
      <c r="BK678" s="2"/>
      <c r="BL678" s="2"/>
      <c r="BM678" s="2"/>
      <c r="BN678" s="2"/>
      <c r="BO678" s="2"/>
      <c r="BT678" s="190">
        <f t="shared" si="52"/>
        <v>0</v>
      </c>
      <c r="BU678" s="193">
        <f t="shared" si="53"/>
        <v>0</v>
      </c>
      <c r="BV678" s="194"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 customHeight="1">
      <c r="A679" s="18"/>
      <c r="B679" t="s">
        <v>883</v>
      </c>
      <c r="G679" s="1418"/>
      <c r="H679" s="1418"/>
      <c r="I679" s="1418"/>
      <c r="J679" s="1418"/>
      <c r="K679" s="1418"/>
      <c r="L679" s="1418"/>
      <c r="O679" s="840" t="s">
        <v>1120</v>
      </c>
      <c r="P679" s="1434"/>
      <c r="Q679" s="1434"/>
      <c r="R679" s="1434"/>
      <c r="T679" s="18"/>
      <c r="U679" t="s">
        <v>883</v>
      </c>
      <c r="Z679" s="1418"/>
      <c r="AA679" s="1418"/>
      <c r="AB679" s="1418"/>
      <c r="AC679" s="1418"/>
      <c r="AD679" s="1418"/>
      <c r="AE679" s="1418"/>
      <c r="AH679" s="840" t="s">
        <v>1120</v>
      </c>
      <c r="AI679" s="1434"/>
      <c r="AJ679" s="1434"/>
      <c r="AK679" s="1434"/>
      <c r="AZ679" s="2"/>
      <c r="BA679" s="68" t="str">
        <f t="shared" si="48"/>
        <v>N/A</v>
      </c>
      <c r="BB679" s="2"/>
      <c r="BC679" s="2"/>
      <c r="BD679" s="2"/>
      <c r="BE679" s="2"/>
      <c r="BF679" s="118"/>
      <c r="BG679" s="190">
        <f t="shared" si="49"/>
        <v>0</v>
      </c>
      <c r="BH679" s="193">
        <f t="shared" si="50"/>
        <v>0</v>
      </c>
      <c r="BI679" s="194" t="str">
        <f t="shared" si="51"/>
        <v/>
      </c>
      <c r="BJ679" s="2"/>
      <c r="BK679" s="2"/>
      <c r="BL679" s="2"/>
      <c r="BM679" s="2"/>
      <c r="BN679" s="2"/>
      <c r="BO679" s="2"/>
      <c r="BT679" s="190">
        <f t="shared" si="52"/>
        <v>0</v>
      </c>
      <c r="BU679" s="193">
        <f t="shared" si="53"/>
        <v>0</v>
      </c>
      <c r="BV679" s="194"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 customHeight="1">
      <c r="A680" s="18"/>
      <c r="B680" t="s">
        <v>1477</v>
      </c>
      <c r="H680" s="1405"/>
      <c r="I680" s="1405"/>
      <c r="J680" s="1405"/>
      <c r="K680" s="1405"/>
      <c r="L680" s="1405"/>
      <c r="M680" s="1405"/>
      <c r="N680" s="1405"/>
      <c r="O680" s="1405"/>
      <c r="P680" s="1405"/>
      <c r="Q680" s="1405"/>
      <c r="R680" s="1405"/>
      <c r="T680" s="18"/>
      <c r="U680" t="s">
        <v>1477</v>
      </c>
      <c r="AA680" s="1405"/>
      <c r="AB680" s="1405"/>
      <c r="AC680" s="1405"/>
      <c r="AD680" s="1405"/>
      <c r="AE680" s="1405"/>
      <c r="AF680" s="1405"/>
      <c r="AG680" s="1405"/>
      <c r="AH680" s="1405"/>
      <c r="AI680" s="1405"/>
      <c r="AJ680" s="1405"/>
      <c r="AK680" s="1405"/>
      <c r="AZ680" s="2"/>
      <c r="BA680" s="68" t="str">
        <f t="shared" si="48"/>
        <v>N/A</v>
      </c>
      <c r="BB680" s="2"/>
      <c r="BC680" s="2"/>
      <c r="BD680" s="2"/>
      <c r="BE680" s="2"/>
      <c r="BF680" s="118"/>
      <c r="BG680" s="190">
        <f t="shared" si="49"/>
        <v>0</v>
      </c>
      <c r="BH680" s="193">
        <f t="shared" si="50"/>
        <v>0</v>
      </c>
      <c r="BI680" s="194" t="str">
        <f t="shared" si="51"/>
        <v/>
      </c>
      <c r="BJ680" s="2"/>
      <c r="BK680" s="2"/>
      <c r="BL680" s="2"/>
      <c r="BM680" s="2"/>
      <c r="BN680" s="2"/>
      <c r="BO680" s="2"/>
      <c r="BT680" s="190">
        <f t="shared" si="52"/>
        <v>0</v>
      </c>
      <c r="BU680" s="193">
        <f t="shared" si="53"/>
        <v>0</v>
      </c>
      <c r="BV680" s="194"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 customHeight="1">
      <c r="A681" s="18"/>
      <c r="B681" t="s">
        <v>1480</v>
      </c>
      <c r="N681" s="1361" t="s">
        <v>893</v>
      </c>
      <c r="O681" s="1361"/>
      <c r="T681" s="18"/>
      <c r="U681" t="s">
        <v>1480</v>
      </c>
      <c r="AG681" s="1361" t="s">
        <v>893</v>
      </c>
      <c r="AH681" s="1361"/>
      <c r="AZ681" s="2"/>
      <c r="BA681" s="68" t="str">
        <f t="shared" si="48"/>
        <v>N/A</v>
      </c>
      <c r="BB681" s="2"/>
      <c r="BC681" s="2"/>
      <c r="BD681" s="2"/>
      <c r="BE681" s="2"/>
      <c r="BF681" s="118"/>
      <c r="BG681" s="190">
        <f t="shared" si="49"/>
        <v>0</v>
      </c>
      <c r="BH681" s="193">
        <f t="shared" si="50"/>
        <v>0</v>
      </c>
      <c r="BI681" s="194" t="str">
        <f t="shared" si="51"/>
        <v/>
      </c>
      <c r="BJ681" s="2"/>
      <c r="BK681" s="2"/>
      <c r="BL681" s="2"/>
      <c r="BM681" s="2"/>
      <c r="BN681" s="2"/>
      <c r="BO681" s="2"/>
      <c r="BT681" s="190">
        <f t="shared" si="52"/>
        <v>0</v>
      </c>
      <c r="BU681" s="193">
        <f t="shared" si="53"/>
        <v>0</v>
      </c>
      <c r="BV681" s="194"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 customHeight="1">
      <c r="A682" s="18"/>
      <c r="T682" s="18"/>
      <c r="AZ682" s="2"/>
      <c r="BA682" s="68" t="str">
        <f t="shared" si="48"/>
        <v>N/A</v>
      </c>
      <c r="BB682" s="2"/>
      <c r="BC682" s="2"/>
      <c r="BD682" s="2"/>
      <c r="BE682" s="2"/>
      <c r="BF682" s="118"/>
      <c r="BG682" s="190">
        <f t="shared" si="49"/>
        <v>0</v>
      </c>
      <c r="BH682" s="193">
        <f t="shared" si="50"/>
        <v>0</v>
      </c>
      <c r="BI682" s="194" t="str">
        <f t="shared" si="51"/>
        <v/>
      </c>
      <c r="BJ682" s="2"/>
      <c r="BK682" s="2"/>
      <c r="BL682" s="2"/>
      <c r="BM682" s="2"/>
      <c r="BN682" s="2"/>
      <c r="BO682" s="2"/>
      <c r="BT682" s="190">
        <f t="shared" si="52"/>
        <v>0</v>
      </c>
      <c r="BU682" s="193">
        <f t="shared" si="53"/>
        <v>0</v>
      </c>
      <c r="BV682" s="194"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 customHeight="1">
      <c r="A683" s="37" t="s">
        <v>1468</v>
      </c>
      <c r="B683" t="s">
        <v>1471</v>
      </c>
      <c r="G683" s="1460">
        <f>C637</f>
        <v>0</v>
      </c>
      <c r="H683" s="1460"/>
      <c r="I683" s="1460"/>
      <c r="J683" s="1460"/>
      <c r="K683" s="1460"/>
      <c r="L683" s="1460"/>
      <c r="M683" s="1460"/>
      <c r="N683" s="1460"/>
      <c r="O683" s="1460"/>
      <c r="P683" s="1460"/>
      <c r="Q683" s="1460"/>
      <c r="R683" s="1460"/>
      <c r="T683" s="37" t="s">
        <v>1469</v>
      </c>
      <c r="U683" t="s">
        <v>1471</v>
      </c>
      <c r="Z683" s="1460">
        <f>C638</f>
        <v>0</v>
      </c>
      <c r="AA683" s="1460"/>
      <c r="AB683" s="1460"/>
      <c r="AC683" s="1460"/>
      <c r="AD683" s="1460"/>
      <c r="AE683" s="1460"/>
      <c r="AF683" s="1460"/>
      <c r="AG683" s="1460"/>
      <c r="AH683" s="1460"/>
      <c r="AI683" s="1460"/>
      <c r="AJ683" s="1460"/>
      <c r="AK683" s="1460"/>
      <c r="AZ683" s="2"/>
      <c r="BA683" s="68" t="str">
        <f t="shared" si="48"/>
        <v>N/A</v>
      </c>
      <c r="BB683" s="2"/>
      <c r="BC683" s="2"/>
      <c r="BD683" s="2"/>
      <c r="BE683" s="2"/>
      <c r="BF683" s="118"/>
      <c r="BG683" s="190">
        <f t="shared" si="49"/>
        <v>0</v>
      </c>
      <c r="BH683" s="193">
        <f t="shared" si="50"/>
        <v>0</v>
      </c>
      <c r="BI683" s="194" t="str">
        <f t="shared" si="51"/>
        <v/>
      </c>
      <c r="BJ683" s="2"/>
      <c r="BK683" s="2"/>
      <c r="BL683" s="2"/>
      <c r="BM683" s="2"/>
      <c r="BN683" s="2"/>
      <c r="BO683" s="2"/>
      <c r="BT683" s="190">
        <f t="shared" si="52"/>
        <v>0</v>
      </c>
      <c r="BU683" s="193">
        <f t="shared" si="53"/>
        <v>0</v>
      </c>
      <c r="BV683" s="194"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 customHeight="1">
      <c r="B684" t="s">
        <v>1111</v>
      </c>
      <c r="G684" s="1405"/>
      <c r="H684" s="1405"/>
      <c r="I684" s="1405"/>
      <c r="J684" s="1405"/>
      <c r="K684" s="1405"/>
      <c r="L684" s="1405"/>
      <c r="M684" s="1405"/>
      <c r="N684" s="1405"/>
      <c r="O684" s="1405"/>
      <c r="P684" s="1405"/>
      <c r="Q684" s="1405"/>
      <c r="R684" s="1405"/>
      <c r="T684" s="18"/>
      <c r="U684" t="s">
        <v>1111</v>
      </c>
      <c r="Z684" s="1405"/>
      <c r="AA684" s="1405"/>
      <c r="AB684" s="1405"/>
      <c r="AC684" s="1405"/>
      <c r="AD684" s="1405"/>
      <c r="AE684" s="1405"/>
      <c r="AF684" s="1405"/>
      <c r="AG684" s="1405"/>
      <c r="AH684" s="1405"/>
      <c r="AI684" s="1405"/>
      <c r="AJ684" s="1405"/>
      <c r="AK684" s="1405"/>
      <c r="AZ684" s="2"/>
      <c r="BA684" s="68" t="str">
        <f t="shared" si="48"/>
        <v>N/A</v>
      </c>
      <c r="BB684" s="2"/>
      <c r="BC684" s="2"/>
      <c r="BD684" s="2"/>
      <c r="BE684" s="2"/>
      <c r="BF684" s="118"/>
      <c r="BG684" s="190">
        <f t="shared" si="49"/>
        <v>0</v>
      </c>
      <c r="BH684" s="193">
        <f t="shared" si="50"/>
        <v>0</v>
      </c>
      <c r="BI684" s="194" t="str">
        <f t="shared" si="51"/>
        <v/>
      </c>
      <c r="BJ684" s="2"/>
      <c r="BK684" s="2"/>
      <c r="BL684" s="2"/>
      <c r="BM684" s="2"/>
      <c r="BN684" s="2"/>
      <c r="BO684" s="2"/>
      <c r="BT684" s="190">
        <f t="shared" si="52"/>
        <v>0</v>
      </c>
      <c r="BU684" s="193">
        <f t="shared" si="53"/>
        <v>0</v>
      </c>
      <c r="BV684" s="194"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 customHeight="1">
      <c r="B685" t="s">
        <v>980</v>
      </c>
      <c r="G685" s="1405"/>
      <c r="H685" s="1405"/>
      <c r="I685" s="1405"/>
      <c r="J685" s="1405"/>
      <c r="K685" s="1405"/>
      <c r="L685" s="1405"/>
      <c r="M685" s="1405"/>
      <c r="N685" s="1405"/>
      <c r="O685" s="1405"/>
      <c r="P685" s="1405"/>
      <c r="Q685" s="1405"/>
      <c r="R685" s="1405"/>
      <c r="U685" t="s">
        <v>980</v>
      </c>
      <c r="Z685" s="1353"/>
      <c r="AA685" s="1353"/>
      <c r="AB685" s="1353"/>
      <c r="AC685" s="1353"/>
      <c r="AD685" s="1353"/>
      <c r="AE685" s="1353"/>
      <c r="AF685" s="1353"/>
      <c r="AG685" s="1353"/>
      <c r="AH685" s="1353"/>
      <c r="AI685" s="1353"/>
      <c r="AJ685" s="1353"/>
      <c r="AK685" s="1353"/>
      <c r="AZ685" s="2"/>
      <c r="BA685" s="68" t="str">
        <f t="shared" si="48"/>
        <v>N/A</v>
      </c>
      <c r="BB685" s="2"/>
      <c r="BC685" s="2"/>
      <c r="BD685" s="2"/>
      <c r="BE685" s="2"/>
      <c r="BF685" s="118"/>
      <c r="BG685" s="190">
        <f t="shared" si="49"/>
        <v>0</v>
      </c>
      <c r="BH685" s="193">
        <f t="shared" si="50"/>
        <v>0</v>
      </c>
      <c r="BI685" s="194" t="str">
        <f t="shared" si="51"/>
        <v/>
      </c>
      <c r="BJ685" s="2"/>
      <c r="BK685" s="2"/>
      <c r="BL685" s="2"/>
      <c r="BM685" s="2"/>
      <c r="BN685" s="2"/>
      <c r="BO685" s="2"/>
      <c r="BT685" s="190">
        <f t="shared" si="52"/>
        <v>0</v>
      </c>
      <c r="BU685" s="193">
        <f t="shared" si="53"/>
        <v>0</v>
      </c>
      <c r="BV685" s="194"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 customHeight="1">
      <c r="B686" t="s">
        <v>1474</v>
      </c>
      <c r="G686" s="1405"/>
      <c r="H686" s="1405"/>
      <c r="I686" s="1405"/>
      <c r="J686" s="1405"/>
      <c r="K686" s="1405"/>
      <c r="L686" s="1405"/>
      <c r="M686" s="1405"/>
      <c r="N686" s="1405"/>
      <c r="O686" s="1405"/>
      <c r="P686" s="1405"/>
      <c r="Q686" s="1405"/>
      <c r="R686" s="1405"/>
      <c r="U686" t="s">
        <v>1474</v>
      </c>
      <c r="Z686" s="1353"/>
      <c r="AA686" s="1353"/>
      <c r="AB686" s="1353"/>
      <c r="AC686" s="1353"/>
      <c r="AD686" s="1353"/>
      <c r="AE686" s="1353"/>
      <c r="AF686" s="1353"/>
      <c r="AG686" s="1353"/>
      <c r="AH686" s="1353"/>
      <c r="AI686" s="1353"/>
      <c r="AJ686" s="1353"/>
      <c r="AK686" s="1353"/>
      <c r="AZ686" s="2"/>
      <c r="BA686" s="68" t="str">
        <f t="shared" si="48"/>
        <v>N/A</v>
      </c>
      <c r="BB686" s="2"/>
      <c r="BC686" s="2"/>
      <c r="BD686" s="2"/>
      <c r="BE686" s="2"/>
      <c r="BF686" s="118"/>
      <c r="BG686" s="190">
        <f t="shared" si="49"/>
        <v>0</v>
      </c>
      <c r="BH686" s="193">
        <f t="shared" si="50"/>
        <v>0</v>
      </c>
      <c r="BI686" s="194" t="str">
        <f t="shared" si="51"/>
        <v/>
      </c>
      <c r="BJ686" s="2"/>
      <c r="BK686" s="2"/>
      <c r="BL686" s="2"/>
      <c r="BM686" s="2"/>
      <c r="BN686" s="2"/>
      <c r="BO686" s="2"/>
      <c r="BT686" s="190">
        <f t="shared" si="52"/>
        <v>0</v>
      </c>
      <c r="BU686" s="193">
        <f t="shared" si="53"/>
        <v>0</v>
      </c>
      <c r="BV686" s="194"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 customHeight="1">
      <c r="B687" t="s">
        <v>883</v>
      </c>
      <c r="G687" s="1418"/>
      <c r="H687" s="1418"/>
      <c r="I687" s="1418"/>
      <c r="J687" s="1418"/>
      <c r="K687" s="1418"/>
      <c r="L687" s="1418"/>
      <c r="O687" s="840" t="s">
        <v>1120</v>
      </c>
      <c r="P687" s="1434"/>
      <c r="Q687" s="1434"/>
      <c r="R687" s="1434"/>
      <c r="U687" t="s">
        <v>883</v>
      </c>
      <c r="Z687" s="1418"/>
      <c r="AA687" s="1418"/>
      <c r="AB687" s="1418"/>
      <c r="AC687" s="1418"/>
      <c r="AD687" s="1418"/>
      <c r="AE687" s="1418"/>
      <c r="AH687" s="840" t="s">
        <v>1120</v>
      </c>
      <c r="AI687" s="1434"/>
      <c r="AJ687" s="1434"/>
      <c r="AK687" s="1434"/>
      <c r="AZ687" s="2"/>
      <c r="BA687" s="68" t="str">
        <f t="shared" si="48"/>
        <v>N/A</v>
      </c>
      <c r="BB687" s="2"/>
      <c r="BC687" s="2"/>
      <c r="BD687" s="2"/>
      <c r="BE687" s="2"/>
      <c r="BF687" s="118"/>
      <c r="BG687" s="190">
        <f t="shared" si="49"/>
        <v>0</v>
      </c>
      <c r="BH687" s="193">
        <f t="shared" si="50"/>
        <v>0</v>
      </c>
      <c r="BI687" s="194" t="str">
        <f t="shared" si="51"/>
        <v/>
      </c>
      <c r="BJ687" s="2"/>
      <c r="BK687" s="2"/>
      <c r="BL687" s="2"/>
      <c r="BM687" s="2"/>
      <c r="BN687" s="2"/>
      <c r="BO687" s="2"/>
      <c r="BT687" s="190">
        <f t="shared" si="52"/>
        <v>0</v>
      </c>
      <c r="BU687" s="193">
        <f t="shared" si="53"/>
        <v>0</v>
      </c>
      <c r="BV687" s="194"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 customHeight="1">
      <c r="B688" t="s">
        <v>1477</v>
      </c>
      <c r="H688" s="1405"/>
      <c r="I688" s="1405"/>
      <c r="J688" s="1405"/>
      <c r="K688" s="1405"/>
      <c r="L688" s="1405"/>
      <c r="M688" s="1405"/>
      <c r="N688" s="1405"/>
      <c r="O688" s="1405"/>
      <c r="P688" s="1405"/>
      <c r="Q688" s="1405"/>
      <c r="R688" s="1405"/>
      <c r="U688" t="s">
        <v>1477</v>
      </c>
      <c r="AA688" s="1405"/>
      <c r="AB688" s="1405"/>
      <c r="AC688" s="1405"/>
      <c r="AD688" s="1405"/>
      <c r="AE688" s="1405"/>
      <c r="AF688" s="1405"/>
      <c r="AG688" s="1405"/>
      <c r="AH688" s="1405"/>
      <c r="AI688" s="1405"/>
      <c r="AJ688" s="1405"/>
      <c r="AK688" s="1405"/>
      <c r="AZ688" s="2"/>
      <c r="BA688" s="68" t="str">
        <f t="shared" si="48"/>
        <v>N/A</v>
      </c>
      <c r="BB688" s="2"/>
      <c r="BF688" s="118"/>
      <c r="BG688" s="190">
        <f t="shared" si="49"/>
        <v>0</v>
      </c>
      <c r="BH688" s="193">
        <f t="shared" si="50"/>
        <v>0</v>
      </c>
      <c r="BI688" s="194" t="str">
        <f t="shared" si="51"/>
        <v/>
      </c>
      <c r="BL688" s="2"/>
      <c r="BM688" s="2"/>
      <c r="BN688" s="2"/>
      <c r="BO688" s="2"/>
      <c r="BT688" s="190">
        <f t="shared" si="52"/>
        <v>0</v>
      </c>
      <c r="BU688" s="193">
        <f t="shared" si="53"/>
        <v>0</v>
      </c>
      <c r="BV688" s="194"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 customHeight="1">
      <c r="B689" t="s">
        <v>1480</v>
      </c>
      <c r="N689" s="1361" t="s">
        <v>893</v>
      </c>
      <c r="O689" s="1361"/>
      <c r="U689" t="s">
        <v>1480</v>
      </c>
      <c r="AG689" s="1361" t="s">
        <v>893</v>
      </c>
      <c r="AH689" s="1361"/>
      <c r="AZ689" s="2"/>
      <c r="BA689" s="68" t="str">
        <f t="shared" si="48"/>
        <v>N/A</v>
      </c>
      <c r="BB689" s="2"/>
      <c r="BF689" s="118"/>
      <c r="BG689" s="190">
        <f t="shared" si="49"/>
        <v>0</v>
      </c>
      <c r="BH689" s="193">
        <f t="shared" si="50"/>
        <v>0</v>
      </c>
      <c r="BI689" s="194" t="str">
        <f t="shared" si="51"/>
        <v/>
      </c>
      <c r="BL689" s="2"/>
      <c r="BM689" s="2"/>
      <c r="BN689" s="2"/>
      <c r="BO689" s="2"/>
      <c r="BT689" s="190">
        <f t="shared" si="52"/>
        <v>0</v>
      </c>
      <c r="BU689" s="193">
        <f t="shared" si="53"/>
        <v>0</v>
      </c>
      <c r="BV689" s="194"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 customHeight="1">
      <c r="AZ690" s="2"/>
      <c r="BA690" s="68" t="str">
        <f t="shared" si="48"/>
        <v>N/A</v>
      </c>
      <c r="BB690" s="2"/>
      <c r="BF690" s="118"/>
      <c r="BG690" s="190">
        <f t="shared" si="49"/>
        <v>0</v>
      </c>
      <c r="BH690" s="193">
        <f t="shared" si="50"/>
        <v>0</v>
      </c>
      <c r="BI690" s="194" t="str">
        <f t="shared" si="51"/>
        <v/>
      </c>
      <c r="BL690" s="2"/>
      <c r="BM690" s="2"/>
      <c r="BN690" s="2"/>
      <c r="BO690" s="2"/>
      <c r="BT690" s="190">
        <f t="shared" si="52"/>
        <v>0</v>
      </c>
      <c r="BU690" s="193">
        <f t="shared" si="53"/>
        <v>0</v>
      </c>
      <c r="BV690" s="194"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 customHeight="1">
      <c r="A691" s="1" t="s">
        <v>961</v>
      </c>
      <c r="C691" s="1" t="s">
        <v>178</v>
      </c>
      <c r="E691" s="1146"/>
      <c r="F691" s="1146"/>
      <c r="G691" s="1146"/>
      <c r="H691" s="1146"/>
      <c r="AZ691" s="2"/>
      <c r="BA691" s="68" t="str">
        <f t="shared" si="48"/>
        <v>N/A</v>
      </c>
      <c r="BB691" s="2"/>
      <c r="BF691" s="118"/>
      <c r="BG691" s="190">
        <f t="shared" si="49"/>
        <v>0</v>
      </c>
      <c r="BH691" s="193">
        <f t="shared" si="50"/>
        <v>0</v>
      </c>
      <c r="BI691" s="194" t="str">
        <f t="shared" si="51"/>
        <v/>
      </c>
      <c r="BL691" s="2"/>
      <c r="BM691" s="2"/>
      <c r="BN691" s="2"/>
      <c r="BO691" s="2"/>
      <c r="BT691" s="190">
        <f t="shared" si="52"/>
        <v>0</v>
      </c>
      <c r="BU691" s="193">
        <f t="shared" si="53"/>
        <v>0</v>
      </c>
      <c r="BV691" s="194"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 customHeight="1">
      <c r="B692" s="1152"/>
      <c r="C692" s="1152"/>
      <c r="D692" s="843" t="s">
        <v>1533</v>
      </c>
      <c r="E692" s="1152"/>
      <c r="F692" s="1152"/>
      <c r="G692" s="1152"/>
      <c r="H692" s="1152"/>
      <c r="AZ692" s="2"/>
      <c r="BA692" s="68" t="str">
        <f t="shared" si="48"/>
        <v>N/A</v>
      </c>
      <c r="BB692" s="2"/>
      <c r="BC692" s="2"/>
      <c r="BF692" s="118"/>
      <c r="BG692" s="190">
        <f t="shared" si="49"/>
        <v>0</v>
      </c>
      <c r="BH692" s="193">
        <f t="shared" si="50"/>
        <v>0</v>
      </c>
      <c r="BI692" s="194" t="str">
        <f t="shared" ref="BI692:BI697" si="55">IF(BH692=0,"",BH692*AC752)</f>
        <v/>
      </c>
      <c r="BM692" s="2"/>
      <c r="BN692" s="2"/>
      <c r="BO692" s="2"/>
      <c r="BT692" s="190">
        <f t="shared" si="52"/>
        <v>0</v>
      </c>
      <c r="BU692" s="193">
        <f t="shared" si="53"/>
        <v>0</v>
      </c>
      <c r="BV692" s="194"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 customHeight="1">
      <c r="B693" s="1152"/>
      <c r="C693" s="1152"/>
      <c r="E693" s="843" t="s">
        <v>1534</v>
      </c>
      <c r="F693" s="1152"/>
      <c r="G693" s="1152"/>
      <c r="H693" s="1152"/>
      <c r="AE693" s="1361" t="s">
        <v>837</v>
      </c>
      <c r="AF693" s="1361"/>
      <c r="AZ693" s="2"/>
      <c r="BA693" s="68" t="str">
        <f t="shared" si="48"/>
        <v>N/A</v>
      </c>
      <c r="BB693" s="2"/>
      <c r="BC693" s="2"/>
      <c r="BD693" s="2"/>
      <c r="BG693" s="190">
        <f t="shared" si="49"/>
        <v>0</v>
      </c>
      <c r="BH693" s="193">
        <f t="shared" si="50"/>
        <v>0</v>
      </c>
      <c r="BI693" s="194" t="str">
        <f t="shared" si="55"/>
        <v/>
      </c>
      <c r="BT693" s="190">
        <f t="shared" si="52"/>
        <v>0</v>
      </c>
      <c r="BU693" s="193">
        <f t="shared" si="53"/>
        <v>0</v>
      </c>
      <c r="BV693" s="194"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 customHeight="1">
      <c r="B694" s="1152"/>
      <c r="C694" s="1152"/>
      <c r="D694" s="843" t="s">
        <v>1535</v>
      </c>
      <c r="E694" s="1152"/>
      <c r="F694" s="1152"/>
      <c r="G694" s="1152"/>
      <c r="H694" s="1152"/>
      <c r="AE694" s="1361" t="s">
        <v>837</v>
      </c>
      <c r="AF694" s="1361"/>
      <c r="AZ694" s="2"/>
      <c r="BA694" s="68" t="str">
        <f t="shared" si="48"/>
        <v>N/A</v>
      </c>
      <c r="BB694" s="2"/>
      <c r="BC694" s="2"/>
      <c r="BD694" s="2"/>
      <c r="BE694" s="2"/>
      <c r="BF694" s="2"/>
      <c r="BG694" s="190">
        <f t="shared" si="49"/>
        <v>0</v>
      </c>
      <c r="BH694" s="193">
        <f t="shared" si="50"/>
        <v>0</v>
      </c>
      <c r="BI694" s="194" t="str">
        <f t="shared" si="55"/>
        <v/>
      </c>
      <c r="BJ694" s="2"/>
      <c r="BK694" s="2"/>
      <c r="BL694" s="2"/>
      <c r="BM694" s="2"/>
      <c r="BN694" s="2"/>
      <c r="BO694" s="2"/>
      <c r="BT694" s="190">
        <f t="shared" si="52"/>
        <v>0</v>
      </c>
      <c r="BU694" s="193">
        <f t="shared" si="53"/>
        <v>0</v>
      </c>
      <c r="BV694" s="194"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 customHeight="1">
      <c r="B695" s="1152"/>
      <c r="C695" s="1152"/>
      <c r="D695" s="843" t="s">
        <v>1536</v>
      </c>
      <c r="E695" s="1152"/>
      <c r="F695" s="1152"/>
      <c r="G695" s="1152"/>
      <c r="H695" s="1152"/>
      <c r="AE695" s="1433">
        <v>45531</v>
      </c>
      <c r="AF695" s="1433"/>
      <c r="AG695" s="1433"/>
      <c r="AH695" s="1433"/>
      <c r="AI695" s="1433"/>
      <c r="AZ695" s="2"/>
      <c r="BA695" s="68" t="str">
        <f t="shared" si="48"/>
        <v>N/A</v>
      </c>
      <c r="BB695" s="2"/>
      <c r="BC695" s="2"/>
      <c r="BD695" s="2"/>
      <c r="BE695" s="2"/>
      <c r="BF695" s="2"/>
      <c r="BG695" s="190">
        <f t="shared" si="49"/>
        <v>0</v>
      </c>
      <c r="BH695" s="193">
        <f t="shared" si="50"/>
        <v>0</v>
      </c>
      <c r="BI695" s="194" t="str">
        <f t="shared" si="55"/>
        <v/>
      </c>
      <c r="BJ695" s="2"/>
      <c r="BK695" s="2"/>
      <c r="BL695" s="2"/>
      <c r="BM695" s="2"/>
      <c r="BN695" s="2"/>
      <c r="BO695" s="2"/>
      <c r="BT695" s="190">
        <f t="shared" si="52"/>
        <v>0</v>
      </c>
      <c r="BU695" s="193">
        <f t="shared" si="53"/>
        <v>0</v>
      </c>
      <c r="BV695" s="194"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 customHeight="1">
      <c r="B696" s="1152"/>
      <c r="C696" s="1152"/>
      <c r="D696" s="212" t="s">
        <v>1537</v>
      </c>
      <c r="E696" s="1152"/>
      <c r="F696" s="1152"/>
      <c r="G696" s="1152"/>
      <c r="H696" s="1152"/>
      <c r="AE696" s="1763">
        <v>45637</v>
      </c>
      <c r="AF696" s="1763"/>
      <c r="AG696" s="1763"/>
      <c r="AH696" s="1763"/>
      <c r="AI696" s="1763"/>
      <c r="AZ696" s="2"/>
      <c r="BA696" s="68" t="str">
        <f t="shared" si="48"/>
        <v>N/A</v>
      </c>
      <c r="BB696" s="2"/>
      <c r="BC696" s="2"/>
      <c r="BD696" s="2"/>
      <c r="BE696" s="2"/>
      <c r="BF696" s="2"/>
      <c r="BG696" s="190">
        <f t="shared" si="49"/>
        <v>0</v>
      </c>
      <c r="BH696" s="193">
        <f t="shared" si="50"/>
        <v>0</v>
      </c>
      <c r="BI696" s="194" t="str">
        <f t="shared" si="55"/>
        <v/>
      </c>
      <c r="BJ696" s="2"/>
      <c r="BK696" s="2"/>
      <c r="BL696" s="2"/>
      <c r="BM696" s="2"/>
      <c r="BN696" s="2"/>
      <c r="BO696" s="2"/>
      <c r="BT696" s="190">
        <f t="shared" si="52"/>
        <v>0</v>
      </c>
      <c r="BU696" s="193">
        <f t="shared" si="53"/>
        <v>0</v>
      </c>
      <c r="BV696" s="194"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 customHeight="1">
      <c r="B697" s="1152"/>
      <c r="C697" s="1152"/>
      <c r="AZ697" s="2"/>
      <c r="BA697" s="68" t="str">
        <f t="shared" si="48"/>
        <v>N/A</v>
      </c>
      <c r="BB697" s="2"/>
      <c r="BC697" s="2"/>
      <c r="BD697" s="2"/>
      <c r="BE697" s="2"/>
      <c r="BF697" s="2"/>
      <c r="BG697" s="190">
        <f t="shared" si="49"/>
        <v>0</v>
      </c>
      <c r="BH697" s="193">
        <f t="shared" si="50"/>
        <v>0</v>
      </c>
      <c r="BI697" s="194" t="str">
        <f t="shared" si="55"/>
        <v/>
      </c>
      <c r="BJ697" s="2"/>
      <c r="BK697" s="2"/>
      <c r="BL697" s="2"/>
      <c r="BM697" s="2"/>
      <c r="BN697" s="2"/>
      <c r="BO697" s="2"/>
      <c r="BT697" s="190">
        <f t="shared" si="52"/>
        <v>0</v>
      </c>
      <c r="BU697" s="193">
        <f t="shared" si="53"/>
        <v>0</v>
      </c>
      <c r="BV697" s="194"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 customHeight="1">
      <c r="B698" s="1152"/>
      <c r="C698" s="1152"/>
      <c r="D698" s="843" t="s">
        <v>1538</v>
      </c>
      <c r="E698" s="1152"/>
      <c r="F698" s="1152"/>
      <c r="G698" s="1152"/>
      <c r="H698" s="1152"/>
      <c r="AE698" s="1433">
        <v>45778</v>
      </c>
      <c r="AF698" s="1433"/>
      <c r="AG698" s="1433"/>
      <c r="AH698" s="1433"/>
      <c r="AI698" s="1433"/>
      <c r="AZ698" s="2"/>
      <c r="BA698" s="68" t="str">
        <f t="shared" si="48"/>
        <v>N/A</v>
      </c>
      <c r="BB698" s="2"/>
      <c r="BC698" s="2"/>
      <c r="BD698" s="2"/>
      <c r="BE698" s="2"/>
      <c r="BF698" s="2"/>
      <c r="BG698" s="190">
        <f t="shared" si="49"/>
        <v>0</v>
      </c>
      <c r="BH698" s="193">
        <f t="shared" si="50"/>
        <v>0</v>
      </c>
      <c r="BI698" s="194" t="str">
        <f>IF(BH698=0,"",BH698*AC759)</f>
        <v/>
      </c>
      <c r="BJ698" s="2"/>
      <c r="BK698" s="2"/>
      <c r="BL698" s="2"/>
      <c r="BM698" s="2"/>
      <c r="BN698" s="2"/>
      <c r="BO698" s="2"/>
      <c r="BT698" s="190">
        <f t="shared" si="52"/>
        <v>0</v>
      </c>
      <c r="BU698" s="193">
        <f t="shared" si="53"/>
        <v>0</v>
      </c>
      <c r="BV698" s="194"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 customHeight="1">
      <c r="B699" s="1152"/>
      <c r="C699" s="1152"/>
      <c r="D699" s="843" t="s">
        <v>1539</v>
      </c>
      <c r="E699" s="1152"/>
      <c r="F699" s="1152"/>
      <c r="G699" s="1152"/>
      <c r="H699" s="1152"/>
      <c r="AE699" s="1553">
        <v>0.54</v>
      </c>
      <c r="AF699" s="1553"/>
      <c r="AG699" s="1553"/>
      <c r="AH699" s="1553"/>
      <c r="AI699" s="1553"/>
      <c r="AZ699" s="2"/>
      <c r="BA699" s="68" t="str">
        <f t="shared" si="48"/>
        <v>N/A</v>
      </c>
      <c r="BB699" s="2"/>
      <c r="BC699" s="2"/>
      <c r="BD699" s="2"/>
      <c r="BE699" s="2"/>
      <c r="BF699" s="2"/>
      <c r="BG699" s="190">
        <f t="shared" si="49"/>
        <v>0</v>
      </c>
      <c r="BH699" s="193">
        <f t="shared" si="50"/>
        <v>0</v>
      </c>
      <c r="BI699" s="194" t="str">
        <f>IF(BH699=0,"",BH699*AC760)</f>
        <v/>
      </c>
      <c r="BJ699" s="2"/>
      <c r="BK699" s="2"/>
      <c r="BL699" s="2"/>
      <c r="BM699" s="2"/>
      <c r="BN699" s="2"/>
      <c r="BO699" s="2"/>
      <c r="BT699" s="190">
        <f t="shared" si="52"/>
        <v>0</v>
      </c>
      <c r="BU699" s="193">
        <f t="shared" si="53"/>
        <v>0</v>
      </c>
      <c r="BV699" s="194"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 customHeight="1">
      <c r="B700" s="1152"/>
      <c r="C700" s="1152"/>
      <c r="D700" s="843" t="s">
        <v>1540</v>
      </c>
      <c r="E700" s="1152"/>
      <c r="F700" s="1152"/>
      <c r="G700" s="1152"/>
      <c r="H700" s="1152"/>
      <c r="W700" s="1460" t="str">
        <f>H335</f>
        <v>California Housing Finance Agency</v>
      </c>
      <c r="X700" s="1460"/>
      <c r="Y700" s="1460"/>
      <c r="Z700" s="1460"/>
      <c r="AA700" s="1460"/>
      <c r="AB700" s="1460"/>
      <c r="AC700" s="1460"/>
      <c r="AD700" s="1460"/>
      <c r="AE700" s="1460"/>
      <c r="AF700" s="1460"/>
      <c r="AG700" s="1460"/>
      <c r="AH700" s="1460"/>
      <c r="AI700" s="1460"/>
      <c r="AJ700" s="1460"/>
      <c r="AK700" s="1460"/>
      <c r="AZ700" s="2"/>
      <c r="BA700" s="68" t="str">
        <f>IF($G751=0,"N/A",VLOOKUP($T$189,TC_Rent,(MATCH($B751,bedrooms,FALSE))))</f>
        <v>N/A</v>
      </c>
      <c r="BB700" s="2"/>
      <c r="BC700" s="2"/>
      <c r="BD700" s="2"/>
      <c r="BE700" s="2"/>
      <c r="BF700" s="2"/>
      <c r="BG700" s="190">
        <f t="shared" si="49"/>
        <v>0</v>
      </c>
      <c r="BH700" s="193">
        <f t="shared" si="50"/>
        <v>0</v>
      </c>
      <c r="BI700" s="194" t="str">
        <f>IF(BH700=0,"",BH700*AC761)</f>
        <v/>
      </c>
      <c r="BJ700" s="2"/>
      <c r="BK700" s="2"/>
      <c r="BL700" s="2"/>
      <c r="BM700" s="2"/>
      <c r="BN700" s="2"/>
      <c r="BO700" s="2"/>
      <c r="BT700" s="190">
        <f t="shared" si="52"/>
        <v>0</v>
      </c>
      <c r="BU700" s="193">
        <f t="shared" si="53"/>
        <v>0</v>
      </c>
      <c r="BV700" s="194"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 customHeight="1">
      <c r="B701" s="1152"/>
      <c r="C701" s="1152"/>
      <c r="D701" s="843"/>
      <c r="E701" s="1152"/>
      <c r="F701" s="1152"/>
      <c r="G701" s="1152"/>
      <c r="H701" s="1152"/>
      <c r="AZ701" s="2"/>
      <c r="BA701" s="68" t="str">
        <f>IF($G752=0,"N/A",VLOOKUP($T$189,TC_Rent,(MATCH($B752,bedrooms,FALSE))))</f>
        <v>N/A</v>
      </c>
      <c r="BB701" s="2"/>
      <c r="BC701" s="2"/>
      <c r="BD701" s="2"/>
      <c r="BE701" s="2"/>
      <c r="BF701" s="2"/>
      <c r="BG701" s="190">
        <f t="shared" ref="BG701" si="56">G751</f>
        <v>0</v>
      </c>
      <c r="BH701" s="193">
        <f t="shared" si="50"/>
        <v>0</v>
      </c>
      <c r="BI701" s="194" t="str">
        <f>IF(BH701=0,"",BH701*AC762)</f>
        <v/>
      </c>
      <c r="BJ701" s="2"/>
      <c r="BK701" s="2"/>
      <c r="BL701" s="2"/>
      <c r="BM701" s="2"/>
      <c r="BN701" s="2"/>
      <c r="BO701" s="2"/>
      <c r="BT701" s="190">
        <f t="shared" ref="BT701" si="57">G751</f>
        <v>0</v>
      </c>
      <c r="BU701" s="193">
        <f t="shared" si="53"/>
        <v>0</v>
      </c>
      <c r="BV701" s="194"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 customHeight="1">
      <c r="B702" s="1152"/>
      <c r="C702" s="1152"/>
      <c r="D702" s="843" t="s">
        <v>1541</v>
      </c>
      <c r="E702" s="1152"/>
      <c r="F702" s="1152"/>
      <c r="G702" s="1152"/>
      <c r="H702" s="1152"/>
      <c r="AE702" s="1361" t="s">
        <v>893</v>
      </c>
      <c r="AF702" s="1361"/>
      <c r="AZ702" s="2"/>
      <c r="BA702" s="2"/>
      <c r="BB702" s="2"/>
      <c r="BC702" s="2"/>
      <c r="BD702" s="2"/>
      <c r="BE702" s="2"/>
      <c r="BG702" s="190">
        <f>G752</f>
        <v>0</v>
      </c>
      <c r="BH702" s="193">
        <f t="shared" si="50"/>
        <v>0</v>
      </c>
      <c r="BI702" s="194" t="str">
        <f>IF(BH702=0,"",BH702*AC762)</f>
        <v/>
      </c>
      <c r="BJ702" s="2"/>
      <c r="BK702" s="2"/>
      <c r="BL702" s="2"/>
      <c r="BM702" s="2"/>
      <c r="BN702" s="2"/>
      <c r="BO702" s="2"/>
      <c r="BT702" s="702">
        <f>G752</f>
        <v>0</v>
      </c>
      <c r="BU702" s="193">
        <f t="shared" si="53"/>
        <v>0</v>
      </c>
      <c r="BV702" s="194"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 customHeight="1">
      <c r="B703" s="1152"/>
      <c r="C703" s="1152"/>
      <c r="D703" s="843" t="s">
        <v>1542</v>
      </c>
      <c r="E703" s="1152"/>
      <c r="F703" s="1152"/>
      <c r="G703" s="1152"/>
      <c r="H703" s="1152"/>
      <c r="W703" s="1405"/>
      <c r="X703" s="1405"/>
      <c r="Y703" s="1405"/>
      <c r="Z703" s="1405"/>
      <c r="AA703" s="1405"/>
      <c r="AB703" s="1405"/>
      <c r="AC703" s="1405"/>
      <c r="AD703" s="1405"/>
      <c r="AE703" s="1405"/>
      <c r="AF703" s="1405"/>
      <c r="AG703" s="1405"/>
      <c r="AH703" s="1405"/>
      <c r="AI703" s="1405"/>
      <c r="AJ703" s="1405"/>
      <c r="AK703" s="1405"/>
      <c r="AZ703" s="2"/>
      <c r="BA703" s="2"/>
      <c r="BB703" s="2"/>
      <c r="BC703" s="2"/>
      <c r="BD703" s="2"/>
      <c r="BE703" s="2"/>
      <c r="BF703" s="187" t="s">
        <v>1543</v>
      </c>
      <c r="BG703" s="195">
        <f>SUM(BG668:BG702)</f>
        <v>64</v>
      </c>
      <c r="BH703" s="196">
        <f>SUM(BH668:BH702)</f>
        <v>1</v>
      </c>
      <c r="BI703" s="196">
        <f>SUM(BI668:BI702)</f>
        <v>0.484375</v>
      </c>
      <c r="BN703" s="2"/>
      <c r="BO703" s="2"/>
      <c r="BT703" s="701">
        <f>SUM(BT668:BT702)</f>
        <v>64</v>
      </c>
      <c r="BU703" s="196">
        <f>SUM(BU668:BU702)</f>
        <v>1</v>
      </c>
      <c r="BV703" s="196">
        <f ca="1">SUM(BV668:BV702)</f>
        <v>0.42798747906498286</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 customHeight="1">
      <c r="B704" s="1152"/>
      <c r="C704" s="1152"/>
      <c r="D704" s="843" t="s">
        <v>1116</v>
      </c>
      <c r="E704" s="1152"/>
      <c r="F704" s="1152"/>
      <c r="G704" s="1152"/>
      <c r="H704" s="1152"/>
      <c r="J704" s="1405"/>
      <c r="K704" s="1405"/>
      <c r="L704" s="1405"/>
      <c r="M704" s="1405"/>
      <c r="N704" s="1405"/>
      <c r="O704" s="1405"/>
      <c r="P704" s="1405"/>
      <c r="Q704" s="1405"/>
      <c r="R704" s="1405"/>
      <c r="S704" s="1405"/>
      <c r="T704" s="1405"/>
      <c r="U704" s="1405"/>
      <c r="V704" s="1405"/>
      <c r="W704" s="1405"/>
      <c r="X704" s="1405"/>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 customHeight="1">
      <c r="B705" s="1152"/>
      <c r="C705" s="1152"/>
      <c r="D705" s="843" t="s">
        <v>1118</v>
      </c>
      <c r="J705" s="1418"/>
      <c r="K705" s="1418"/>
      <c r="L705" s="1418"/>
      <c r="M705" s="1418"/>
      <c r="N705" s="1418"/>
      <c r="O705" s="1418"/>
      <c r="P705" s="2" t="s">
        <v>1120</v>
      </c>
      <c r="Q705" s="2"/>
      <c r="R705" s="1434"/>
      <c r="S705" s="1434"/>
      <c r="T705" s="1434"/>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 customHeight="1">
      <c r="B706" s="1152"/>
      <c r="C706" s="1152"/>
      <c r="D706" s="843" t="s">
        <v>1544</v>
      </c>
      <c r="W706" s="1405" t="s">
        <v>294</v>
      </c>
      <c r="X706" s="1405"/>
      <c r="Y706" s="1405"/>
      <c r="Z706" s="1405"/>
      <c r="AA706" s="1405"/>
      <c r="AB706" s="1405"/>
      <c r="AC706" s="1405"/>
      <c r="AD706" s="1405"/>
      <c r="AE706" s="1405"/>
      <c r="AF706" s="1405"/>
      <c r="AG706" s="1405"/>
      <c r="AH706" s="1405"/>
      <c r="AI706" s="1405"/>
      <c r="AJ706" s="1405"/>
      <c r="AK706" s="1405"/>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 customHeight="1">
      <c r="B707" s="1152"/>
      <c r="C707" s="1152"/>
      <c r="D707" s="843"/>
      <c r="E707" s="1405" t="s">
        <v>1400</v>
      </c>
      <c r="F707" s="1405"/>
      <c r="G707" s="1405"/>
      <c r="H707" s="1405"/>
      <c r="I707" s="1405"/>
      <c r="J707" s="1405"/>
      <c r="K707" s="1405"/>
      <c r="L707" s="1405"/>
      <c r="M707" s="1405"/>
      <c r="N707" s="1405"/>
      <c r="O707" s="1405"/>
      <c r="P707" s="1405"/>
      <c r="Q707" s="1405"/>
      <c r="R707" s="1405"/>
      <c r="S707" s="1405"/>
      <c r="T707" s="1405"/>
      <c r="U707" s="1405"/>
      <c r="V707" s="1405"/>
      <c r="W707" s="1405"/>
      <c r="X707" s="1405"/>
      <c r="Y707" s="1405"/>
      <c r="Z707" s="1405"/>
      <c r="AA707" s="1405"/>
      <c r="AB707" s="1405"/>
      <c r="AC707" s="1405"/>
      <c r="AD707" s="1405"/>
      <c r="AE707" s="1405"/>
      <c r="AF707" s="1405"/>
      <c r="AG707" s="1405"/>
      <c r="AH707" s="1405"/>
      <c r="AI707" s="1405"/>
      <c r="AJ707" s="1405"/>
      <c r="AK707" s="1405"/>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 customHeight="1">
      <c r="A709" s="1231" t="s">
        <v>1545</v>
      </c>
      <c r="B709" s="1231"/>
      <c r="C709" s="1231"/>
      <c r="D709" s="1231"/>
      <c r="E709" s="1231"/>
      <c r="F709" s="1231"/>
      <c r="G709" s="1231"/>
      <c r="H709" s="1231"/>
      <c r="I709" s="1231"/>
      <c r="J709" s="1231"/>
      <c r="K709" s="1231"/>
      <c r="L709" s="1231"/>
      <c r="M709" s="1231"/>
      <c r="N709" s="1231"/>
      <c r="O709" s="1231"/>
      <c r="P709" s="1231"/>
      <c r="Q709" s="1231"/>
      <c r="R709" s="1231"/>
      <c r="S709" s="1231"/>
      <c r="T709" s="1231"/>
      <c r="U709" s="1231"/>
      <c r="V709" s="1231"/>
      <c r="W709" s="1231"/>
      <c r="X709" s="1231"/>
      <c r="Y709" s="1231"/>
      <c r="Z709" s="1231"/>
      <c r="AA709" s="1231"/>
      <c r="AB709" s="1231"/>
      <c r="AC709" s="1231"/>
      <c r="AD709" s="1231"/>
      <c r="AE709" s="1231"/>
      <c r="AF709" s="1231"/>
      <c r="AG709" s="1231"/>
      <c r="AH709" s="1231"/>
      <c r="AI709" s="1231"/>
      <c r="AJ709" s="1231"/>
      <c r="AK709" s="1231"/>
      <c r="AL709" s="1231"/>
      <c r="AM709" s="1231"/>
      <c r="AN709" s="1231"/>
      <c r="AO709" s="1231"/>
      <c r="AP709" s="1231"/>
      <c r="AQ709" s="1231"/>
      <c r="AR709" s="1231"/>
      <c r="AS709" s="1231"/>
      <c r="AT709" s="1231"/>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 customHeight="1">
      <c r="A710" s="1231"/>
      <c r="B710" s="1231"/>
      <c r="C710" s="1231"/>
      <c r="D710" s="1231"/>
      <c r="E710" s="1231"/>
      <c r="F710" s="1231"/>
      <c r="G710" s="1231"/>
      <c r="H710" s="1231"/>
      <c r="I710" s="1231"/>
      <c r="J710" s="1231"/>
      <c r="K710" s="1231"/>
      <c r="L710" s="1231"/>
      <c r="M710" s="1231"/>
      <c r="N710" s="1231"/>
      <c r="O710" s="1231"/>
      <c r="P710" s="1231"/>
      <c r="Q710" s="1231"/>
      <c r="R710" s="1231"/>
      <c r="S710" s="1231"/>
      <c r="T710" s="1231"/>
      <c r="U710" s="1231"/>
      <c r="V710" s="1231"/>
      <c r="W710" s="1231"/>
      <c r="X710" s="1231"/>
      <c r="Y710" s="1231"/>
      <c r="Z710" s="1231"/>
      <c r="AA710" s="1231"/>
      <c r="AB710" s="1231"/>
      <c r="AC710" s="1231"/>
      <c r="AD710" s="1231"/>
      <c r="AE710" s="1231"/>
      <c r="AF710" s="1231"/>
      <c r="AG710" s="1231"/>
      <c r="AH710" s="1231"/>
      <c r="AI710" s="1231"/>
      <c r="AJ710" s="1231"/>
      <c r="AK710" s="1231"/>
      <c r="AL710" s="1231"/>
      <c r="AM710" s="1231"/>
      <c r="AN710" s="1231"/>
      <c r="AO710" s="1231"/>
      <c r="AP710" s="1231"/>
      <c r="AQ710" s="1231"/>
      <c r="AR710" s="1231"/>
      <c r="AS710" s="1231"/>
      <c r="AT710" s="1231"/>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 customHeight="1">
      <c r="A711" s="1231"/>
      <c r="B711" s="1231"/>
      <c r="C711" s="1231"/>
      <c r="D711" s="1231"/>
      <c r="E711" s="1231"/>
      <c r="F711" s="1231"/>
      <c r="G711" s="1231"/>
      <c r="H711" s="1231"/>
      <c r="I711" s="1231"/>
      <c r="J711" s="1231"/>
      <c r="K711" s="1231"/>
      <c r="L711" s="1231"/>
      <c r="M711" s="1231"/>
      <c r="N711" s="1231"/>
      <c r="O711" s="1231"/>
      <c r="P711" s="1231"/>
      <c r="Q711" s="1231"/>
      <c r="R711" s="1231"/>
      <c r="S711" s="1231"/>
      <c r="T711" s="1231"/>
      <c r="U711" s="1231"/>
      <c r="V711" s="1231"/>
      <c r="W711" s="1231"/>
      <c r="X711" s="1231"/>
      <c r="Y711" s="1231"/>
      <c r="Z711" s="1231"/>
      <c r="AA711" s="1231"/>
      <c r="AB711" s="1231"/>
      <c r="AC711" s="1231"/>
      <c r="AD711" s="1231"/>
      <c r="AE711" s="1231"/>
      <c r="AF711" s="1231"/>
      <c r="AG711" s="1231"/>
      <c r="AH711" s="1231"/>
      <c r="AI711" s="1231"/>
      <c r="AJ711" s="1231"/>
      <c r="AK711" s="1231"/>
      <c r="AL711" s="1231"/>
      <c r="AM711" s="1231"/>
      <c r="AN711" s="1231"/>
      <c r="AO711" s="1231"/>
      <c r="AP711" s="1231"/>
      <c r="AQ711" s="1231"/>
      <c r="AR711" s="1231"/>
      <c r="AS711" s="1231"/>
      <c r="AT711" s="1231"/>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 customHeight="1">
      <c r="A712" s="1" t="s">
        <v>920</v>
      </c>
      <c r="B712" s="1"/>
      <c r="C712" s="1" t="s">
        <v>1546</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 customHeight="1">
      <c r="A713" s="1"/>
      <c r="B713" s="38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 customHeight="1">
      <c r="B714" s="1311" t="s">
        <v>1547</v>
      </c>
      <c r="C714" s="1312"/>
      <c r="D714" s="1312"/>
      <c r="E714" s="1312"/>
      <c r="F714" s="1313"/>
      <c r="G714" s="1311" t="s">
        <v>1548</v>
      </c>
      <c r="H714" s="1312"/>
      <c r="I714" s="1312"/>
      <c r="J714" s="1313"/>
      <c r="K714" s="1468" t="s">
        <v>1549</v>
      </c>
      <c r="L714" s="1469"/>
      <c r="M714" s="1469"/>
      <c r="N714" s="1470"/>
      <c r="O714" s="1311" t="s">
        <v>1550</v>
      </c>
      <c r="P714" s="1312"/>
      <c r="Q714" s="1312"/>
      <c r="R714" s="1312"/>
      <c r="S714" s="1313"/>
      <c r="T714" s="1311" t="s">
        <v>1551</v>
      </c>
      <c r="U714" s="1312"/>
      <c r="V714" s="1312"/>
      <c r="W714" s="1313"/>
      <c r="X714" s="1311" t="s">
        <v>1552</v>
      </c>
      <c r="Y714" s="1312"/>
      <c r="Z714" s="1312"/>
      <c r="AA714" s="1312"/>
      <c r="AB714" s="1313"/>
      <c r="AC714" s="1311" t="s">
        <v>1553</v>
      </c>
      <c r="AD714" s="1312"/>
      <c r="AE714" s="1312"/>
      <c r="AF714" s="1312"/>
      <c r="AG714" s="1313"/>
      <c r="AH714" s="1311" t="s">
        <v>1554</v>
      </c>
      <c r="AI714" s="1312"/>
      <c r="AJ714" s="1313"/>
      <c r="AK714" s="1311" t="s">
        <v>1555</v>
      </c>
      <c r="AL714" s="1312"/>
      <c r="AM714" s="1312"/>
      <c r="AN714" s="1312"/>
      <c r="AO714" s="1313"/>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 customHeight="1">
      <c r="B715" s="1314"/>
      <c r="C715" s="1315"/>
      <c r="D715" s="1315"/>
      <c r="E715" s="1315"/>
      <c r="F715" s="1316"/>
      <c r="G715" s="1314"/>
      <c r="H715" s="1315"/>
      <c r="I715" s="1315"/>
      <c r="J715" s="1316"/>
      <c r="K715" s="1471"/>
      <c r="L715" s="1472"/>
      <c r="M715" s="1472"/>
      <c r="N715" s="1473"/>
      <c r="O715" s="1314"/>
      <c r="P715" s="1315"/>
      <c r="Q715" s="1315"/>
      <c r="R715" s="1315"/>
      <c r="S715" s="1316"/>
      <c r="T715" s="1314"/>
      <c r="U715" s="1315"/>
      <c r="V715" s="1315"/>
      <c r="W715" s="1316"/>
      <c r="X715" s="1314"/>
      <c r="Y715" s="1315"/>
      <c r="Z715" s="1315"/>
      <c r="AA715" s="1315"/>
      <c r="AB715" s="1316"/>
      <c r="AC715" s="1314"/>
      <c r="AD715" s="1315"/>
      <c r="AE715" s="1315"/>
      <c r="AF715" s="1315"/>
      <c r="AG715" s="1316"/>
      <c r="AH715" s="1314"/>
      <c r="AI715" s="1315"/>
      <c r="AJ715" s="1316"/>
      <c r="AK715" s="1314"/>
      <c r="AL715" s="1315"/>
      <c r="AM715" s="1315"/>
      <c r="AN715" s="1315"/>
      <c r="AO715" s="1316"/>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 customHeight="1">
      <c r="A716" s="2"/>
      <c r="B716" s="1314"/>
      <c r="C716" s="1315"/>
      <c r="D716" s="1315"/>
      <c r="E716" s="1315"/>
      <c r="F716" s="1316"/>
      <c r="G716" s="1314"/>
      <c r="H716" s="1315"/>
      <c r="I716" s="1315"/>
      <c r="J716" s="1316"/>
      <c r="K716" s="1471"/>
      <c r="L716" s="1472"/>
      <c r="M716" s="1472"/>
      <c r="N716" s="1473"/>
      <c r="O716" s="1314"/>
      <c r="P716" s="1315"/>
      <c r="Q716" s="1315"/>
      <c r="R716" s="1315"/>
      <c r="S716" s="1316"/>
      <c r="T716" s="1314"/>
      <c r="U716" s="1315"/>
      <c r="V716" s="1315"/>
      <c r="W716" s="1316"/>
      <c r="X716" s="1314"/>
      <c r="Y716" s="1315"/>
      <c r="Z716" s="1315"/>
      <c r="AA716" s="1315"/>
      <c r="AB716" s="1316"/>
      <c r="AC716" s="1314"/>
      <c r="AD716" s="1315"/>
      <c r="AE716" s="1315"/>
      <c r="AF716" s="1315"/>
      <c r="AG716" s="1316"/>
      <c r="AH716" s="1314"/>
      <c r="AI716" s="1315"/>
      <c r="AJ716" s="1316"/>
      <c r="AK716" s="1314"/>
      <c r="AL716" s="1315"/>
      <c r="AM716" s="1315"/>
      <c r="AN716" s="1315"/>
      <c r="AO716" s="1316"/>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 customHeight="1">
      <c r="A717" s="2"/>
      <c r="B717" s="1317"/>
      <c r="C717" s="1318"/>
      <c r="D717" s="1318"/>
      <c r="E717" s="1318"/>
      <c r="F717" s="1319"/>
      <c r="G717" s="1317"/>
      <c r="H717" s="1318"/>
      <c r="I717" s="1318"/>
      <c r="J717" s="1319"/>
      <c r="K717" s="1471"/>
      <c r="L717" s="1472"/>
      <c r="M717" s="1472"/>
      <c r="N717" s="1473"/>
      <c r="O717" s="1317"/>
      <c r="P717" s="1318"/>
      <c r="Q717" s="1318"/>
      <c r="R717" s="1318"/>
      <c r="S717" s="1319"/>
      <c r="T717" s="1317"/>
      <c r="U717" s="1318"/>
      <c r="V717" s="1318"/>
      <c r="W717" s="1319"/>
      <c r="X717" s="1317"/>
      <c r="Y717" s="1318"/>
      <c r="Z717" s="1318"/>
      <c r="AA717" s="1318"/>
      <c r="AB717" s="1319"/>
      <c r="AC717" s="1317"/>
      <c r="AD717" s="1318"/>
      <c r="AE717" s="1318"/>
      <c r="AF717" s="1318"/>
      <c r="AG717" s="1319"/>
      <c r="AH717" s="1317"/>
      <c r="AI717" s="1318"/>
      <c r="AJ717" s="1319"/>
      <c r="AK717" s="1317"/>
      <c r="AL717" s="1318"/>
      <c r="AM717" s="1318"/>
      <c r="AN717" s="1318"/>
      <c r="AO717" s="1319"/>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 customHeight="1">
      <c r="A718" s="2"/>
      <c r="B718" s="1308" t="s">
        <v>1375</v>
      </c>
      <c r="C718" s="1309"/>
      <c r="D718" s="1309"/>
      <c r="E718" s="1309"/>
      <c r="F718" s="1310"/>
      <c r="G718" s="1335">
        <v>4</v>
      </c>
      <c r="H718" s="1336"/>
      <c r="I718" s="1336"/>
      <c r="J718" s="1337"/>
      <c r="K718" s="1332">
        <v>560</v>
      </c>
      <c r="L718" s="1333"/>
      <c r="M718" s="1333"/>
      <c r="N718" s="1334"/>
      <c r="O718" s="1320">
        <f ca="1">X718-T718</f>
        <v>2481.4</v>
      </c>
      <c r="P718" s="1321"/>
      <c r="Q718" s="1321"/>
      <c r="R718" s="1321"/>
      <c r="S718" s="1322"/>
      <c r="T718" s="1320">
        <v>89</v>
      </c>
      <c r="U718" s="1321"/>
      <c r="V718" s="1321"/>
      <c r="W718" s="1322"/>
      <c r="X718" s="1323">
        <f t="shared" ref="X718:X741" ca="1" si="59">O718+T718</f>
        <v>2570.4</v>
      </c>
      <c r="Y718" s="1324"/>
      <c r="Z718" s="1324"/>
      <c r="AA718" s="1324"/>
      <c r="AB718" s="1325"/>
      <c r="AC718" s="1329">
        <v>0.7</v>
      </c>
      <c r="AD718" s="1330"/>
      <c r="AE718" s="1330"/>
      <c r="AF718" s="1330"/>
      <c r="AG718" s="1331"/>
      <c r="AH718" s="1326">
        <f t="shared" ref="AH718:AH751" ca="1" si="60">IF($AC718&gt;0,($X718/$BA667), "")</f>
        <v>0.70000000000000007</v>
      </c>
      <c r="AI718" s="1327"/>
      <c r="AJ718" s="1328"/>
      <c r="AK718" s="1308" t="s">
        <v>299</v>
      </c>
      <c r="AL718" s="1309"/>
      <c r="AM718" s="1309"/>
      <c r="AN718" s="1309"/>
      <c r="AO718" s="1310"/>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 customHeight="1">
      <c r="A719" s="2"/>
      <c r="B719" s="1308" t="s">
        <v>1375</v>
      </c>
      <c r="C719" s="1309"/>
      <c r="D719" s="1309"/>
      <c r="E719" s="1309"/>
      <c r="F719" s="1310"/>
      <c r="G719" s="1335">
        <v>15</v>
      </c>
      <c r="H719" s="1336"/>
      <c r="I719" s="1336"/>
      <c r="J719" s="1337"/>
      <c r="K719" s="1332">
        <v>560</v>
      </c>
      <c r="L719" s="1333"/>
      <c r="M719" s="1333"/>
      <c r="N719" s="1334"/>
      <c r="O719" s="1320">
        <f t="shared" ref="O719:O725" ca="1" si="61">X719-T719</f>
        <v>1747</v>
      </c>
      <c r="P719" s="1321"/>
      <c r="Q719" s="1321"/>
      <c r="R719" s="1321"/>
      <c r="S719" s="1322"/>
      <c r="T719" s="1320">
        <v>89</v>
      </c>
      <c r="U719" s="1321"/>
      <c r="V719" s="1321"/>
      <c r="W719" s="1322"/>
      <c r="X719" s="1323">
        <f t="shared" ca="1" si="59"/>
        <v>1836</v>
      </c>
      <c r="Y719" s="1324"/>
      <c r="Z719" s="1324"/>
      <c r="AA719" s="1324"/>
      <c r="AB719" s="1325"/>
      <c r="AC719" s="1329">
        <v>0.5</v>
      </c>
      <c r="AD719" s="1330"/>
      <c r="AE719" s="1330"/>
      <c r="AF719" s="1330"/>
      <c r="AG719" s="1331"/>
      <c r="AH719" s="1326">
        <f t="shared" ca="1" si="60"/>
        <v>0.5</v>
      </c>
      <c r="AI719" s="1327"/>
      <c r="AJ719" s="1328"/>
      <c r="AK719" s="1308" t="s">
        <v>299</v>
      </c>
      <c r="AL719" s="1309"/>
      <c r="AM719" s="1309"/>
      <c r="AN719" s="1309"/>
      <c r="AO719" s="1310"/>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 customHeight="1">
      <c r="A720" s="2"/>
      <c r="B720" s="1308" t="s">
        <v>1375</v>
      </c>
      <c r="C720" s="1309"/>
      <c r="D720" s="1309"/>
      <c r="E720" s="1309"/>
      <c r="F720" s="1310"/>
      <c r="G720" s="1335">
        <v>11</v>
      </c>
      <c r="H720" s="1336"/>
      <c r="I720" s="1336"/>
      <c r="J720" s="1337"/>
      <c r="K720" s="1332">
        <v>560</v>
      </c>
      <c r="L720" s="1333"/>
      <c r="M720" s="1333"/>
      <c r="N720" s="1334"/>
      <c r="O720" s="1320">
        <f t="shared" ca="1" si="61"/>
        <v>278.2</v>
      </c>
      <c r="P720" s="1321"/>
      <c r="Q720" s="1321"/>
      <c r="R720" s="1321"/>
      <c r="S720" s="1322"/>
      <c r="T720" s="1320">
        <v>89</v>
      </c>
      <c r="U720" s="1321"/>
      <c r="V720" s="1321"/>
      <c r="W720" s="1322"/>
      <c r="X720" s="1323">
        <f t="shared" ca="1" si="59"/>
        <v>367.2</v>
      </c>
      <c r="Y720" s="1324"/>
      <c r="Z720" s="1324"/>
      <c r="AA720" s="1324"/>
      <c r="AB720" s="1325"/>
      <c r="AC720" s="1329">
        <v>0.3</v>
      </c>
      <c r="AD720" s="1330"/>
      <c r="AE720" s="1330"/>
      <c r="AF720" s="1330"/>
      <c r="AG720" s="1331"/>
      <c r="AH720" s="1326">
        <f t="shared" ca="1" si="60"/>
        <v>9.9999999999999992E-2</v>
      </c>
      <c r="AI720" s="1327"/>
      <c r="AJ720" s="1328"/>
      <c r="AK720" s="1308" t="s">
        <v>299</v>
      </c>
      <c r="AL720" s="1309"/>
      <c r="AM720" s="1309"/>
      <c r="AN720" s="1309"/>
      <c r="AO720" s="1310"/>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 customHeight="1">
      <c r="B721" s="1308" t="s">
        <v>1376</v>
      </c>
      <c r="C721" s="1309"/>
      <c r="D721" s="1309"/>
      <c r="E721" s="1309"/>
      <c r="F721" s="1310"/>
      <c r="G721" s="1335">
        <v>4</v>
      </c>
      <c r="H721" s="1336"/>
      <c r="I721" s="1336"/>
      <c r="J721" s="1337"/>
      <c r="K721" s="1332">
        <v>694</v>
      </c>
      <c r="L721" s="1333"/>
      <c r="M721" s="1333"/>
      <c r="N721" s="1334"/>
      <c r="O721" s="1320">
        <f t="shared" ca="1" si="61"/>
        <v>2959.2</v>
      </c>
      <c r="P721" s="1321"/>
      <c r="Q721" s="1321"/>
      <c r="R721" s="1321"/>
      <c r="S721" s="1322"/>
      <c r="T721" s="1320">
        <v>125</v>
      </c>
      <c r="U721" s="1321"/>
      <c r="V721" s="1321"/>
      <c r="W721" s="1322"/>
      <c r="X721" s="1323">
        <f t="shared" ca="1" si="59"/>
        <v>3084.2</v>
      </c>
      <c r="Y721" s="1324"/>
      <c r="Z721" s="1324"/>
      <c r="AA721" s="1324"/>
      <c r="AB721" s="1325"/>
      <c r="AC721" s="1329">
        <v>0.7</v>
      </c>
      <c r="AD721" s="1330"/>
      <c r="AE721" s="1330"/>
      <c r="AF721" s="1330"/>
      <c r="AG721" s="1331"/>
      <c r="AH721" s="1326">
        <f t="shared" ca="1" si="60"/>
        <v>0.7</v>
      </c>
      <c r="AI721" s="1327"/>
      <c r="AJ721" s="1328"/>
      <c r="AK721" s="1308" t="s">
        <v>299</v>
      </c>
      <c r="AL721" s="1309"/>
      <c r="AM721" s="1309"/>
      <c r="AN721" s="1309"/>
      <c r="AO721" s="1310"/>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 customHeight="1">
      <c r="B722" s="1308" t="s">
        <v>1376</v>
      </c>
      <c r="C722" s="1309"/>
      <c r="D722" s="1309"/>
      <c r="E722" s="1309"/>
      <c r="F722" s="1310"/>
      <c r="G722" s="1335">
        <v>11</v>
      </c>
      <c r="H722" s="1336"/>
      <c r="I722" s="1336"/>
      <c r="J722" s="1337"/>
      <c r="K722" s="1332">
        <v>694</v>
      </c>
      <c r="L722" s="1333"/>
      <c r="M722" s="1333"/>
      <c r="N722" s="1334"/>
      <c r="O722" s="1320">
        <f t="shared" ca="1" si="61"/>
        <v>2078</v>
      </c>
      <c r="P722" s="1321"/>
      <c r="Q722" s="1321"/>
      <c r="R722" s="1321"/>
      <c r="S722" s="1322"/>
      <c r="T722" s="1320">
        <v>125</v>
      </c>
      <c r="U722" s="1321"/>
      <c r="V722" s="1321"/>
      <c r="W722" s="1322"/>
      <c r="X722" s="1323">
        <f t="shared" ca="1" si="59"/>
        <v>2203</v>
      </c>
      <c r="Y722" s="1324"/>
      <c r="Z722" s="1324"/>
      <c r="AA722" s="1324"/>
      <c r="AB722" s="1325"/>
      <c r="AC722" s="1329">
        <v>0.5</v>
      </c>
      <c r="AD722" s="1330"/>
      <c r="AE722" s="1330"/>
      <c r="AF722" s="1330"/>
      <c r="AG722" s="1331"/>
      <c r="AH722" s="1326">
        <f t="shared" ca="1" si="60"/>
        <v>0.5</v>
      </c>
      <c r="AI722" s="1327"/>
      <c r="AJ722" s="1328"/>
      <c r="AK722" s="1308" t="s">
        <v>299</v>
      </c>
      <c r="AL722" s="1309"/>
      <c r="AM722" s="1309"/>
      <c r="AN722" s="1309"/>
      <c r="AO722" s="1310"/>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 customHeight="1">
      <c r="B723" s="1308" t="s">
        <v>1376</v>
      </c>
      <c r="C723" s="1309"/>
      <c r="D723" s="1309"/>
      <c r="E723" s="1309"/>
      <c r="F723" s="1310"/>
      <c r="G723" s="1335">
        <v>3</v>
      </c>
      <c r="H723" s="1336"/>
      <c r="I723" s="1336"/>
      <c r="J723" s="1337"/>
      <c r="K723" s="1332">
        <v>694</v>
      </c>
      <c r="L723" s="1333"/>
      <c r="M723" s="1333"/>
      <c r="N723" s="1334"/>
      <c r="O723" s="1320">
        <v>158</v>
      </c>
      <c r="P723" s="1321"/>
      <c r="Q723" s="1321"/>
      <c r="R723" s="1321"/>
      <c r="S723" s="1322"/>
      <c r="T723" s="1320">
        <v>125</v>
      </c>
      <c r="U723" s="1321"/>
      <c r="V723" s="1321"/>
      <c r="W723" s="1322"/>
      <c r="X723" s="1323">
        <f t="shared" si="59"/>
        <v>283</v>
      </c>
      <c r="Y723" s="1324"/>
      <c r="Z723" s="1324"/>
      <c r="AA723" s="1324"/>
      <c r="AB723" s="1325"/>
      <c r="AC723" s="1329">
        <v>0.3</v>
      </c>
      <c r="AD723" s="1330"/>
      <c r="AE723" s="1330"/>
      <c r="AF723" s="1330"/>
      <c r="AG723" s="1331"/>
      <c r="AH723" s="1326">
        <f t="shared" si="60"/>
        <v>6.4230594643667732E-2</v>
      </c>
      <c r="AI723" s="1327"/>
      <c r="AJ723" s="1328"/>
      <c r="AK723" s="1308" t="s">
        <v>299</v>
      </c>
      <c r="AL723" s="1309"/>
      <c r="AM723" s="1309"/>
      <c r="AN723" s="1309"/>
      <c r="AO723" s="1310"/>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 customHeight="1">
      <c r="B724" s="1308" t="s">
        <v>1377</v>
      </c>
      <c r="C724" s="1309"/>
      <c r="D724" s="1309"/>
      <c r="E724" s="1309"/>
      <c r="F724" s="1310"/>
      <c r="G724" s="1335">
        <v>4</v>
      </c>
      <c r="H724" s="1336"/>
      <c r="I724" s="1336"/>
      <c r="J724" s="1337"/>
      <c r="K724" s="1332">
        <v>982</v>
      </c>
      <c r="L724" s="1333"/>
      <c r="M724" s="1333"/>
      <c r="N724" s="1334"/>
      <c r="O724" s="1320">
        <f t="shared" ca="1" si="61"/>
        <v>3398</v>
      </c>
      <c r="P724" s="1321"/>
      <c r="Q724" s="1321"/>
      <c r="R724" s="1321"/>
      <c r="S724" s="1322"/>
      <c r="T724" s="1320">
        <v>165</v>
      </c>
      <c r="U724" s="1321"/>
      <c r="V724" s="1321"/>
      <c r="W724" s="1322"/>
      <c r="X724" s="1323">
        <f t="shared" ca="1" si="59"/>
        <v>3563</v>
      </c>
      <c r="Y724" s="1324"/>
      <c r="Z724" s="1324"/>
      <c r="AA724" s="1324"/>
      <c r="AB724" s="1325"/>
      <c r="AC724" s="1329">
        <v>0.7</v>
      </c>
      <c r="AD724" s="1330"/>
      <c r="AE724" s="1330"/>
      <c r="AF724" s="1330"/>
      <c r="AG724" s="1331"/>
      <c r="AH724" s="1326">
        <f t="shared" ca="1" si="60"/>
        <v>0.7</v>
      </c>
      <c r="AI724" s="1327"/>
      <c r="AJ724" s="1328"/>
      <c r="AK724" s="1308" t="s">
        <v>299</v>
      </c>
      <c r="AL724" s="1309"/>
      <c r="AM724" s="1309"/>
      <c r="AN724" s="1309"/>
      <c r="AO724" s="1310"/>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 customHeight="1">
      <c r="B725" s="1308" t="s">
        <v>1377</v>
      </c>
      <c r="C725" s="1309"/>
      <c r="D725" s="1309"/>
      <c r="E725" s="1309"/>
      <c r="F725" s="1310"/>
      <c r="G725" s="1335">
        <v>9</v>
      </c>
      <c r="H725" s="1336"/>
      <c r="I725" s="1336"/>
      <c r="J725" s="1337"/>
      <c r="K725" s="1332">
        <v>982</v>
      </c>
      <c r="L725" s="1333"/>
      <c r="M725" s="1333"/>
      <c r="N725" s="1334"/>
      <c r="O725" s="1320">
        <f t="shared" ca="1" si="61"/>
        <v>2380</v>
      </c>
      <c r="P725" s="1321"/>
      <c r="Q725" s="1321"/>
      <c r="R725" s="1321"/>
      <c r="S725" s="1322"/>
      <c r="T725" s="1320">
        <v>165</v>
      </c>
      <c r="U725" s="1321"/>
      <c r="V725" s="1321"/>
      <c r="W725" s="1322"/>
      <c r="X725" s="1323">
        <f t="shared" ca="1" si="59"/>
        <v>2545</v>
      </c>
      <c r="Y725" s="1324"/>
      <c r="Z725" s="1324"/>
      <c r="AA725" s="1324"/>
      <c r="AB725" s="1325"/>
      <c r="AC725" s="1329">
        <v>0.5</v>
      </c>
      <c r="AD725" s="1330"/>
      <c r="AE725" s="1330"/>
      <c r="AF725" s="1330"/>
      <c r="AG725" s="1331"/>
      <c r="AH725" s="1326">
        <f t="shared" ca="1" si="60"/>
        <v>0.5</v>
      </c>
      <c r="AI725" s="1327"/>
      <c r="AJ725" s="1328"/>
      <c r="AK725" s="1308" t="s">
        <v>299</v>
      </c>
      <c r="AL725" s="1309"/>
      <c r="AM725" s="1309"/>
      <c r="AN725" s="1309"/>
      <c r="AO725" s="1310"/>
      <c r="AP725" s="2"/>
      <c r="AQ725" s="2"/>
      <c r="AR725" s="2"/>
      <c r="AS725" s="2"/>
      <c r="AY725" s="784"/>
      <c r="AZ725" s="784"/>
      <c r="BA725" s="784"/>
      <c r="BB725" s="784"/>
      <c r="BC725" s="784"/>
      <c r="BD725" s="2"/>
      <c r="BE725" s="2"/>
      <c r="BF725" s="2"/>
      <c r="BK725" s="2"/>
      <c r="BL725" s="2"/>
      <c r="BM725" s="2"/>
      <c r="BN725" s="2"/>
      <c r="BO725" s="2"/>
      <c r="BP725" s="182"/>
      <c r="BQ725" s="114"/>
      <c r="BR725" s="1049"/>
      <c r="BS725" s="1049"/>
      <c r="BT725" s="1049"/>
      <c r="BU725" s="1049"/>
      <c r="BV725" s="104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 customHeight="1">
      <c r="B726" s="1308" t="s">
        <v>1377</v>
      </c>
      <c r="C726" s="1309"/>
      <c r="D726" s="1309"/>
      <c r="E726" s="1309"/>
      <c r="F726" s="1310"/>
      <c r="G726" s="1335">
        <v>3</v>
      </c>
      <c r="H726" s="1336"/>
      <c r="I726" s="1336"/>
      <c r="J726" s="1337"/>
      <c r="K726" s="1332">
        <v>982</v>
      </c>
      <c r="L726" s="1333"/>
      <c r="M726" s="1333"/>
      <c r="N726" s="1334"/>
      <c r="O726" s="1320">
        <v>171.8</v>
      </c>
      <c r="P726" s="1321"/>
      <c r="Q726" s="1321"/>
      <c r="R726" s="1321"/>
      <c r="S726" s="1322"/>
      <c r="T726" s="1320">
        <v>165</v>
      </c>
      <c r="U726" s="1321"/>
      <c r="V726" s="1321"/>
      <c r="W726" s="1322"/>
      <c r="X726" s="1323">
        <f t="shared" si="59"/>
        <v>336.8</v>
      </c>
      <c r="Y726" s="1324"/>
      <c r="Z726" s="1324"/>
      <c r="AA726" s="1324"/>
      <c r="AB726" s="1325"/>
      <c r="AC726" s="1329">
        <v>0.3</v>
      </c>
      <c r="AD726" s="1330"/>
      <c r="AE726" s="1330"/>
      <c r="AF726" s="1330"/>
      <c r="AG726" s="1331"/>
      <c r="AH726" s="1326">
        <f t="shared" si="60"/>
        <v>6.6168958742632622E-2</v>
      </c>
      <c r="AI726" s="1327"/>
      <c r="AJ726" s="1328"/>
      <c r="AK726" s="1308" t="s">
        <v>299</v>
      </c>
      <c r="AL726" s="1309"/>
      <c r="AM726" s="1309"/>
      <c r="AN726" s="1309"/>
      <c r="AO726" s="1310"/>
      <c r="AP726" s="2"/>
      <c r="AQ726" s="2"/>
      <c r="AR726" s="2"/>
      <c r="AS726" s="2"/>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 customHeight="1">
      <c r="A727" s="2"/>
      <c r="B727" s="1308"/>
      <c r="C727" s="1309"/>
      <c r="D727" s="1309"/>
      <c r="E727" s="1309"/>
      <c r="F727" s="1310"/>
      <c r="G727" s="1335"/>
      <c r="H727" s="1336"/>
      <c r="I727" s="1336"/>
      <c r="J727" s="1337"/>
      <c r="K727" s="1332"/>
      <c r="L727" s="1333"/>
      <c r="M727" s="1333"/>
      <c r="N727" s="1334"/>
      <c r="O727" s="1320"/>
      <c r="P727" s="1321"/>
      <c r="Q727" s="1321"/>
      <c r="R727" s="1321"/>
      <c r="S727" s="1322"/>
      <c r="T727" s="1320"/>
      <c r="U727" s="1321"/>
      <c r="V727" s="1321"/>
      <c r="W727" s="1322"/>
      <c r="X727" s="1323">
        <f t="shared" si="59"/>
        <v>0</v>
      </c>
      <c r="Y727" s="1324"/>
      <c r="Z727" s="1324"/>
      <c r="AA727" s="1324"/>
      <c r="AB727" s="1325"/>
      <c r="AC727" s="1329"/>
      <c r="AD727" s="1330"/>
      <c r="AE727" s="1330"/>
      <c r="AF727" s="1330"/>
      <c r="AG727" s="1331"/>
      <c r="AH727" s="1326" t="str">
        <f t="shared" si="60"/>
        <v/>
      </c>
      <c r="AI727" s="1327"/>
      <c r="AJ727" s="1328"/>
      <c r="AK727" s="1308" t="s">
        <v>299</v>
      </c>
      <c r="AL727" s="1309"/>
      <c r="AM727" s="1309"/>
      <c r="AN727" s="1309"/>
      <c r="AO727" s="1310"/>
      <c r="AP727" s="2"/>
      <c r="AQ727" s="2"/>
      <c r="AR727" s="2"/>
      <c r="AS727" s="2"/>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 customHeight="1">
      <c r="A728" s="2"/>
      <c r="B728" s="1308"/>
      <c r="C728" s="1309"/>
      <c r="D728" s="1309"/>
      <c r="E728" s="1309"/>
      <c r="F728" s="1310"/>
      <c r="G728" s="1335"/>
      <c r="H728" s="1336"/>
      <c r="I728" s="1336"/>
      <c r="J728" s="1337"/>
      <c r="K728" s="1332"/>
      <c r="L728" s="1333"/>
      <c r="M728" s="1333"/>
      <c r="N728" s="1334"/>
      <c r="O728" s="1320"/>
      <c r="P728" s="1321"/>
      <c r="Q728" s="1321"/>
      <c r="R728" s="1321"/>
      <c r="S728" s="1322"/>
      <c r="T728" s="1320"/>
      <c r="U728" s="1321"/>
      <c r="V728" s="1321"/>
      <c r="W728" s="1322"/>
      <c r="X728" s="1323">
        <f t="shared" si="59"/>
        <v>0</v>
      </c>
      <c r="Y728" s="1324"/>
      <c r="Z728" s="1324"/>
      <c r="AA728" s="1324"/>
      <c r="AB728" s="1325"/>
      <c r="AC728" s="1329"/>
      <c r="AD728" s="1330"/>
      <c r="AE728" s="1330"/>
      <c r="AF728" s="1330"/>
      <c r="AG728" s="1331"/>
      <c r="AH728" s="1326" t="str">
        <f t="shared" si="60"/>
        <v/>
      </c>
      <c r="AI728" s="1327"/>
      <c r="AJ728" s="1328"/>
      <c r="AK728" s="1308" t="s">
        <v>299</v>
      </c>
      <c r="AL728" s="1309"/>
      <c r="AM728" s="1309"/>
      <c r="AN728" s="1309"/>
      <c r="AO728" s="1310"/>
      <c r="AP728" s="2"/>
      <c r="AQ728" s="2"/>
      <c r="AR728" s="2"/>
      <c r="AS728" s="2"/>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 customHeight="1">
      <c r="A729" s="2"/>
      <c r="B729" s="1308"/>
      <c r="C729" s="1309"/>
      <c r="D729" s="1309"/>
      <c r="E729" s="1309"/>
      <c r="F729" s="1310"/>
      <c r="G729" s="1335"/>
      <c r="H729" s="1336"/>
      <c r="I729" s="1336"/>
      <c r="J729" s="1337"/>
      <c r="K729" s="1332"/>
      <c r="L729" s="1333"/>
      <c r="M729" s="1333"/>
      <c r="N729" s="1334"/>
      <c r="O729" s="1320"/>
      <c r="P729" s="1321"/>
      <c r="Q729" s="1321"/>
      <c r="R729" s="1321"/>
      <c r="S729" s="1322"/>
      <c r="T729" s="1320"/>
      <c r="U729" s="1321"/>
      <c r="V729" s="1321"/>
      <c r="W729" s="1322"/>
      <c r="X729" s="1323">
        <f t="shared" si="59"/>
        <v>0</v>
      </c>
      <c r="Y729" s="1324"/>
      <c r="Z729" s="1324"/>
      <c r="AA729" s="1324"/>
      <c r="AB729" s="1325"/>
      <c r="AC729" s="1329"/>
      <c r="AD729" s="1330"/>
      <c r="AE729" s="1330"/>
      <c r="AF729" s="1330"/>
      <c r="AG729" s="1331"/>
      <c r="AH729" s="1326" t="str">
        <f t="shared" si="60"/>
        <v/>
      </c>
      <c r="AI729" s="1327"/>
      <c r="AJ729" s="1328"/>
      <c r="AK729" s="1308" t="s">
        <v>299</v>
      </c>
      <c r="AL729" s="1309"/>
      <c r="AM729" s="1309"/>
      <c r="AN729" s="1309"/>
      <c r="AO729" s="1310"/>
      <c r="AP729" s="2"/>
      <c r="AQ729" s="2"/>
      <c r="AR729" s="2"/>
      <c r="AS729" s="2"/>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 customHeight="1">
      <c r="B730" s="1308"/>
      <c r="C730" s="1309"/>
      <c r="D730" s="1309"/>
      <c r="E730" s="1309"/>
      <c r="F730" s="1310"/>
      <c r="G730" s="1335"/>
      <c r="H730" s="1336"/>
      <c r="I730" s="1336"/>
      <c r="J730" s="1337"/>
      <c r="K730" s="1332"/>
      <c r="L730" s="1333"/>
      <c r="M730" s="1333"/>
      <c r="N730" s="1334"/>
      <c r="O730" s="1320"/>
      <c r="P730" s="1321"/>
      <c r="Q730" s="1321"/>
      <c r="R730" s="1321"/>
      <c r="S730" s="1322"/>
      <c r="T730" s="1320"/>
      <c r="U730" s="1321"/>
      <c r="V730" s="1321"/>
      <c r="W730" s="1322"/>
      <c r="X730" s="1323">
        <f t="shared" si="59"/>
        <v>0</v>
      </c>
      <c r="Y730" s="1324"/>
      <c r="Z730" s="1324"/>
      <c r="AA730" s="1324"/>
      <c r="AB730" s="1325"/>
      <c r="AC730" s="1329"/>
      <c r="AD730" s="1330"/>
      <c r="AE730" s="1330"/>
      <c r="AF730" s="1330"/>
      <c r="AG730" s="1331"/>
      <c r="AH730" s="1326" t="str">
        <f t="shared" si="60"/>
        <v/>
      </c>
      <c r="AI730" s="1327"/>
      <c r="AJ730" s="1328"/>
      <c r="AK730" s="1308" t="s">
        <v>299</v>
      </c>
      <c r="AL730" s="1309"/>
      <c r="AM730" s="1309"/>
      <c r="AN730" s="1309"/>
      <c r="AO730" s="1310"/>
      <c r="AP730" s="2"/>
      <c r="AQ730" s="2"/>
      <c r="AR730" s="2"/>
      <c r="AS730" s="2"/>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 customHeight="1">
      <c r="B731" s="1308"/>
      <c r="C731" s="1309"/>
      <c r="D731" s="1309"/>
      <c r="E731" s="1309"/>
      <c r="F731" s="1310"/>
      <c r="G731" s="1335"/>
      <c r="H731" s="1336"/>
      <c r="I731" s="1336"/>
      <c r="J731" s="1337"/>
      <c r="K731" s="1332"/>
      <c r="L731" s="1333"/>
      <c r="M731" s="1333"/>
      <c r="N731" s="1334"/>
      <c r="O731" s="1320"/>
      <c r="P731" s="1321"/>
      <c r="Q731" s="1321"/>
      <c r="R731" s="1321"/>
      <c r="S731" s="1322"/>
      <c r="T731" s="1320"/>
      <c r="U731" s="1321"/>
      <c r="V731" s="1321"/>
      <c r="W731" s="1322"/>
      <c r="X731" s="1323">
        <f t="shared" si="59"/>
        <v>0</v>
      </c>
      <c r="Y731" s="1324"/>
      <c r="Z731" s="1324"/>
      <c r="AA731" s="1324"/>
      <c r="AB731" s="1325"/>
      <c r="AC731" s="1329"/>
      <c r="AD731" s="1330"/>
      <c r="AE731" s="1330"/>
      <c r="AF731" s="1330"/>
      <c r="AG731" s="1331"/>
      <c r="AH731" s="1326" t="str">
        <f t="shared" si="60"/>
        <v/>
      </c>
      <c r="AI731" s="1327"/>
      <c r="AJ731" s="1328"/>
      <c r="AK731" s="1308" t="s">
        <v>299</v>
      </c>
      <c r="AL731" s="1309"/>
      <c r="AM731" s="1309"/>
      <c r="AN731" s="1309"/>
      <c r="AO731" s="1310"/>
      <c r="AP731" s="2"/>
      <c r="AQ731" s="2"/>
      <c r="AR731" s="2"/>
      <c r="AS731" s="2"/>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 customHeight="1">
      <c r="B732" s="1308"/>
      <c r="C732" s="1309"/>
      <c r="D732" s="1309"/>
      <c r="E732" s="1309"/>
      <c r="F732" s="1310"/>
      <c r="G732" s="1335"/>
      <c r="H732" s="1336"/>
      <c r="I732" s="1336"/>
      <c r="J732" s="1337"/>
      <c r="K732" s="1332"/>
      <c r="L732" s="1333"/>
      <c r="M732" s="1333"/>
      <c r="N732" s="1334"/>
      <c r="O732" s="1320"/>
      <c r="P732" s="1321"/>
      <c r="Q732" s="1321"/>
      <c r="R732" s="1321"/>
      <c r="S732" s="1322"/>
      <c r="T732" s="1320"/>
      <c r="U732" s="1321"/>
      <c r="V732" s="1321"/>
      <c r="W732" s="1322"/>
      <c r="X732" s="1323">
        <f t="shared" si="59"/>
        <v>0</v>
      </c>
      <c r="Y732" s="1324"/>
      <c r="Z732" s="1324"/>
      <c r="AA732" s="1324"/>
      <c r="AB732" s="1325"/>
      <c r="AC732" s="1329"/>
      <c r="AD732" s="1330"/>
      <c r="AE732" s="1330"/>
      <c r="AF732" s="1330"/>
      <c r="AG732" s="1331"/>
      <c r="AH732" s="1326" t="str">
        <f t="shared" si="60"/>
        <v/>
      </c>
      <c r="AI732" s="1327"/>
      <c r="AJ732" s="1328"/>
      <c r="AK732" s="1308" t="s">
        <v>299</v>
      </c>
      <c r="AL732" s="1309"/>
      <c r="AM732" s="1309"/>
      <c r="AN732" s="1309"/>
      <c r="AO732" s="1310"/>
      <c r="AP732" s="2"/>
      <c r="AQ732" s="2"/>
      <c r="AR732" s="2"/>
      <c r="AS732" s="2"/>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 customHeight="1">
      <c r="B733" s="1308"/>
      <c r="C733" s="1309"/>
      <c r="D733" s="1309"/>
      <c r="E733" s="1309"/>
      <c r="F733" s="1310"/>
      <c r="G733" s="1335"/>
      <c r="H733" s="1336"/>
      <c r="I733" s="1336"/>
      <c r="J733" s="1337"/>
      <c r="K733" s="1332"/>
      <c r="L733" s="1333"/>
      <c r="M733" s="1333"/>
      <c r="N733" s="1334"/>
      <c r="O733" s="1320"/>
      <c r="P733" s="1321"/>
      <c r="Q733" s="1321"/>
      <c r="R733" s="1321"/>
      <c r="S733" s="1322"/>
      <c r="T733" s="1320"/>
      <c r="U733" s="1321"/>
      <c r="V733" s="1321"/>
      <c r="W733" s="1322"/>
      <c r="X733" s="1323">
        <f t="shared" si="59"/>
        <v>0</v>
      </c>
      <c r="Y733" s="1324"/>
      <c r="Z733" s="1324"/>
      <c r="AA733" s="1324"/>
      <c r="AB733" s="1325"/>
      <c r="AC733" s="1329"/>
      <c r="AD733" s="1330"/>
      <c r="AE733" s="1330"/>
      <c r="AF733" s="1330"/>
      <c r="AG733" s="1331"/>
      <c r="AH733" s="1326" t="str">
        <f t="shared" si="60"/>
        <v/>
      </c>
      <c r="AI733" s="1327"/>
      <c r="AJ733" s="1328"/>
      <c r="AK733" s="1308" t="s">
        <v>299</v>
      </c>
      <c r="AL733" s="1309"/>
      <c r="AM733" s="1309"/>
      <c r="AN733" s="1309"/>
      <c r="AO733" s="1310"/>
      <c r="AP733" s="2"/>
      <c r="AQ733" s="2"/>
      <c r="AR733" s="2"/>
      <c r="AS733" s="2"/>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 customHeight="1">
      <c r="B734" s="1308"/>
      <c r="C734" s="1309"/>
      <c r="D734" s="1309"/>
      <c r="E734" s="1309"/>
      <c r="F734" s="1310"/>
      <c r="G734" s="1335"/>
      <c r="H734" s="1336"/>
      <c r="I734" s="1336"/>
      <c r="J734" s="1337"/>
      <c r="K734" s="1332"/>
      <c r="L734" s="1333"/>
      <c r="M734" s="1333"/>
      <c r="N734" s="1334"/>
      <c r="O734" s="1320"/>
      <c r="P734" s="1321"/>
      <c r="Q734" s="1321"/>
      <c r="R734" s="1321"/>
      <c r="S734" s="1322"/>
      <c r="T734" s="1320"/>
      <c r="U734" s="1321"/>
      <c r="V734" s="1321"/>
      <c r="W734" s="1322"/>
      <c r="X734" s="1323">
        <f t="shared" si="59"/>
        <v>0</v>
      </c>
      <c r="Y734" s="1324"/>
      <c r="Z734" s="1324"/>
      <c r="AA734" s="1324"/>
      <c r="AB734" s="1325"/>
      <c r="AC734" s="1329"/>
      <c r="AD734" s="1330"/>
      <c r="AE734" s="1330"/>
      <c r="AF734" s="1330"/>
      <c r="AG734" s="1331"/>
      <c r="AH734" s="1326" t="str">
        <f t="shared" si="60"/>
        <v/>
      </c>
      <c r="AI734" s="1327"/>
      <c r="AJ734" s="1328"/>
      <c r="AK734" s="1308" t="s">
        <v>299</v>
      </c>
      <c r="AL734" s="1309"/>
      <c r="AM734" s="1309"/>
      <c r="AN734" s="1309"/>
      <c r="AO734" s="1310"/>
      <c r="AP734" s="2"/>
      <c r="AQ734" s="2"/>
      <c r="AR734" s="2"/>
      <c r="AS734" s="2"/>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 customHeight="1">
      <c r="B735" s="1308"/>
      <c r="C735" s="1309"/>
      <c r="D735" s="1309"/>
      <c r="E735" s="1309"/>
      <c r="F735" s="1310"/>
      <c r="G735" s="1335"/>
      <c r="H735" s="1336"/>
      <c r="I735" s="1336"/>
      <c r="J735" s="1337"/>
      <c r="K735" s="1332"/>
      <c r="L735" s="1333"/>
      <c r="M735" s="1333"/>
      <c r="N735" s="1334"/>
      <c r="O735" s="1320"/>
      <c r="P735" s="1321"/>
      <c r="Q735" s="1321"/>
      <c r="R735" s="1321"/>
      <c r="S735" s="1322"/>
      <c r="T735" s="1320"/>
      <c r="U735" s="1321"/>
      <c r="V735" s="1321"/>
      <c r="W735" s="1322"/>
      <c r="X735" s="1323">
        <f t="shared" si="59"/>
        <v>0</v>
      </c>
      <c r="Y735" s="1324"/>
      <c r="Z735" s="1324"/>
      <c r="AA735" s="1324"/>
      <c r="AB735" s="1325"/>
      <c r="AC735" s="1329"/>
      <c r="AD735" s="1330"/>
      <c r="AE735" s="1330"/>
      <c r="AF735" s="1330"/>
      <c r="AG735" s="1331"/>
      <c r="AH735" s="1326" t="str">
        <f t="shared" si="60"/>
        <v/>
      </c>
      <c r="AI735" s="1327"/>
      <c r="AJ735" s="1328"/>
      <c r="AK735" s="1308" t="s">
        <v>299</v>
      </c>
      <c r="AL735" s="1309"/>
      <c r="AM735" s="1309"/>
      <c r="AN735" s="1309"/>
      <c r="AO735" s="1310"/>
      <c r="AP735" s="2"/>
      <c r="AQ735" s="2"/>
      <c r="AR735" s="2"/>
      <c r="AS735" s="2"/>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 customHeight="1">
      <c r="B736" s="1308"/>
      <c r="C736" s="1309"/>
      <c r="D736" s="1309"/>
      <c r="E736" s="1309"/>
      <c r="F736" s="1310"/>
      <c r="G736" s="1335"/>
      <c r="H736" s="1336"/>
      <c r="I736" s="1336"/>
      <c r="J736" s="1337"/>
      <c r="K736" s="1332"/>
      <c r="L736" s="1333"/>
      <c r="M736" s="1333"/>
      <c r="N736" s="1334"/>
      <c r="O736" s="1320"/>
      <c r="P736" s="1321"/>
      <c r="Q736" s="1321"/>
      <c r="R736" s="1321"/>
      <c r="S736" s="1322"/>
      <c r="T736" s="1320"/>
      <c r="U736" s="1321"/>
      <c r="V736" s="1321"/>
      <c r="W736" s="1322"/>
      <c r="X736" s="1323">
        <f t="shared" si="59"/>
        <v>0</v>
      </c>
      <c r="Y736" s="1324"/>
      <c r="Z736" s="1324"/>
      <c r="AA736" s="1324"/>
      <c r="AB736" s="1325"/>
      <c r="AC736" s="1329"/>
      <c r="AD736" s="1330"/>
      <c r="AE736" s="1330"/>
      <c r="AF736" s="1330"/>
      <c r="AG736" s="1331"/>
      <c r="AH736" s="1326" t="str">
        <f t="shared" si="60"/>
        <v/>
      </c>
      <c r="AI736" s="1327"/>
      <c r="AJ736" s="1328"/>
      <c r="AK736" s="1308" t="s">
        <v>299</v>
      </c>
      <c r="AL736" s="1309"/>
      <c r="AM736" s="1309"/>
      <c r="AN736" s="1309"/>
      <c r="AO736" s="1310"/>
      <c r="AP736" s="2"/>
      <c r="AQ736" s="2"/>
      <c r="AR736" s="2"/>
      <c r="AS736" s="2"/>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 customHeight="1">
      <c r="B737" s="1308"/>
      <c r="C737" s="1309"/>
      <c r="D737" s="1309"/>
      <c r="E737" s="1309"/>
      <c r="F737" s="1310"/>
      <c r="G737" s="1335"/>
      <c r="H737" s="1336"/>
      <c r="I737" s="1336"/>
      <c r="J737" s="1337"/>
      <c r="K737" s="1332"/>
      <c r="L737" s="1333"/>
      <c r="M737" s="1333"/>
      <c r="N737" s="1334"/>
      <c r="O737" s="1320"/>
      <c r="P737" s="1321"/>
      <c r="Q737" s="1321"/>
      <c r="R737" s="1321"/>
      <c r="S737" s="1322"/>
      <c r="T737" s="1320"/>
      <c r="U737" s="1321"/>
      <c r="V737" s="1321"/>
      <c r="W737" s="1322"/>
      <c r="X737" s="1323">
        <f t="shared" si="59"/>
        <v>0</v>
      </c>
      <c r="Y737" s="1324"/>
      <c r="Z737" s="1324"/>
      <c r="AA737" s="1324"/>
      <c r="AB737" s="1325"/>
      <c r="AC737" s="1329"/>
      <c r="AD737" s="1330"/>
      <c r="AE737" s="1330"/>
      <c r="AF737" s="1330"/>
      <c r="AG737" s="1331"/>
      <c r="AH737" s="1326" t="str">
        <f t="shared" si="60"/>
        <v/>
      </c>
      <c r="AI737" s="1327"/>
      <c r="AJ737" s="1328"/>
      <c r="AK737" s="1308" t="s">
        <v>299</v>
      </c>
      <c r="AL737" s="1309"/>
      <c r="AM737" s="1309"/>
      <c r="AN737" s="1309"/>
      <c r="AO737" s="1310"/>
      <c r="AP737" s="2"/>
      <c r="AQ737" s="2"/>
      <c r="AR737" s="2"/>
      <c r="AS737" s="2"/>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 customHeight="1">
      <c r="B738" s="1308"/>
      <c r="C738" s="1309"/>
      <c r="D738" s="1309"/>
      <c r="E738" s="1309"/>
      <c r="F738" s="1310"/>
      <c r="G738" s="1335"/>
      <c r="H738" s="1336"/>
      <c r="I738" s="1336"/>
      <c r="J738" s="1337"/>
      <c r="K738" s="1332"/>
      <c r="L738" s="1333"/>
      <c r="M738" s="1333"/>
      <c r="N738" s="1334"/>
      <c r="O738" s="1320"/>
      <c r="P738" s="1321"/>
      <c r="Q738" s="1321"/>
      <c r="R738" s="1321"/>
      <c r="S738" s="1322"/>
      <c r="T738" s="1320"/>
      <c r="U738" s="1321"/>
      <c r="V738" s="1321"/>
      <c r="W738" s="1322"/>
      <c r="X738" s="1323">
        <f t="shared" si="59"/>
        <v>0</v>
      </c>
      <c r="Y738" s="1324"/>
      <c r="Z738" s="1324"/>
      <c r="AA738" s="1324"/>
      <c r="AB738" s="1325"/>
      <c r="AC738" s="1329"/>
      <c r="AD738" s="1330"/>
      <c r="AE738" s="1330"/>
      <c r="AF738" s="1330"/>
      <c r="AG738" s="1331"/>
      <c r="AH738" s="1326" t="str">
        <f t="shared" si="60"/>
        <v/>
      </c>
      <c r="AI738" s="1327"/>
      <c r="AJ738" s="1328"/>
      <c r="AK738" s="1308" t="s">
        <v>299</v>
      </c>
      <c r="AL738" s="1309"/>
      <c r="AM738" s="1309"/>
      <c r="AN738" s="1309"/>
      <c r="AO738" s="1310"/>
      <c r="AP738" s="2"/>
      <c r="AQ738" s="2"/>
      <c r="AR738" s="2"/>
      <c r="AS738" s="2"/>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 customHeight="1">
      <c r="B739" s="1308"/>
      <c r="C739" s="1309"/>
      <c r="D739" s="1309"/>
      <c r="E739" s="1309"/>
      <c r="F739" s="1310"/>
      <c r="G739" s="1335"/>
      <c r="H739" s="1336"/>
      <c r="I739" s="1336"/>
      <c r="J739" s="1337"/>
      <c r="K739" s="1332"/>
      <c r="L739" s="1333"/>
      <c r="M739" s="1333"/>
      <c r="N739" s="1334"/>
      <c r="O739" s="1320"/>
      <c r="P739" s="1321"/>
      <c r="Q739" s="1321"/>
      <c r="R739" s="1321"/>
      <c r="S739" s="1322"/>
      <c r="T739" s="1320"/>
      <c r="U739" s="1321"/>
      <c r="V739" s="1321"/>
      <c r="W739" s="1322"/>
      <c r="X739" s="1323">
        <f t="shared" si="59"/>
        <v>0</v>
      </c>
      <c r="Y739" s="1324"/>
      <c r="Z739" s="1324"/>
      <c r="AA739" s="1324"/>
      <c r="AB739" s="1325"/>
      <c r="AC739" s="1329"/>
      <c r="AD739" s="1330"/>
      <c r="AE739" s="1330"/>
      <c r="AF739" s="1330"/>
      <c r="AG739" s="1331"/>
      <c r="AH739" s="1326" t="str">
        <f t="shared" si="60"/>
        <v/>
      </c>
      <c r="AI739" s="1327"/>
      <c r="AJ739" s="1328"/>
      <c r="AK739" s="1308" t="s">
        <v>299</v>
      </c>
      <c r="AL739" s="1309"/>
      <c r="AM739" s="1309"/>
      <c r="AN739" s="1309"/>
      <c r="AO739" s="1310"/>
      <c r="AP739" s="2"/>
      <c r="AQ739" s="2"/>
      <c r="AR739" s="2"/>
      <c r="AS739" s="2"/>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 customHeight="1">
      <c r="B740" s="1308"/>
      <c r="C740" s="1309"/>
      <c r="D740" s="1309"/>
      <c r="E740" s="1309"/>
      <c r="F740" s="1310"/>
      <c r="G740" s="1335"/>
      <c r="H740" s="1336"/>
      <c r="I740" s="1336"/>
      <c r="J740" s="1337"/>
      <c r="K740" s="1332"/>
      <c r="L740" s="1333"/>
      <c r="M740" s="1333"/>
      <c r="N740" s="1334"/>
      <c r="O740" s="1320"/>
      <c r="P740" s="1321"/>
      <c r="Q740" s="1321"/>
      <c r="R740" s="1321"/>
      <c r="S740" s="1322"/>
      <c r="T740" s="1320"/>
      <c r="U740" s="1321"/>
      <c r="V740" s="1321"/>
      <c r="W740" s="1322"/>
      <c r="X740" s="1323">
        <f t="shared" si="59"/>
        <v>0</v>
      </c>
      <c r="Y740" s="1324"/>
      <c r="Z740" s="1324"/>
      <c r="AA740" s="1324"/>
      <c r="AB740" s="1325"/>
      <c r="AC740" s="1329"/>
      <c r="AD740" s="1330"/>
      <c r="AE740" s="1330"/>
      <c r="AF740" s="1330"/>
      <c r="AG740" s="1331"/>
      <c r="AH740" s="1326" t="str">
        <f t="shared" si="60"/>
        <v/>
      </c>
      <c r="AI740" s="1327"/>
      <c r="AJ740" s="1328"/>
      <c r="AK740" s="1308" t="s">
        <v>299</v>
      </c>
      <c r="AL740" s="1309"/>
      <c r="AM740" s="1309"/>
      <c r="AN740" s="1309"/>
      <c r="AO740" s="1310"/>
      <c r="AP740" s="2"/>
      <c r="AQ740" s="2"/>
      <c r="AR740" s="2"/>
      <c r="AS740" s="2"/>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 customHeight="1">
      <c r="B741" s="1308"/>
      <c r="C741" s="1309"/>
      <c r="D741" s="1309"/>
      <c r="E741" s="1309"/>
      <c r="F741" s="1310"/>
      <c r="G741" s="1335"/>
      <c r="H741" s="1336"/>
      <c r="I741" s="1336"/>
      <c r="J741" s="1337"/>
      <c r="K741" s="1332"/>
      <c r="L741" s="1333"/>
      <c r="M741" s="1333"/>
      <c r="N741" s="1334"/>
      <c r="O741" s="1320"/>
      <c r="P741" s="1321"/>
      <c r="Q741" s="1321"/>
      <c r="R741" s="1321"/>
      <c r="S741" s="1322"/>
      <c r="T741" s="1320"/>
      <c r="U741" s="1321"/>
      <c r="V741" s="1321"/>
      <c r="W741" s="1322"/>
      <c r="X741" s="1323">
        <f t="shared" si="59"/>
        <v>0</v>
      </c>
      <c r="Y741" s="1324"/>
      <c r="Z741" s="1324"/>
      <c r="AA741" s="1324"/>
      <c r="AB741" s="1325"/>
      <c r="AC741" s="1329"/>
      <c r="AD741" s="1330"/>
      <c r="AE741" s="1330"/>
      <c r="AF741" s="1330"/>
      <c r="AG741" s="1331"/>
      <c r="AH741" s="1326" t="str">
        <f t="shared" si="60"/>
        <v/>
      </c>
      <c r="AI741" s="1327"/>
      <c r="AJ741" s="1328"/>
      <c r="AK741" s="1308" t="s">
        <v>299</v>
      </c>
      <c r="AL741" s="1309"/>
      <c r="AM741" s="1309"/>
      <c r="AN741" s="1309"/>
      <c r="AO741" s="1310"/>
      <c r="AP741" s="2"/>
      <c r="AQ741" s="2"/>
      <c r="AR741" s="2"/>
      <c r="AS741" s="2"/>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 customHeight="1">
      <c r="B742" s="1308"/>
      <c r="C742" s="1309"/>
      <c r="D742" s="1309"/>
      <c r="E742" s="1309"/>
      <c r="F742" s="1310"/>
      <c r="G742" s="1335"/>
      <c r="H742" s="1336"/>
      <c r="I742" s="1336"/>
      <c r="J742" s="1337"/>
      <c r="K742" s="1332"/>
      <c r="L742" s="1333"/>
      <c r="M742" s="1333"/>
      <c r="N742" s="1334"/>
      <c r="O742" s="1320"/>
      <c r="P742" s="1321"/>
      <c r="Q742" s="1321"/>
      <c r="R742" s="1321"/>
      <c r="S742" s="1322"/>
      <c r="T742" s="1320"/>
      <c r="U742" s="1321"/>
      <c r="V742" s="1321"/>
      <c r="W742" s="1322"/>
      <c r="X742" s="1323">
        <f t="shared" ref="X742:X751" si="62">O742+T742</f>
        <v>0</v>
      </c>
      <c r="Y742" s="1324"/>
      <c r="Z742" s="1324"/>
      <c r="AA742" s="1324"/>
      <c r="AB742" s="1325"/>
      <c r="AC742" s="1329"/>
      <c r="AD742" s="1330"/>
      <c r="AE742" s="1330"/>
      <c r="AF742" s="1330"/>
      <c r="AG742" s="1331"/>
      <c r="AH742" s="1326" t="str">
        <f t="shared" si="60"/>
        <v/>
      </c>
      <c r="AI742" s="1327"/>
      <c r="AJ742" s="1328"/>
      <c r="AK742" s="1308" t="s">
        <v>299</v>
      </c>
      <c r="AL742" s="1309"/>
      <c r="AM742" s="1309"/>
      <c r="AN742" s="1309"/>
      <c r="AO742" s="1310"/>
      <c r="AP742" s="2"/>
      <c r="AQ742" s="2"/>
      <c r="AR742" s="2"/>
      <c r="AS742" s="2"/>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 customHeight="1">
      <c r="A743"/>
      <c r="B743" s="1308"/>
      <c r="C743" s="1309"/>
      <c r="D743" s="1309"/>
      <c r="E743" s="1309"/>
      <c r="F743" s="1310"/>
      <c r="G743" s="1335"/>
      <c r="H743" s="1336"/>
      <c r="I743" s="1336"/>
      <c r="J743" s="1337"/>
      <c r="K743" s="1332"/>
      <c r="L743" s="1333"/>
      <c r="M743" s="1333"/>
      <c r="N743" s="1334"/>
      <c r="O743" s="1320"/>
      <c r="P743" s="1321"/>
      <c r="Q743" s="1321"/>
      <c r="R743" s="1321"/>
      <c r="S743" s="1322"/>
      <c r="T743" s="1320"/>
      <c r="U743" s="1321"/>
      <c r="V743" s="1321"/>
      <c r="W743" s="1322"/>
      <c r="X743" s="1323">
        <f t="shared" si="62"/>
        <v>0</v>
      </c>
      <c r="Y743" s="1324"/>
      <c r="Z743" s="1324"/>
      <c r="AA743" s="1324"/>
      <c r="AB743" s="1325"/>
      <c r="AC743" s="1329"/>
      <c r="AD743" s="1330"/>
      <c r="AE743" s="1330"/>
      <c r="AF743" s="1330"/>
      <c r="AG743" s="1331"/>
      <c r="AH743" s="1326" t="str">
        <f t="shared" si="60"/>
        <v/>
      </c>
      <c r="AI743" s="1327"/>
      <c r="AJ743" s="1328"/>
      <c r="AK743" s="1308" t="s">
        <v>299</v>
      </c>
      <c r="AL743" s="1309"/>
      <c r="AM743" s="1309"/>
      <c r="AN743" s="1309"/>
      <c r="AO743" s="1310"/>
      <c r="AT743"/>
      <c r="AU743"/>
      <c r="AV743"/>
      <c r="AW743"/>
      <c r="AX743"/>
      <c r="AY743" s="784"/>
      <c r="AZ743" s="784"/>
      <c r="BA743" s="784"/>
      <c r="BB743" s="784"/>
      <c r="BC743" s="78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8"/>
      <c r="C744" s="1309"/>
      <c r="D744" s="1309"/>
      <c r="E744" s="1309"/>
      <c r="F744" s="1310"/>
      <c r="G744" s="1335"/>
      <c r="H744" s="1336"/>
      <c r="I744" s="1336"/>
      <c r="J744" s="1337"/>
      <c r="K744" s="1332"/>
      <c r="L744" s="1333"/>
      <c r="M744" s="1333"/>
      <c r="N744" s="1334"/>
      <c r="O744" s="1320"/>
      <c r="P744" s="1321"/>
      <c r="Q744" s="1321"/>
      <c r="R744" s="1321"/>
      <c r="S744" s="1322"/>
      <c r="T744" s="1320"/>
      <c r="U744" s="1321"/>
      <c r="V744" s="1321"/>
      <c r="W744" s="1322"/>
      <c r="X744" s="1323">
        <f t="shared" si="62"/>
        <v>0</v>
      </c>
      <c r="Y744" s="1324"/>
      <c r="Z744" s="1324"/>
      <c r="AA744" s="1324"/>
      <c r="AB744" s="1325"/>
      <c r="AC744" s="1329"/>
      <c r="AD744" s="1330"/>
      <c r="AE744" s="1330"/>
      <c r="AF744" s="1330"/>
      <c r="AG744" s="1331"/>
      <c r="AH744" s="1326" t="str">
        <f t="shared" si="60"/>
        <v/>
      </c>
      <c r="AI744" s="1327"/>
      <c r="AJ744" s="1328"/>
      <c r="AK744" s="1308" t="s">
        <v>299</v>
      </c>
      <c r="AL744" s="1309"/>
      <c r="AM744" s="1309"/>
      <c r="AN744" s="1309"/>
      <c r="AO744" s="1310"/>
      <c r="AP744" s="2"/>
      <c r="AQ744" s="2"/>
      <c r="AR744" s="2"/>
      <c r="AS744" s="2"/>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 customHeight="1">
      <c r="B745" s="1308"/>
      <c r="C745" s="1309"/>
      <c r="D745" s="1309"/>
      <c r="E745" s="1309"/>
      <c r="F745" s="1310"/>
      <c r="G745" s="1335"/>
      <c r="H745" s="1336"/>
      <c r="I745" s="1336"/>
      <c r="J745" s="1337"/>
      <c r="K745" s="1332"/>
      <c r="L745" s="1333"/>
      <c r="M745" s="1333"/>
      <c r="N745" s="1334"/>
      <c r="O745" s="1320"/>
      <c r="P745" s="1321"/>
      <c r="Q745" s="1321"/>
      <c r="R745" s="1321"/>
      <c r="S745" s="1322"/>
      <c r="T745" s="1320"/>
      <c r="U745" s="1321"/>
      <c r="V745" s="1321"/>
      <c r="W745" s="1322"/>
      <c r="X745" s="1323">
        <f t="shared" si="62"/>
        <v>0</v>
      </c>
      <c r="Y745" s="1324"/>
      <c r="Z745" s="1324"/>
      <c r="AA745" s="1324"/>
      <c r="AB745" s="1325"/>
      <c r="AC745" s="1329"/>
      <c r="AD745" s="1330"/>
      <c r="AE745" s="1330"/>
      <c r="AF745" s="1330"/>
      <c r="AG745" s="1331"/>
      <c r="AH745" s="1326" t="str">
        <f t="shared" si="60"/>
        <v/>
      </c>
      <c r="AI745" s="1327"/>
      <c r="AJ745" s="1328"/>
      <c r="AK745" s="1308" t="s">
        <v>299</v>
      </c>
      <c r="AL745" s="1309"/>
      <c r="AM745" s="1309"/>
      <c r="AN745" s="1309"/>
      <c r="AO745" s="1310"/>
      <c r="AP745" s="2"/>
      <c r="AQ745" s="2"/>
      <c r="AR745" s="2"/>
      <c r="AS745" s="2"/>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 customHeight="1">
      <c r="B746" s="1308"/>
      <c r="C746" s="1309"/>
      <c r="D746" s="1309"/>
      <c r="E746" s="1309"/>
      <c r="F746" s="1310"/>
      <c r="G746" s="1335"/>
      <c r="H746" s="1336"/>
      <c r="I746" s="1336"/>
      <c r="J746" s="1337"/>
      <c r="K746" s="1332"/>
      <c r="L746" s="1333"/>
      <c r="M746" s="1333"/>
      <c r="N746" s="1334"/>
      <c r="O746" s="1320"/>
      <c r="P746" s="1321"/>
      <c r="Q746" s="1321"/>
      <c r="R746" s="1321"/>
      <c r="S746" s="1322"/>
      <c r="T746" s="1320"/>
      <c r="U746" s="1321"/>
      <c r="V746" s="1321"/>
      <c r="W746" s="1322"/>
      <c r="X746" s="1323">
        <f t="shared" si="62"/>
        <v>0</v>
      </c>
      <c r="Y746" s="1324"/>
      <c r="Z746" s="1324"/>
      <c r="AA746" s="1324"/>
      <c r="AB746" s="1325"/>
      <c r="AC746" s="1329"/>
      <c r="AD746" s="1330"/>
      <c r="AE746" s="1330"/>
      <c r="AF746" s="1330"/>
      <c r="AG746" s="1331"/>
      <c r="AH746" s="1326" t="str">
        <f t="shared" si="60"/>
        <v/>
      </c>
      <c r="AI746" s="1327"/>
      <c r="AJ746" s="1328"/>
      <c r="AK746" s="1308" t="s">
        <v>299</v>
      </c>
      <c r="AL746" s="1309"/>
      <c r="AM746" s="1309"/>
      <c r="AN746" s="1309"/>
      <c r="AO746" s="1310"/>
      <c r="AP746" s="2"/>
      <c r="AQ746" s="2"/>
      <c r="AR746" s="2"/>
      <c r="AS746" s="2"/>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3" customHeight="1">
      <c r="B747" s="1308"/>
      <c r="C747" s="1309"/>
      <c r="D747" s="1309"/>
      <c r="E747" s="1309"/>
      <c r="F747" s="1310"/>
      <c r="G747" s="1335"/>
      <c r="H747" s="1336"/>
      <c r="I747" s="1336"/>
      <c r="J747" s="1337"/>
      <c r="K747" s="1332"/>
      <c r="L747" s="1333"/>
      <c r="M747" s="1333"/>
      <c r="N747" s="1334"/>
      <c r="O747" s="1320"/>
      <c r="P747" s="1321"/>
      <c r="Q747" s="1321"/>
      <c r="R747" s="1321"/>
      <c r="S747" s="1322"/>
      <c r="T747" s="1320"/>
      <c r="U747" s="1321"/>
      <c r="V747" s="1321"/>
      <c r="W747" s="1322"/>
      <c r="X747" s="1323">
        <f t="shared" si="62"/>
        <v>0</v>
      </c>
      <c r="Y747" s="1324"/>
      <c r="Z747" s="1324"/>
      <c r="AA747" s="1324"/>
      <c r="AB747" s="1325"/>
      <c r="AC747" s="1329"/>
      <c r="AD747" s="1330"/>
      <c r="AE747" s="1330"/>
      <c r="AF747" s="1330"/>
      <c r="AG747" s="1331"/>
      <c r="AH747" s="1326" t="str">
        <f t="shared" si="60"/>
        <v/>
      </c>
      <c r="AI747" s="1327"/>
      <c r="AJ747" s="1328"/>
      <c r="AK747" s="1308" t="s">
        <v>299</v>
      </c>
      <c r="AL747" s="1309"/>
      <c r="AM747" s="1309"/>
      <c r="AN747" s="1309"/>
      <c r="AO747" s="1310"/>
      <c r="AP747" s="2"/>
      <c r="AQ747" s="2"/>
      <c r="AR747" s="2"/>
      <c r="AS747" s="2"/>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 customHeight="1">
      <c r="A748"/>
      <c r="B748" s="1308"/>
      <c r="C748" s="1309"/>
      <c r="D748" s="1309"/>
      <c r="E748" s="1309"/>
      <c r="F748" s="1310"/>
      <c r="G748" s="1335"/>
      <c r="H748" s="1336"/>
      <c r="I748" s="1336"/>
      <c r="J748" s="1337"/>
      <c r="K748" s="1332"/>
      <c r="L748" s="1333"/>
      <c r="M748" s="1333"/>
      <c r="N748" s="1334"/>
      <c r="O748" s="1320"/>
      <c r="P748" s="1321"/>
      <c r="Q748" s="1321"/>
      <c r="R748" s="1321"/>
      <c r="S748" s="1322"/>
      <c r="T748" s="1320"/>
      <c r="U748" s="1321"/>
      <c r="V748" s="1321"/>
      <c r="W748" s="1322"/>
      <c r="X748" s="1323">
        <f t="shared" si="62"/>
        <v>0</v>
      </c>
      <c r="Y748" s="1324"/>
      <c r="Z748" s="1324"/>
      <c r="AA748" s="1324"/>
      <c r="AB748" s="1325"/>
      <c r="AC748" s="1329"/>
      <c r="AD748" s="1330"/>
      <c r="AE748" s="1330"/>
      <c r="AF748" s="1330"/>
      <c r="AG748" s="1331"/>
      <c r="AH748" s="1326" t="str">
        <f t="shared" si="60"/>
        <v/>
      </c>
      <c r="AI748" s="1327"/>
      <c r="AJ748" s="1328"/>
      <c r="AK748" s="1308" t="s">
        <v>299</v>
      </c>
      <c r="AL748" s="1309"/>
      <c r="AM748" s="1309"/>
      <c r="AN748" s="1309"/>
      <c r="AO748" s="1310"/>
      <c r="AT748"/>
      <c r="AU748"/>
      <c r="AV748"/>
      <c r="AW748"/>
      <c r="AX748"/>
      <c r="AY748" s="784"/>
      <c r="AZ748" s="784"/>
      <c r="BA748" s="784"/>
      <c r="BB748" s="784"/>
      <c r="BC748" s="78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 customHeight="1">
      <c r="A749"/>
      <c r="B749" s="1308"/>
      <c r="C749" s="1309"/>
      <c r="D749" s="1309"/>
      <c r="E749" s="1309"/>
      <c r="F749" s="1310"/>
      <c r="G749" s="1335"/>
      <c r="H749" s="1336"/>
      <c r="I749" s="1336"/>
      <c r="J749" s="1337"/>
      <c r="K749" s="1332"/>
      <c r="L749" s="1333"/>
      <c r="M749" s="1333"/>
      <c r="N749" s="1334"/>
      <c r="O749" s="1320"/>
      <c r="P749" s="1321"/>
      <c r="Q749" s="1321"/>
      <c r="R749" s="1321"/>
      <c r="S749" s="1322"/>
      <c r="T749" s="1320"/>
      <c r="U749" s="1321"/>
      <c r="V749" s="1321"/>
      <c r="W749" s="1322"/>
      <c r="X749" s="1323">
        <f t="shared" si="62"/>
        <v>0</v>
      </c>
      <c r="Y749" s="1324"/>
      <c r="Z749" s="1324"/>
      <c r="AA749" s="1324"/>
      <c r="AB749" s="1325"/>
      <c r="AC749" s="1329"/>
      <c r="AD749" s="1330"/>
      <c r="AE749" s="1330"/>
      <c r="AF749" s="1330"/>
      <c r="AG749" s="1331"/>
      <c r="AH749" s="1326" t="str">
        <f t="shared" si="60"/>
        <v/>
      </c>
      <c r="AI749" s="1327"/>
      <c r="AJ749" s="1328"/>
      <c r="AK749" s="1308" t="s">
        <v>299</v>
      </c>
      <c r="AL749" s="1309"/>
      <c r="AM749" s="1309"/>
      <c r="AN749" s="1309"/>
      <c r="AO749" s="1310"/>
      <c r="AT749"/>
      <c r="AU749"/>
      <c r="AV749"/>
      <c r="AW749"/>
      <c r="AX749"/>
      <c r="AY749" s="784"/>
      <c r="AZ749" s="784"/>
      <c r="BA749" s="784"/>
      <c r="BB749" s="784"/>
      <c r="BC749" s="78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 customHeight="1">
      <c r="A750"/>
      <c r="B750" s="1308"/>
      <c r="C750" s="1309"/>
      <c r="D750" s="1309"/>
      <c r="E750" s="1309"/>
      <c r="F750" s="1310"/>
      <c r="G750" s="1335"/>
      <c r="H750" s="1336"/>
      <c r="I750" s="1336"/>
      <c r="J750" s="1337"/>
      <c r="K750" s="1332"/>
      <c r="L750" s="1333"/>
      <c r="M750" s="1333"/>
      <c r="N750" s="1334"/>
      <c r="O750" s="1320"/>
      <c r="P750" s="1321"/>
      <c r="Q750" s="1321"/>
      <c r="R750" s="1321"/>
      <c r="S750" s="1322"/>
      <c r="T750" s="1320"/>
      <c r="U750" s="1321"/>
      <c r="V750" s="1321"/>
      <c r="W750" s="1322"/>
      <c r="X750" s="1323">
        <f t="shared" si="62"/>
        <v>0</v>
      </c>
      <c r="Y750" s="1324"/>
      <c r="Z750" s="1324"/>
      <c r="AA750" s="1324"/>
      <c r="AB750" s="1325"/>
      <c r="AC750" s="1329"/>
      <c r="AD750" s="1330"/>
      <c r="AE750" s="1330"/>
      <c r="AF750" s="1330"/>
      <c r="AG750" s="1331"/>
      <c r="AH750" s="1326" t="str">
        <f t="shared" si="60"/>
        <v/>
      </c>
      <c r="AI750" s="1327"/>
      <c r="AJ750" s="1328"/>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 customHeight="1">
      <c r="A751"/>
      <c r="B751" s="1308"/>
      <c r="C751" s="1309"/>
      <c r="D751" s="1309"/>
      <c r="E751" s="1309"/>
      <c r="F751" s="1310"/>
      <c r="G751" s="1335"/>
      <c r="H751" s="1336"/>
      <c r="I751" s="1336"/>
      <c r="J751" s="1337"/>
      <c r="K751" s="1332"/>
      <c r="L751" s="1333"/>
      <c r="M751" s="1333"/>
      <c r="N751" s="1334"/>
      <c r="O751" s="1320"/>
      <c r="P751" s="1321"/>
      <c r="Q751" s="1321"/>
      <c r="R751" s="1321"/>
      <c r="S751" s="1322"/>
      <c r="T751" s="1320"/>
      <c r="U751" s="1321"/>
      <c r="V751" s="1321"/>
      <c r="W751" s="1322"/>
      <c r="X751" s="1323">
        <f t="shared" si="62"/>
        <v>0</v>
      </c>
      <c r="Y751" s="1324"/>
      <c r="Z751" s="1324"/>
      <c r="AA751" s="1324"/>
      <c r="AB751" s="1325"/>
      <c r="AC751" s="1329"/>
      <c r="AD751" s="1330"/>
      <c r="AE751" s="1330"/>
      <c r="AF751" s="1330"/>
      <c r="AG751" s="1331"/>
      <c r="AH751" s="1326" t="str">
        <f t="shared" si="60"/>
        <v/>
      </c>
      <c r="AI751" s="1327"/>
      <c r="AJ751" s="1328"/>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 customHeight="1">
      <c r="A752"/>
      <c r="B752" s="1308"/>
      <c r="C752" s="1309"/>
      <c r="D752" s="1309"/>
      <c r="E752" s="1309"/>
      <c r="F752" s="1310"/>
      <c r="G752" s="1335"/>
      <c r="H752" s="1336"/>
      <c r="I752" s="1336"/>
      <c r="J752" s="1337"/>
      <c r="K752" s="1332"/>
      <c r="L752" s="1333"/>
      <c r="M752" s="1333"/>
      <c r="N752" s="1334"/>
      <c r="O752" s="1320"/>
      <c r="P752" s="1321"/>
      <c r="Q752" s="1321"/>
      <c r="R752" s="1321"/>
      <c r="S752" s="1322"/>
      <c r="T752" s="1320"/>
      <c r="U752" s="1321"/>
      <c r="V752" s="1321"/>
      <c r="W752" s="1322"/>
      <c r="X752" s="1323">
        <f>O752+T752</f>
        <v>0</v>
      </c>
      <c r="Y752" s="1324"/>
      <c r="Z752" s="1324"/>
      <c r="AA752" s="1324"/>
      <c r="AB752" s="1325"/>
      <c r="AC752" s="1329"/>
      <c r="AD752" s="1330"/>
      <c r="AE752" s="1330"/>
      <c r="AF752" s="1330"/>
      <c r="AG752" s="1331"/>
      <c r="AH752" s="1326" t="str">
        <f>IF($AC752&gt;0,($X752/$BA701), "")</f>
        <v/>
      </c>
      <c r="AI752" s="1327"/>
      <c r="AJ752" s="1328"/>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 customHeight="1">
      <c r="A753"/>
      <c r="B753" s="1435" t="s">
        <v>1556</v>
      </c>
      <c r="C753" s="1436"/>
      <c r="D753" s="1436"/>
      <c r="E753" s="1436"/>
      <c r="F753" s="1438"/>
      <c r="G753" s="1547">
        <f>SUM(G718:G752)</f>
        <v>64</v>
      </c>
      <c r="H753" s="1548"/>
      <c r="I753" s="1548"/>
      <c r="J753" s="1549"/>
      <c r="K753" s="732" t="s">
        <v>1557</v>
      </c>
      <c r="L753" s="4"/>
      <c r="M753" s="4"/>
      <c r="N753" s="1156"/>
      <c r="O753" s="1323">
        <f ca="1">SUMPRODUCT(G718:G752,O718:O752)</f>
        <v>109886.99999999999</v>
      </c>
      <c r="P753" s="1324"/>
      <c r="Q753" s="1324"/>
      <c r="R753" s="1324"/>
      <c r="S753" s="1325"/>
      <c r="T753"/>
      <c r="U753"/>
      <c r="V753"/>
      <c r="W753"/>
      <c r="X753" s="734" t="s">
        <v>1558</v>
      </c>
      <c r="Y753" s="733"/>
      <c r="Z753" s="733"/>
      <c r="AA753" s="733"/>
      <c r="AB753" s="735"/>
      <c r="AC753" s="1654">
        <f>BI703</f>
        <v>0.484375</v>
      </c>
      <c r="AD753" s="1655"/>
      <c r="AE753" s="1655"/>
      <c r="AF753" s="1655"/>
      <c r="AG753" s="1656"/>
      <c r="AH753" s="1654">
        <f ca="1">IFERROR(BV703,"")</f>
        <v>0.42798747906498286</v>
      </c>
      <c r="AI753" s="1655"/>
      <c r="AJ753" s="1656"/>
      <c r="AK753"/>
      <c r="AL753"/>
      <c r="AM753"/>
      <c r="AN753"/>
      <c r="AO753"/>
      <c r="AP753" s="119"/>
      <c r="AQ753" s="119"/>
      <c r="AR753" s="119"/>
      <c r="AS753" s="1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 customHeight="1">
      <c r="A754"/>
      <c r="B754" s="1702" t="s">
        <v>1559</v>
      </c>
      <c r="C754" s="1702"/>
      <c r="D754" s="1702"/>
      <c r="E754" s="1702"/>
      <c r="F754" s="1702"/>
      <c r="G754" s="1702"/>
      <c r="H754" s="1702"/>
      <c r="I754" s="1702"/>
      <c r="J754" s="1702"/>
      <c r="K754" s="1702"/>
      <c r="L754" s="1702"/>
      <c r="M754" s="1702"/>
      <c r="N754" s="1702"/>
      <c r="O754" s="1702"/>
      <c r="P754" s="1702"/>
      <c r="Q754" s="1702"/>
      <c r="R754" s="1702"/>
      <c r="S754" s="1702"/>
      <c r="T754" s="1702"/>
      <c r="U754" s="1702"/>
      <c r="V754" s="1702"/>
      <c r="W754" s="1702"/>
      <c r="X754" s="1702"/>
      <c r="Y754" s="1702"/>
      <c r="Z754" s="1702"/>
      <c r="AA754" s="1702"/>
      <c r="AB754" s="1702"/>
      <c r="AC754" s="1702"/>
      <c r="AD754" s="1702"/>
      <c r="AE754" s="1702"/>
      <c r="AF754" s="1702"/>
      <c r="AG754" s="1702"/>
      <c r="AH754" s="170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02"/>
      <c r="C755" s="1702"/>
      <c r="D755" s="1702"/>
      <c r="E755" s="1702"/>
      <c r="F755" s="1702"/>
      <c r="G755" s="1702"/>
      <c r="H755" s="1702"/>
      <c r="I755" s="1702"/>
      <c r="J755" s="1702"/>
      <c r="K755" s="1702"/>
      <c r="L755" s="1702"/>
      <c r="M755" s="1702"/>
      <c r="N755" s="1702"/>
      <c r="O755" s="1702"/>
      <c r="P755" s="1702"/>
      <c r="Q755" s="1702"/>
      <c r="R755" s="1702"/>
      <c r="S755" s="1702"/>
      <c r="T755" s="1702"/>
      <c r="U755" s="1702"/>
      <c r="V755" s="1702"/>
      <c r="W755" s="1702"/>
      <c r="X755" s="1702"/>
      <c r="Y755" s="1702"/>
      <c r="Z755" s="1702"/>
      <c r="AA755" s="1702"/>
      <c r="AB755" s="1702"/>
      <c r="AC755" s="1702"/>
      <c r="AD755" s="1702"/>
      <c r="AE755" s="1702"/>
      <c r="AF755" s="1702"/>
      <c r="AG755" s="1702"/>
      <c r="AH755" s="1702"/>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 customHeight="1">
      <c r="A756" s="2"/>
      <c r="B756" s="2"/>
      <c r="C756" s="68" t="s">
        <v>1560</v>
      </c>
      <c r="D756" s="840"/>
      <c r="E756" s="840"/>
      <c r="F756" s="840"/>
      <c r="G756" s="841"/>
      <c r="H756" s="841"/>
      <c r="I756" s="841"/>
      <c r="J756" s="841"/>
      <c r="K756" s="840"/>
      <c r="L756" s="840"/>
      <c r="M756" s="840"/>
      <c r="N756" s="840"/>
      <c r="O756" s="1339">
        <f>CS634</f>
        <v>114</v>
      </c>
      <c r="P756" s="1339"/>
      <c r="Q756" s="1339"/>
      <c r="R756" s="1339"/>
      <c r="S756" s="791"/>
      <c r="T756" s="791"/>
      <c r="U756" s="68" t="s">
        <v>1561</v>
      </c>
      <c r="V756" s="840"/>
      <c r="W756" s="840"/>
      <c r="X756" s="840"/>
      <c r="Y756" s="841"/>
      <c r="Z756" s="841"/>
      <c r="AA756" s="841"/>
      <c r="AB756" s="841"/>
      <c r="AC756" s="840"/>
      <c r="AD756" s="840"/>
      <c r="AE756" s="840"/>
      <c r="AF756" s="840"/>
      <c r="AG756" s="1706"/>
      <c r="AH756" s="1706"/>
      <c r="AI756" s="1706"/>
      <c r="AJ756" s="1706"/>
      <c r="AK756" s="2"/>
      <c r="AL756" s="2"/>
      <c r="AM756" s="2"/>
      <c r="AN756" s="2"/>
      <c r="AO756" s="2"/>
      <c r="AP756" s="2"/>
      <c r="AQ756" s="2"/>
      <c r="AR756" s="2"/>
      <c r="AS756" s="2"/>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FB756" s="187"/>
      <c r="FC756" s="187"/>
    </row>
    <row r="757" spans="1:159" ht="13" customHeight="1">
      <c r="B757" s="1109"/>
      <c r="C757" s="1790" t="str">
        <f>IF(G753&lt;&gt;AG440,"! Total Low-Income Units in the Unit Mix Table above does not match the number of Total Low-Income Units on row #"&amp;TEXT(ROW(D440),"#"),"")</f>
        <v/>
      </c>
      <c r="D757" s="1790"/>
      <c r="E757" s="1790"/>
      <c r="F757" s="1790"/>
      <c r="G757" s="1790"/>
      <c r="H757" s="1790"/>
      <c r="I757" s="1790"/>
      <c r="J757" s="1790"/>
      <c r="K757" s="1790"/>
      <c r="L757" s="1790"/>
      <c r="M757" s="1790"/>
      <c r="N757" s="1790"/>
      <c r="O757" s="1790"/>
      <c r="P757" s="1790"/>
      <c r="Q757" s="1790"/>
      <c r="R757" s="1790"/>
      <c r="S757" s="1790"/>
      <c r="T757" s="1790"/>
      <c r="U757" s="1790"/>
      <c r="V757" s="1790"/>
      <c r="W757" s="1790"/>
      <c r="X757" s="1790"/>
      <c r="Y757" s="1790"/>
      <c r="Z757" s="1790"/>
      <c r="AA757" s="1790"/>
      <c r="AB757" s="1790"/>
      <c r="AC757" s="1790"/>
      <c r="AD757" s="1790"/>
      <c r="AE757" s="1790"/>
      <c r="AF757" s="1790"/>
      <c r="AG757" s="1790"/>
      <c r="AH757" s="1790"/>
      <c r="AI757" s="1790"/>
      <c r="AJ757" s="1790"/>
      <c r="AK757" s="1790"/>
      <c r="AL757" s="1790"/>
      <c r="AM757" s="1790"/>
      <c r="AP757" s="187"/>
      <c r="AQ757" s="187"/>
      <c r="AR757" s="187"/>
      <c r="AS757" s="187"/>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 customHeight="1">
      <c r="B758" s="1109"/>
      <c r="C758" s="1790"/>
      <c r="D758" s="1790"/>
      <c r="E758" s="1790"/>
      <c r="F758" s="1790"/>
      <c r="G758" s="1790"/>
      <c r="H758" s="1790"/>
      <c r="I758" s="1790"/>
      <c r="J758" s="1790"/>
      <c r="K758" s="1790"/>
      <c r="L758" s="1790"/>
      <c r="M758" s="1790"/>
      <c r="N758" s="1790"/>
      <c r="O758" s="1790"/>
      <c r="P758" s="1790"/>
      <c r="Q758" s="1790"/>
      <c r="R758" s="1790"/>
      <c r="S758" s="1790"/>
      <c r="T758" s="1790"/>
      <c r="U758" s="1790"/>
      <c r="V758" s="1790"/>
      <c r="W758" s="1790"/>
      <c r="X758" s="1790"/>
      <c r="Y758" s="1790"/>
      <c r="Z758" s="1790"/>
      <c r="AA758" s="1790"/>
      <c r="AB758" s="1790"/>
      <c r="AC758" s="1790"/>
      <c r="AD758" s="1790"/>
      <c r="AE758" s="1790"/>
      <c r="AF758" s="1790"/>
      <c r="AG758" s="1790"/>
      <c r="AH758" s="1790"/>
      <c r="AI758" s="1790"/>
      <c r="AJ758" s="1790"/>
      <c r="AK758" s="1790"/>
      <c r="AL758" s="1790"/>
      <c r="AM758" s="1790"/>
      <c r="AP758" s="187"/>
      <c r="AQ758" s="187"/>
      <c r="AR758" s="187"/>
      <c r="AS758" s="187"/>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 customHeight="1">
      <c r="B759" s="2"/>
      <c r="C759" s="68" t="s">
        <v>1562</v>
      </c>
      <c r="D759" s="842"/>
      <c r="E759" s="842"/>
      <c r="F759" s="842"/>
      <c r="G759" s="842"/>
      <c r="H759" s="842"/>
      <c r="I759" s="842"/>
      <c r="J759" s="842"/>
      <c r="K759" s="842"/>
      <c r="L759" s="842"/>
      <c r="M759" s="842"/>
      <c r="N759" s="842"/>
      <c r="O759" s="842"/>
      <c r="P759" s="842"/>
      <c r="Q759" s="842"/>
      <c r="R759" s="842"/>
      <c r="S759" s="842"/>
      <c r="T759" s="842"/>
      <c r="U759" s="842"/>
      <c r="V759" s="842"/>
      <c r="W759" s="842"/>
      <c r="X759" s="842"/>
      <c r="Y759" s="842"/>
      <c r="Z759" s="842"/>
      <c r="AA759" s="842"/>
      <c r="AB759" s="842"/>
      <c r="AC759" s="842"/>
      <c r="AD759" s="1657" t="s">
        <v>299</v>
      </c>
      <c r="AE759" s="1657"/>
      <c r="AF759" s="1657"/>
      <c r="AG759" s="842"/>
      <c r="AH759" s="842"/>
      <c r="AI759" s="842"/>
      <c r="AJ759" s="842"/>
      <c r="AK759" s="842"/>
      <c r="AL759" s="842"/>
      <c r="AM759" s="842"/>
      <c r="AN759" s="842"/>
      <c r="AO759" s="842"/>
      <c r="AP759" s="842"/>
      <c r="AQ759" s="842"/>
      <c r="AR759" s="84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 customHeight="1">
      <c r="C760" s="843" t="s">
        <v>1563</v>
      </c>
      <c r="D760" s="842"/>
      <c r="E760" s="842"/>
      <c r="F760" s="842"/>
      <c r="G760" s="842"/>
      <c r="H760" s="842"/>
      <c r="I760" s="842"/>
      <c r="J760" s="842"/>
      <c r="K760" s="842"/>
      <c r="L760" s="842"/>
      <c r="M760" s="842"/>
      <c r="N760" s="842"/>
      <c r="O760" s="842"/>
      <c r="P760" s="842"/>
      <c r="Q760" s="842"/>
      <c r="R760" s="842"/>
      <c r="S760" s="842"/>
      <c r="T760" s="842"/>
      <c r="U760" s="842"/>
      <c r="V760" s="842"/>
      <c r="W760" s="842"/>
      <c r="X760" s="842"/>
      <c r="Y760" s="842"/>
      <c r="Z760" s="842"/>
      <c r="AA760" s="842"/>
      <c r="AB760" s="842"/>
      <c r="AC760" s="842"/>
      <c r="AD760" s="842"/>
      <c r="AE760" s="842"/>
      <c r="AF760" s="842"/>
      <c r="AG760" s="842"/>
      <c r="AH760" s="842"/>
      <c r="AI760" s="842"/>
      <c r="AJ760" s="842"/>
      <c r="AK760" s="842"/>
      <c r="AL760" s="842"/>
      <c r="AM760" s="842"/>
      <c r="AN760" s="842"/>
      <c r="AO760" s="842"/>
      <c r="AP760" s="842"/>
      <c r="AQ760" s="842"/>
      <c r="AR760" s="84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 customHeight="1">
      <c r="A761" s="1" t="s">
        <v>961</v>
      </c>
      <c r="B761" s="38"/>
      <c r="C761" s="1109" t="s">
        <v>1564</v>
      </c>
      <c r="D761" s="38"/>
      <c r="E761" s="38"/>
      <c r="F761" s="38"/>
      <c r="G761" s="1141"/>
      <c r="H761" s="1141"/>
      <c r="I761" s="1141"/>
      <c r="J761" s="1141"/>
      <c r="K761" s="1141"/>
      <c r="L761" s="38"/>
      <c r="M761" s="38"/>
      <c r="N761" s="38"/>
      <c r="O761" s="38"/>
      <c r="P761" s="38"/>
      <c r="Q761" s="1141"/>
      <c r="R761" s="1141"/>
      <c r="S761" s="1141"/>
      <c r="T761" s="1141"/>
      <c r="U761" s="1141"/>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 customHeight="1">
      <c r="A762" s="2"/>
      <c r="B762" s="840"/>
      <c r="C762" s="68" t="s">
        <v>1565</v>
      </c>
      <c r="D762" s="840"/>
      <c r="E762" s="840"/>
      <c r="F762" s="840"/>
      <c r="G762" s="1141"/>
      <c r="H762" s="1141"/>
      <c r="I762" s="1141"/>
      <c r="J762" s="1141"/>
      <c r="K762" s="1141"/>
      <c r="L762" s="840"/>
      <c r="M762" s="840"/>
      <c r="N762" s="840"/>
      <c r="O762" s="840"/>
      <c r="P762" s="840"/>
      <c r="Q762" s="1141"/>
      <c r="R762" s="1141"/>
      <c r="S762" s="1141"/>
      <c r="T762" s="1141"/>
      <c r="U762" s="1141"/>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 customHeight="1">
      <c r="A763" s="2"/>
      <c r="B763" s="840"/>
      <c r="C763" s="1227" t="s">
        <v>1566</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 customHeight="1">
      <c r="A764" s="2"/>
      <c r="B764" s="840"/>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 customHeight="1">
      <c r="A765" s="2"/>
      <c r="B765" s="840"/>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 customHeight="1">
      <c r="A766" s="2"/>
      <c r="B766" s="840"/>
      <c r="C766" s="1227" t="s">
        <v>1567</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row>
    <row r="767" spans="1:159" ht="13" customHeight="1">
      <c r="A767" s="2"/>
      <c r="B767" s="840"/>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 customHeight="1">
      <c r="A768" s="2"/>
      <c r="B768" s="840"/>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 customHeight="1">
      <c r="J769" s="1311" t="s">
        <v>1547</v>
      </c>
      <c r="K769" s="1312"/>
      <c r="L769" s="1312"/>
      <c r="M769" s="1312"/>
      <c r="N769" s="1313"/>
      <c r="O769" s="1557" t="s">
        <v>1548</v>
      </c>
      <c r="P769" s="1557"/>
      <c r="Q769" s="1557"/>
      <c r="R769" s="1557"/>
      <c r="S769" s="1557"/>
      <c r="T769" s="1468" t="s">
        <v>1549</v>
      </c>
      <c r="U769" s="1469"/>
      <c r="V769" s="1469"/>
      <c r="W769" s="1470"/>
      <c r="X769" s="1311" t="s">
        <v>1550</v>
      </c>
      <c r="Y769" s="1312"/>
      <c r="Z769" s="1312"/>
      <c r="AA769" s="1312"/>
      <c r="AB769" s="1313"/>
      <c r="AC769" s="1311" t="s">
        <v>1568</v>
      </c>
      <c r="AD769" s="1312"/>
      <c r="AE769" s="1312"/>
      <c r="AF769" s="1312"/>
      <c r="AG769" s="1313"/>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 customHeight="1">
      <c r="J770" s="1314"/>
      <c r="K770" s="1315"/>
      <c r="L770" s="1315"/>
      <c r="M770" s="1315"/>
      <c r="N770" s="1316"/>
      <c r="O770" s="1557"/>
      <c r="P770" s="1557"/>
      <c r="Q770" s="1557"/>
      <c r="R770" s="1557"/>
      <c r="S770" s="1557"/>
      <c r="T770" s="1471"/>
      <c r="U770" s="1472"/>
      <c r="V770" s="1472"/>
      <c r="W770" s="1473"/>
      <c r="X770" s="1314"/>
      <c r="Y770" s="1315"/>
      <c r="Z770" s="1315"/>
      <c r="AA770" s="1315"/>
      <c r="AB770" s="1316"/>
      <c r="AC770" s="1314"/>
      <c r="AD770" s="1315"/>
      <c r="AE770" s="1315"/>
      <c r="AF770" s="1315"/>
      <c r="AG770" s="1316"/>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 customHeight="1">
      <c r="J771" s="1314"/>
      <c r="K771" s="1315"/>
      <c r="L771" s="1315"/>
      <c r="M771" s="1315"/>
      <c r="N771" s="1316"/>
      <c r="O771" s="1557"/>
      <c r="P771" s="1557"/>
      <c r="Q771" s="1557"/>
      <c r="R771" s="1557"/>
      <c r="S771" s="1557"/>
      <c r="T771" s="1471"/>
      <c r="U771" s="1472"/>
      <c r="V771" s="1472"/>
      <c r="W771" s="1473"/>
      <c r="X771" s="1314"/>
      <c r="Y771" s="1315"/>
      <c r="Z771" s="1315"/>
      <c r="AA771" s="1315"/>
      <c r="AB771" s="1316"/>
      <c r="AC771" s="1314"/>
      <c r="AD771" s="1315"/>
      <c r="AE771" s="1315"/>
      <c r="AF771" s="1315"/>
      <c r="AG771" s="1316"/>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 customHeight="1">
      <c r="J772" s="1317"/>
      <c r="K772" s="1318"/>
      <c r="L772" s="1318"/>
      <c r="M772" s="1318"/>
      <c r="N772" s="1319"/>
      <c r="O772" s="1557"/>
      <c r="P772" s="1557"/>
      <c r="Q772" s="1557"/>
      <c r="R772" s="1557"/>
      <c r="S772" s="1557"/>
      <c r="T772" s="1543"/>
      <c r="U772" s="1544"/>
      <c r="V772" s="1544"/>
      <c r="W772" s="1545"/>
      <c r="X772" s="1317"/>
      <c r="Y772" s="1318"/>
      <c r="Z772" s="1318"/>
      <c r="AA772" s="1318"/>
      <c r="AB772" s="1319"/>
      <c r="AC772" s="1317"/>
      <c r="AD772" s="1318"/>
      <c r="AE772" s="1318"/>
      <c r="AF772" s="1318"/>
      <c r="AG772" s="1319"/>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 customHeight="1">
      <c r="J773" s="1308" t="s">
        <v>1377</v>
      </c>
      <c r="K773" s="1309"/>
      <c r="L773" s="1309"/>
      <c r="M773" s="1309"/>
      <c r="N773" s="1310"/>
      <c r="O773" s="1430">
        <v>1</v>
      </c>
      <c r="P773" s="1430"/>
      <c r="Q773" s="1430"/>
      <c r="R773" s="1430"/>
      <c r="S773" s="1430"/>
      <c r="T773" s="1332">
        <v>982</v>
      </c>
      <c r="U773" s="1333"/>
      <c r="V773" s="1333"/>
      <c r="W773" s="1334"/>
      <c r="X773" s="1320"/>
      <c r="Y773" s="1321"/>
      <c r="Z773" s="1321"/>
      <c r="AA773" s="1321"/>
      <c r="AB773" s="1322"/>
      <c r="AC773" s="1323">
        <f>X773*O773</f>
        <v>0</v>
      </c>
      <c r="AD773" s="1324"/>
      <c r="AE773" s="1324"/>
      <c r="AF773" s="1324"/>
      <c r="AG773" s="1325"/>
      <c r="AH773" s="1050"/>
      <c r="AI773" s="69"/>
      <c r="AJ773" s="69"/>
      <c r="AK773" s="1050"/>
      <c r="AL773" s="105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 customHeight="1">
      <c r="J774" s="1308"/>
      <c r="K774" s="1309"/>
      <c r="L774" s="1309"/>
      <c r="M774" s="1309"/>
      <c r="N774" s="1310"/>
      <c r="O774" s="1430"/>
      <c r="P774" s="1430"/>
      <c r="Q774" s="1430"/>
      <c r="R774" s="1430"/>
      <c r="S774" s="1430"/>
      <c r="T774" s="1332"/>
      <c r="U774" s="1333"/>
      <c r="V774" s="1333"/>
      <c r="W774" s="1334"/>
      <c r="X774" s="1320"/>
      <c r="Y774" s="1321"/>
      <c r="Z774" s="1321"/>
      <c r="AA774" s="1321"/>
      <c r="AB774" s="1322"/>
      <c r="AC774" s="1323">
        <f>X774*O774</f>
        <v>0</v>
      </c>
      <c r="AD774" s="1324"/>
      <c r="AE774" s="1324"/>
      <c r="AF774" s="1324"/>
      <c r="AG774" s="1325"/>
      <c r="AH774" s="1050"/>
      <c r="AI774" s="1050"/>
      <c r="AJ774" s="1050"/>
      <c r="AK774" s="1050"/>
      <c r="AL774" s="105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 customHeight="1">
      <c r="J775" s="1308"/>
      <c r="K775" s="1309"/>
      <c r="L775" s="1309"/>
      <c r="M775" s="1309"/>
      <c r="N775" s="1310"/>
      <c r="O775" s="1430"/>
      <c r="P775" s="1430"/>
      <c r="Q775" s="1430"/>
      <c r="R775" s="1430"/>
      <c r="S775" s="1430"/>
      <c r="T775" s="1332"/>
      <c r="U775" s="1333"/>
      <c r="V775" s="1333"/>
      <c r="W775" s="1334"/>
      <c r="X775" s="1320"/>
      <c r="Y775" s="1321"/>
      <c r="Z775" s="1321"/>
      <c r="AA775" s="1321"/>
      <c r="AB775" s="1322"/>
      <c r="AC775" s="1323">
        <f>X775*O775</f>
        <v>0</v>
      </c>
      <c r="AD775" s="1324"/>
      <c r="AE775" s="1324"/>
      <c r="AF775" s="1324"/>
      <c r="AG775" s="1325"/>
      <c r="AH775" s="1050"/>
      <c r="AI775" s="1050"/>
      <c r="AJ775" s="1050"/>
      <c r="AK775" s="1050"/>
      <c r="AL775" s="105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 customHeight="1">
      <c r="J776" s="1308"/>
      <c r="K776" s="1309"/>
      <c r="L776" s="1309"/>
      <c r="M776" s="1309"/>
      <c r="N776" s="1310"/>
      <c r="O776" s="1430"/>
      <c r="P776" s="1430"/>
      <c r="Q776" s="1430"/>
      <c r="R776" s="1430"/>
      <c r="S776" s="1430"/>
      <c r="T776" s="1332"/>
      <c r="U776" s="1333"/>
      <c r="V776" s="1333"/>
      <c r="W776" s="1334"/>
      <c r="X776" s="1320"/>
      <c r="Y776" s="1321"/>
      <c r="Z776" s="1321"/>
      <c r="AA776" s="1321"/>
      <c r="AB776" s="1322"/>
      <c r="AC776" s="1323">
        <f>X776*O776</f>
        <v>0</v>
      </c>
      <c r="AD776" s="1324"/>
      <c r="AE776" s="1324"/>
      <c r="AF776" s="1324"/>
      <c r="AG776" s="1325"/>
      <c r="AH776" s="1050"/>
      <c r="AI776" s="1050"/>
      <c r="AJ776" s="1050"/>
      <c r="AK776" s="1050"/>
      <c r="AL776" s="105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 customHeight="1">
      <c r="J777" s="1435" t="s">
        <v>1556</v>
      </c>
      <c r="K777" s="1436"/>
      <c r="L777" s="1436"/>
      <c r="M777" s="1436"/>
      <c r="N777" s="1438"/>
      <c r="O777" s="1340">
        <f>SUM(O773:S776)</f>
        <v>1</v>
      </c>
      <c r="P777" s="1341"/>
      <c r="Q777" s="1341"/>
      <c r="R777" s="1341"/>
      <c r="S777" s="1342"/>
      <c r="X777" s="1435" t="s">
        <v>1557</v>
      </c>
      <c r="Y777" s="1436"/>
      <c r="Z777" s="1436"/>
      <c r="AA777" s="1436"/>
      <c r="AB777" s="1438"/>
      <c r="AC777" s="1323">
        <f>SUM(AC773:AG776)</f>
        <v>0</v>
      </c>
      <c r="AD777" s="1324"/>
      <c r="AE777" s="1324"/>
      <c r="AF777" s="1324"/>
      <c r="AG777" s="1325"/>
      <c r="AI777" s="1050"/>
      <c r="AJ777" s="105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 customHeight="1">
      <c r="J778" s="38"/>
      <c r="K778" s="38"/>
      <c r="L778" s="38"/>
      <c r="M778" s="38"/>
      <c r="N778" s="38"/>
      <c r="O778" s="1141"/>
      <c r="P778" s="1141"/>
      <c r="Q778" s="1141"/>
      <c r="R778" s="1141"/>
      <c r="S778" s="1141"/>
      <c r="T778" s="38"/>
      <c r="U778" s="38"/>
      <c r="V778" s="38"/>
      <c r="W778" s="38"/>
      <c r="X778" s="38"/>
      <c r="Y778" s="791"/>
      <c r="Z778" s="1117"/>
      <c r="AA778" s="1117"/>
      <c r="AB778" s="1117"/>
      <c r="AC778" s="1117"/>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 customHeight="1">
      <c r="B779" s="38"/>
      <c r="C779" s="38"/>
      <c r="D779" s="38"/>
      <c r="E779" s="38"/>
      <c r="F779" s="38"/>
      <c r="G779" s="1141"/>
      <c r="H779" s="1141"/>
      <c r="I779" s="1141"/>
      <c r="J779" s="1351" t="s">
        <v>893</v>
      </c>
      <c r="K779" s="1351"/>
      <c r="L779" s="38"/>
      <c r="M779" s="68" t="s">
        <v>1569</v>
      </c>
      <c r="N779" s="38"/>
      <c r="O779" s="38"/>
      <c r="P779" s="38"/>
      <c r="Q779" s="1141"/>
      <c r="R779" s="1141"/>
      <c r="S779" s="1141"/>
      <c r="T779" s="1141"/>
      <c r="U779" s="1141"/>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 customHeight="1">
      <c r="B780" s="38"/>
      <c r="C780" s="38"/>
      <c r="D780" s="38"/>
      <c r="E780" s="38"/>
      <c r="F780" s="38"/>
      <c r="G780" s="1141"/>
      <c r="H780" s="1141"/>
      <c r="I780" s="1141"/>
      <c r="J780" s="1141"/>
      <c r="K780" s="1141"/>
      <c r="L780" s="38"/>
      <c r="M780" s="68" t="s">
        <v>1570</v>
      </c>
      <c r="N780" s="38"/>
      <c r="O780" s="38"/>
      <c r="P780" s="38"/>
      <c r="Q780" s="1141"/>
      <c r="R780" s="1141"/>
      <c r="S780" s="1141"/>
      <c r="T780" s="1141"/>
      <c r="U780" s="1141"/>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 customHeight="1">
      <c r="A781" s="1" t="s">
        <v>1040</v>
      </c>
      <c r="B781" s="1109"/>
      <c r="C781" s="1109" t="s">
        <v>208</v>
      </c>
      <c r="D781" s="38"/>
      <c r="E781" s="38"/>
      <c r="F781" s="38"/>
      <c r="G781" s="1141"/>
      <c r="H781" s="1141"/>
      <c r="I781" s="1141"/>
      <c r="J781" s="1141"/>
      <c r="K781" s="1141"/>
      <c r="L781" s="38"/>
      <c r="M781" s="38"/>
      <c r="N781" s="38"/>
      <c r="O781" s="38"/>
      <c r="P781" s="38"/>
      <c r="Q781" s="1141"/>
      <c r="R781" s="1141"/>
      <c r="S781" s="1141"/>
      <c r="T781" s="1141"/>
      <c r="U781" s="1141"/>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 customHeight="1">
      <c r="B782" s="38"/>
      <c r="C782" s="38"/>
      <c r="D782" s="38"/>
      <c r="E782" s="38"/>
      <c r="F782" s="38"/>
      <c r="G782" s="1141"/>
      <c r="H782" s="1141"/>
      <c r="I782" s="1141"/>
      <c r="J782" s="383"/>
      <c r="K782" s="1141"/>
      <c r="L782" s="38"/>
      <c r="M782" s="38"/>
      <c r="N782" s="38"/>
      <c r="O782" s="38"/>
      <c r="P782" s="38"/>
      <c r="Q782" s="1141"/>
      <c r="R782" s="1141"/>
      <c r="S782" s="1141"/>
      <c r="T782" s="1141"/>
      <c r="U782" s="1141"/>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 customHeight="1">
      <c r="J783" s="1311" t="s">
        <v>1547</v>
      </c>
      <c r="K783" s="1312"/>
      <c r="L783" s="1312"/>
      <c r="M783" s="1312"/>
      <c r="N783" s="1313"/>
      <c r="O783" s="1557" t="s">
        <v>1548</v>
      </c>
      <c r="P783" s="1557"/>
      <c r="Q783" s="1557"/>
      <c r="R783" s="1557"/>
      <c r="S783" s="1557"/>
      <c r="T783" s="1468" t="s">
        <v>1549</v>
      </c>
      <c r="U783" s="1469"/>
      <c r="V783" s="1469"/>
      <c r="W783" s="1470"/>
      <c r="X783" s="1311" t="s">
        <v>1550</v>
      </c>
      <c r="Y783" s="1312"/>
      <c r="Z783" s="1312"/>
      <c r="AA783" s="1312"/>
      <c r="AB783" s="1313"/>
      <c r="AC783" s="1311" t="s">
        <v>1568</v>
      </c>
      <c r="AD783" s="1312"/>
      <c r="AE783" s="1312"/>
      <c r="AF783" s="1312"/>
      <c r="AG783" s="1313"/>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 customHeight="1">
      <c r="J784" s="1314"/>
      <c r="K784" s="1315"/>
      <c r="L784" s="1315"/>
      <c r="M784" s="1315"/>
      <c r="N784" s="1316"/>
      <c r="O784" s="1557"/>
      <c r="P784" s="1557"/>
      <c r="Q784" s="1557"/>
      <c r="R784" s="1557"/>
      <c r="S784" s="1557"/>
      <c r="T784" s="1471"/>
      <c r="U784" s="1472"/>
      <c r="V784" s="1472"/>
      <c r="W784" s="1473"/>
      <c r="X784" s="1314"/>
      <c r="Y784" s="1315"/>
      <c r="Z784" s="1315"/>
      <c r="AA784" s="1315"/>
      <c r="AB784" s="1316"/>
      <c r="AC784" s="1314"/>
      <c r="AD784" s="1315"/>
      <c r="AE784" s="1315"/>
      <c r="AF784" s="1315"/>
      <c r="AG784" s="1316"/>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 customHeight="1">
      <c r="J785" s="1314"/>
      <c r="K785" s="1315"/>
      <c r="L785" s="1315"/>
      <c r="M785" s="1315"/>
      <c r="N785" s="1316"/>
      <c r="O785" s="1557"/>
      <c r="P785" s="1557"/>
      <c r="Q785" s="1557"/>
      <c r="R785" s="1557"/>
      <c r="S785" s="1557"/>
      <c r="T785" s="1471"/>
      <c r="U785" s="1472"/>
      <c r="V785" s="1472"/>
      <c r="W785" s="1473"/>
      <c r="X785" s="1314"/>
      <c r="Y785" s="1315"/>
      <c r="Z785" s="1315"/>
      <c r="AA785" s="1315"/>
      <c r="AB785" s="1316"/>
      <c r="AC785" s="1314"/>
      <c r="AD785" s="1315"/>
      <c r="AE785" s="1315"/>
      <c r="AF785" s="1315"/>
      <c r="AG785" s="1316"/>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 customHeight="1">
      <c r="J786" s="1317"/>
      <c r="K786" s="1318"/>
      <c r="L786" s="1318"/>
      <c r="M786" s="1318"/>
      <c r="N786" s="1319"/>
      <c r="O786" s="1557"/>
      <c r="P786" s="1557"/>
      <c r="Q786" s="1557"/>
      <c r="R786" s="1557"/>
      <c r="S786" s="1557"/>
      <c r="T786" s="1543"/>
      <c r="U786" s="1544"/>
      <c r="V786" s="1544"/>
      <c r="W786" s="1545"/>
      <c r="X786" s="1317"/>
      <c r="Y786" s="1318"/>
      <c r="Z786" s="1318"/>
      <c r="AA786" s="1318"/>
      <c r="AB786" s="1319"/>
      <c r="AC786" s="1317"/>
      <c r="AD786" s="1318"/>
      <c r="AE786" s="1318"/>
      <c r="AF786" s="1318"/>
      <c r="AG786" s="1319"/>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 customHeight="1">
      <c r="J787" s="1308"/>
      <c r="K787" s="1309"/>
      <c r="L787" s="1309"/>
      <c r="M787" s="1309"/>
      <c r="N787" s="1310"/>
      <c r="O787" s="1430"/>
      <c r="P787" s="1430"/>
      <c r="Q787" s="1430"/>
      <c r="R787" s="1430"/>
      <c r="S787" s="1430"/>
      <c r="T787" s="1332"/>
      <c r="U787" s="1333"/>
      <c r="V787" s="1333"/>
      <c r="W787" s="1334"/>
      <c r="X787" s="1320"/>
      <c r="Y787" s="1321"/>
      <c r="Z787" s="1321"/>
      <c r="AA787" s="1321"/>
      <c r="AB787" s="1322"/>
      <c r="AC787" s="1323">
        <f t="shared" ref="AC787:AC796" si="63">X787*O787</f>
        <v>0</v>
      </c>
      <c r="AD787" s="1324"/>
      <c r="AE787" s="1324"/>
      <c r="AF787" s="1324"/>
      <c r="AG787" s="1325"/>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 customHeight="1">
      <c r="A788"/>
      <c r="B788"/>
      <c r="C788"/>
      <c r="D788"/>
      <c r="E788"/>
      <c r="F788"/>
      <c r="G788"/>
      <c r="H788"/>
      <c r="I788"/>
      <c r="J788" s="1308"/>
      <c r="K788" s="1309"/>
      <c r="L788" s="1309"/>
      <c r="M788" s="1309"/>
      <c r="N788" s="1310"/>
      <c r="O788" s="1430"/>
      <c r="P788" s="1430"/>
      <c r="Q788" s="1430"/>
      <c r="R788" s="1430"/>
      <c r="S788" s="1430"/>
      <c r="T788" s="1332"/>
      <c r="U788" s="1333"/>
      <c r="V788" s="1333"/>
      <c r="W788" s="1334"/>
      <c r="X788" s="1320"/>
      <c r="Y788" s="1321"/>
      <c r="Z788" s="1321"/>
      <c r="AA788" s="1321"/>
      <c r="AB788" s="1322"/>
      <c r="AC788" s="1323">
        <f t="shared" si="63"/>
        <v>0</v>
      </c>
      <c r="AD788" s="1324"/>
      <c r="AE788" s="1324"/>
      <c r="AF788" s="1324"/>
      <c r="AG788" s="1325"/>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 customHeight="1">
      <c r="A789"/>
      <c r="B789"/>
      <c r="C789"/>
      <c r="D789"/>
      <c r="E789"/>
      <c r="F789"/>
      <c r="G789"/>
      <c r="H789"/>
      <c r="I789"/>
      <c r="J789" s="1308"/>
      <c r="K789" s="1309"/>
      <c r="L789" s="1309"/>
      <c r="M789" s="1309"/>
      <c r="N789" s="1310"/>
      <c r="O789" s="1430"/>
      <c r="P789" s="1430"/>
      <c r="Q789" s="1430"/>
      <c r="R789" s="1430"/>
      <c r="S789" s="1430"/>
      <c r="T789" s="1332"/>
      <c r="U789" s="1333"/>
      <c r="V789" s="1333"/>
      <c r="W789" s="1334"/>
      <c r="X789" s="1320"/>
      <c r="Y789" s="1321"/>
      <c r="Z789" s="1321"/>
      <c r="AA789" s="1321"/>
      <c r="AB789" s="1322"/>
      <c r="AC789" s="1323">
        <f t="shared" si="63"/>
        <v>0</v>
      </c>
      <c r="AD789" s="1324"/>
      <c r="AE789" s="1324"/>
      <c r="AF789" s="1324"/>
      <c r="AG789" s="1325"/>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 customHeight="1">
      <c r="A790"/>
      <c r="B790"/>
      <c r="C790"/>
      <c r="D790"/>
      <c r="E790"/>
      <c r="F790"/>
      <c r="G790"/>
      <c r="H790"/>
      <c r="I790"/>
      <c r="J790" s="1308"/>
      <c r="K790" s="1309"/>
      <c r="L790" s="1309"/>
      <c r="M790" s="1309"/>
      <c r="N790" s="1310"/>
      <c r="O790" s="1430"/>
      <c r="P790" s="1430"/>
      <c r="Q790" s="1430"/>
      <c r="R790" s="1430"/>
      <c r="S790" s="1430"/>
      <c r="T790" s="1332"/>
      <c r="U790" s="1333"/>
      <c r="V790" s="1333"/>
      <c r="W790" s="1334"/>
      <c r="X790" s="1320"/>
      <c r="Y790" s="1321"/>
      <c r="Z790" s="1321"/>
      <c r="AA790" s="1321"/>
      <c r="AB790" s="1322"/>
      <c r="AC790" s="1323">
        <f t="shared" si="63"/>
        <v>0</v>
      </c>
      <c r="AD790" s="1324"/>
      <c r="AE790" s="1324"/>
      <c r="AF790" s="1324"/>
      <c r="AG790" s="1325"/>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 customHeight="1">
      <c r="A791"/>
      <c r="B791"/>
      <c r="C791"/>
      <c r="D791"/>
      <c r="E791"/>
      <c r="F791"/>
      <c r="G791"/>
      <c r="H791"/>
      <c r="I791"/>
      <c r="J791" s="1308"/>
      <c r="K791" s="1309"/>
      <c r="L791" s="1309"/>
      <c r="M791" s="1309"/>
      <c r="N791" s="1310"/>
      <c r="O791" s="1430"/>
      <c r="P791" s="1430"/>
      <c r="Q791" s="1430"/>
      <c r="R791" s="1430"/>
      <c r="S791" s="1430"/>
      <c r="T791" s="1332"/>
      <c r="U791" s="1333"/>
      <c r="V791" s="1333"/>
      <c r="W791" s="1334"/>
      <c r="X791" s="1320"/>
      <c r="Y791" s="1321"/>
      <c r="Z791" s="1321"/>
      <c r="AA791" s="1321"/>
      <c r="AB791" s="1322"/>
      <c r="AC791" s="1323">
        <f t="shared" si="63"/>
        <v>0</v>
      </c>
      <c r="AD791" s="1324"/>
      <c r="AE791" s="1324"/>
      <c r="AF791" s="1324"/>
      <c r="AG791" s="1325"/>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 customHeight="1">
      <c r="A792"/>
      <c r="B792"/>
      <c r="C792"/>
      <c r="D792"/>
      <c r="E792"/>
      <c r="F792"/>
      <c r="G792"/>
      <c r="H792"/>
      <c r="I792"/>
      <c r="J792" s="1308"/>
      <c r="K792" s="1309"/>
      <c r="L792" s="1309"/>
      <c r="M792" s="1309"/>
      <c r="N792" s="1310"/>
      <c r="O792" s="1430"/>
      <c r="P792" s="1430"/>
      <c r="Q792" s="1430"/>
      <c r="R792" s="1430"/>
      <c r="S792" s="1430"/>
      <c r="T792" s="1332"/>
      <c r="U792" s="1333"/>
      <c r="V792" s="1333"/>
      <c r="W792" s="1334"/>
      <c r="X792" s="1320"/>
      <c r="Y792" s="1321"/>
      <c r="Z792" s="1321"/>
      <c r="AA792" s="1321"/>
      <c r="AB792" s="1322"/>
      <c r="AC792" s="1323">
        <f t="shared" si="63"/>
        <v>0</v>
      </c>
      <c r="AD792" s="1324"/>
      <c r="AE792" s="1324"/>
      <c r="AF792" s="1324"/>
      <c r="AG792" s="1325"/>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 customHeight="1">
      <c r="A793"/>
      <c r="B793"/>
      <c r="C793"/>
      <c r="D793"/>
      <c r="E793"/>
      <c r="F793"/>
      <c r="G793"/>
      <c r="H793"/>
      <c r="I793"/>
      <c r="J793" s="1308"/>
      <c r="K793" s="1309"/>
      <c r="L793" s="1309"/>
      <c r="M793" s="1309"/>
      <c r="N793" s="1310"/>
      <c r="O793" s="1430"/>
      <c r="P793" s="1430"/>
      <c r="Q793" s="1430"/>
      <c r="R793" s="1430"/>
      <c r="S793" s="1430"/>
      <c r="T793" s="1332"/>
      <c r="U793" s="1333"/>
      <c r="V793" s="1333"/>
      <c r="W793" s="1334"/>
      <c r="X793" s="1320"/>
      <c r="Y793" s="1321"/>
      <c r="Z793" s="1321"/>
      <c r="AA793" s="1321"/>
      <c r="AB793" s="1322"/>
      <c r="AC793" s="1323">
        <f t="shared" si="63"/>
        <v>0</v>
      </c>
      <c r="AD793" s="1324"/>
      <c r="AE793" s="1324"/>
      <c r="AF793" s="1324"/>
      <c r="AG793" s="1325"/>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 customHeight="1">
      <c r="A794"/>
      <c r="B794"/>
      <c r="C794"/>
      <c r="D794"/>
      <c r="E794"/>
      <c r="F794"/>
      <c r="G794"/>
      <c r="H794"/>
      <c r="I794"/>
      <c r="J794" s="1308"/>
      <c r="K794" s="1309"/>
      <c r="L794" s="1309"/>
      <c r="M794" s="1309"/>
      <c r="N794" s="1310"/>
      <c r="O794" s="1430"/>
      <c r="P794" s="1430"/>
      <c r="Q794" s="1430"/>
      <c r="R794" s="1430"/>
      <c r="S794" s="1430"/>
      <c r="T794" s="1332"/>
      <c r="U794" s="1333"/>
      <c r="V794" s="1333"/>
      <c r="W794" s="1334"/>
      <c r="X794" s="1320"/>
      <c r="Y794" s="1321"/>
      <c r="Z794" s="1321"/>
      <c r="AA794" s="1321"/>
      <c r="AB794" s="1322"/>
      <c r="AC794" s="1323">
        <f t="shared" si="63"/>
        <v>0</v>
      </c>
      <c r="AD794" s="1324"/>
      <c r="AE794" s="1324"/>
      <c r="AF794" s="1324"/>
      <c r="AG794" s="1325"/>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 customHeight="1">
      <c r="A795"/>
      <c r="B795"/>
      <c r="C795"/>
      <c r="D795"/>
      <c r="E795"/>
      <c r="F795"/>
      <c r="G795"/>
      <c r="H795"/>
      <c r="I795"/>
      <c r="J795" s="1308"/>
      <c r="K795" s="1309"/>
      <c r="L795" s="1309"/>
      <c r="M795" s="1309"/>
      <c r="N795" s="1310"/>
      <c r="O795" s="1430"/>
      <c r="P795" s="1430"/>
      <c r="Q795" s="1430"/>
      <c r="R795" s="1430"/>
      <c r="S795" s="1430"/>
      <c r="T795" s="1332"/>
      <c r="U795" s="1333"/>
      <c r="V795" s="1333"/>
      <c r="W795" s="1334"/>
      <c r="X795" s="1320"/>
      <c r="Y795" s="1321"/>
      <c r="Z795" s="1321"/>
      <c r="AA795" s="1321"/>
      <c r="AB795" s="1322"/>
      <c r="AC795" s="1323">
        <f t="shared" si="63"/>
        <v>0</v>
      </c>
      <c r="AD795" s="1324"/>
      <c r="AE795" s="1324"/>
      <c r="AF795" s="1324"/>
      <c r="AG795" s="1325"/>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 customHeight="1">
      <c r="A796"/>
      <c r="B796"/>
      <c r="C796"/>
      <c r="D796"/>
      <c r="E796"/>
      <c r="F796"/>
      <c r="G796"/>
      <c r="H796"/>
      <c r="I796"/>
      <c r="J796" s="1308"/>
      <c r="K796" s="1309"/>
      <c r="L796" s="1309"/>
      <c r="M796" s="1309"/>
      <c r="N796" s="1310"/>
      <c r="O796" s="1430"/>
      <c r="P796" s="1430"/>
      <c r="Q796" s="1430"/>
      <c r="R796" s="1430"/>
      <c r="S796" s="1430"/>
      <c r="T796" s="1332"/>
      <c r="U796" s="1333"/>
      <c r="V796" s="1333"/>
      <c r="W796" s="1334"/>
      <c r="X796" s="1320"/>
      <c r="Y796" s="1321"/>
      <c r="Z796" s="1321"/>
      <c r="AA796" s="1321"/>
      <c r="AB796" s="1322"/>
      <c r="AC796" s="1323">
        <f t="shared" si="63"/>
        <v>0</v>
      </c>
      <c r="AD796" s="1324"/>
      <c r="AE796" s="1324"/>
      <c r="AF796" s="1324"/>
      <c r="AG796" s="1325"/>
      <c r="AH796"/>
      <c r="AI796"/>
      <c r="AJ796"/>
      <c r="AK796"/>
      <c r="AL796"/>
      <c r="AM796"/>
      <c r="AN796"/>
      <c r="AO796"/>
      <c r="AP796"/>
      <c r="AQ796"/>
      <c r="AR796"/>
      <c r="AS796"/>
      <c r="AT796"/>
      <c r="AU796"/>
      <c r="AV796"/>
      <c r="AW796"/>
      <c r="AX796"/>
      <c r="AY796"/>
      <c r="AZ796" s="2"/>
      <c r="BA796" s="2"/>
      <c r="BB796" s="12" t="s">
        <v>1571</v>
      </c>
      <c r="BC796" s="12"/>
      <c r="BD796" s="12"/>
      <c r="BE796" s="12"/>
      <c r="BF796" s="12"/>
      <c r="BG796" s="12"/>
      <c r="BH796" s="12"/>
      <c r="BI796" s="12"/>
      <c r="BJ796" s="12"/>
      <c r="BK796" s="12"/>
      <c r="BL796" s="12"/>
      <c r="BM796" s="12"/>
      <c r="BN796" s="1652" t="s">
        <v>1572</v>
      </c>
      <c r="BO796" s="1653"/>
      <c r="BP796" s="2"/>
      <c r="BQ796" s="2"/>
      <c r="BR796" s="2"/>
      <c r="BS796" s="12" t="s">
        <v>1573</v>
      </c>
      <c r="BT796" s="12"/>
      <c r="BU796" s="12"/>
      <c r="BV796" s="12"/>
      <c r="BW796" s="12"/>
      <c r="BX796" s="12"/>
      <c r="BY796" s="12"/>
      <c r="BZ796" s="12"/>
      <c r="CA796" s="12"/>
      <c r="CB796" s="1649" t="str">
        <f>T189</f>
        <v>San Mateo</v>
      </c>
      <c r="CC796" s="1650"/>
      <c r="CD796" s="1650"/>
      <c r="CE796" s="1650"/>
      <c r="CF796" s="1650"/>
      <c r="CG796" s="1650"/>
      <c r="CH796" s="1651"/>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 customHeight="1">
      <c r="A797"/>
      <c r="B797"/>
      <c r="C797"/>
      <c r="D797"/>
      <c r="E797"/>
      <c r="F797"/>
      <c r="G797"/>
      <c r="H797"/>
      <c r="I797"/>
      <c r="J797" s="1435" t="s">
        <v>1556</v>
      </c>
      <c r="K797" s="1436"/>
      <c r="L797" s="1436"/>
      <c r="M797" s="1436"/>
      <c r="N797" s="1438"/>
      <c r="O797" s="1339">
        <f>SUM(O787:S796)</f>
        <v>0</v>
      </c>
      <c r="P797" s="1339"/>
      <c r="Q797" s="1339"/>
      <c r="R797" s="1339"/>
      <c r="S797" s="1339"/>
      <c r="T797"/>
      <c r="U797"/>
      <c r="V797"/>
      <c r="W797"/>
      <c r="X797" s="732" t="s">
        <v>1557</v>
      </c>
      <c r="Y797" s="10"/>
      <c r="Z797" s="10"/>
      <c r="AA797" s="10"/>
      <c r="AB797" s="736"/>
      <c r="AC797" s="1323">
        <f>SUM(AC787:AG796)</f>
        <v>0</v>
      </c>
      <c r="AD797" s="1324"/>
      <c r="AE797" s="1324"/>
      <c r="AF797" s="1324"/>
      <c r="AG797" s="1325"/>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 customHeight="1">
      <c r="A798"/>
      <c r="B798"/>
      <c r="C798" s="1490" t="str">
        <f>IF(O797&lt;&gt;AG438,"! Total market rate units in the Unit Mix Table above does not match the number of  market rate units on row #"&amp;TEXT(ROW(D438),"#"),"")</f>
        <v/>
      </c>
      <c r="D798" s="1490"/>
      <c r="E798" s="1490"/>
      <c r="F798" s="1490"/>
      <c r="G798" s="1490"/>
      <c r="H798" s="1490"/>
      <c r="I798" s="1490"/>
      <c r="J798" s="1490"/>
      <c r="K798" s="1490"/>
      <c r="L798" s="1490"/>
      <c r="M798" s="1490"/>
      <c r="N798" s="1490"/>
      <c r="O798" s="1490"/>
      <c r="P798" s="1490"/>
      <c r="Q798" s="1490"/>
      <c r="R798" s="1490"/>
      <c r="S798" s="1490"/>
      <c r="T798" s="1490"/>
      <c r="U798" s="1490"/>
      <c r="V798" s="1490"/>
      <c r="W798" s="1490"/>
      <c r="X798" s="1490"/>
      <c r="Y798" s="1490"/>
      <c r="Z798" s="1490"/>
      <c r="AA798" s="1490"/>
      <c r="AB798" s="1490"/>
      <c r="AC798" s="1490"/>
      <c r="AD798" s="1490"/>
      <c r="AE798" s="1490"/>
      <c r="AF798" s="1490"/>
      <c r="AG798" s="1490"/>
      <c r="AH798" s="1490"/>
      <c r="AI798" s="1490"/>
      <c r="AJ798" s="1490"/>
      <c r="AK798" s="1490"/>
      <c r="AL798" s="1490"/>
      <c r="AM798" s="1490"/>
      <c r="AN798" s="1490"/>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1572</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 customHeight="1">
      <c r="A799"/>
      <c r="B799"/>
      <c r="C799" s="1490"/>
      <c r="D799" s="1490"/>
      <c r="E799" s="1490"/>
      <c r="F799" s="1490"/>
      <c r="G799" s="1490"/>
      <c r="H799" s="1490"/>
      <c r="I799" s="1490"/>
      <c r="J799" s="1490"/>
      <c r="K799" s="1490"/>
      <c r="L799" s="1490"/>
      <c r="M799" s="1490"/>
      <c r="N799" s="1490"/>
      <c r="O799" s="1490"/>
      <c r="P799" s="1490"/>
      <c r="Q799" s="1490"/>
      <c r="R799" s="1490"/>
      <c r="S799" s="1490"/>
      <c r="T799" s="1490"/>
      <c r="U799" s="1490"/>
      <c r="V799" s="1490"/>
      <c r="W799" s="1490"/>
      <c r="X799" s="1490"/>
      <c r="Y799" s="1490"/>
      <c r="Z799" s="1490"/>
      <c r="AA799" s="1490"/>
      <c r="AB799" s="1490"/>
      <c r="AC799" s="1490"/>
      <c r="AD799" s="1490"/>
      <c r="AE799" s="1490"/>
      <c r="AF799" s="1490"/>
      <c r="AG799" s="1490"/>
      <c r="AH799" s="1490"/>
      <c r="AI799" s="1490"/>
      <c r="AJ799" s="1490"/>
      <c r="AK799" s="1490"/>
      <c r="AL799" s="1490"/>
      <c r="AM799" s="1490"/>
      <c r="AN799" s="1490"/>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1574</v>
      </c>
      <c r="BO799" s="25" t="s">
        <v>1575</v>
      </c>
      <c r="BP799" s="26"/>
      <c r="BQ799" s="26"/>
      <c r="BR799" s="26"/>
      <c r="BS799" s="26"/>
      <c r="BT799" s="26"/>
      <c r="BU799" s="12"/>
      <c r="BV799" s="25" t="s">
        <v>1576</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 customHeight="1">
      <c r="A800"/>
      <c r="B800"/>
      <c r="C800"/>
      <c r="D800"/>
      <c r="E800"/>
      <c r="F800"/>
      <c r="G800"/>
      <c r="H800"/>
      <c r="I800"/>
      <c r="J800" s="1155"/>
      <c r="K800" s="4"/>
      <c r="L800" s="4"/>
      <c r="M800" s="4"/>
      <c r="N800" s="4"/>
      <c r="O800" s="4"/>
      <c r="P800" s="4"/>
      <c r="Q800" s="4"/>
      <c r="R800" s="4"/>
      <c r="S800" s="4"/>
      <c r="T800" s="4"/>
      <c r="U800" s="4"/>
      <c r="V800" s="4"/>
      <c r="W800" s="4"/>
      <c r="X800" s="1159" t="s">
        <v>1577</v>
      </c>
      <c r="Y800" s="1546">
        <f ca="1">O753+AC777+AC797</f>
        <v>109886.99999999999</v>
      </c>
      <c r="Z800" s="1546"/>
      <c r="AA800" s="1546"/>
      <c r="AB800" s="1546"/>
      <c r="AC800" s="1546"/>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 customHeight="1">
      <c r="A801"/>
      <c r="B801"/>
      <c r="C801"/>
      <c r="D801"/>
      <c r="E801"/>
      <c r="F801"/>
      <c r="G801"/>
      <c r="H801"/>
      <c r="I801"/>
      <c r="J801" s="32"/>
      <c r="K801" s="33"/>
      <c r="L801" s="33"/>
      <c r="M801" s="33"/>
      <c r="N801" s="33"/>
      <c r="O801" s="33"/>
      <c r="P801" s="33"/>
      <c r="Q801" s="33"/>
      <c r="R801" s="33"/>
      <c r="S801" s="33"/>
      <c r="T801" s="33"/>
      <c r="U801" s="33"/>
      <c r="V801" s="33"/>
      <c r="W801" s="33"/>
      <c r="X801" s="1164" t="s">
        <v>1578</v>
      </c>
      <c r="Y801" s="1546">
        <f ca="1">(O753+AC777+AC797)*12</f>
        <v>1318643.9999999998</v>
      </c>
      <c r="Z801" s="1546"/>
      <c r="AA801" s="1546"/>
      <c r="AB801" s="1546"/>
      <c r="AC801" s="1546"/>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1572</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 customHeight="1">
      <c r="A803" s="1" t="s">
        <v>1058</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 customHeight="1">
      <c r="A804" s="1"/>
      <c r="B804" s="1"/>
      <c r="C804" s="1" t="s">
        <v>1579</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051" t="s">
        <v>1490</v>
      </c>
      <c r="BQ805" s="1052" t="s">
        <v>1375</v>
      </c>
      <c r="BR805" s="1052" t="s">
        <v>1376</v>
      </c>
      <c r="BS805" s="1052" t="s">
        <v>1377</v>
      </c>
      <c r="BT805" s="1052" t="s">
        <v>1491</v>
      </c>
      <c r="BU805" s="12"/>
      <c r="BV805" s="12"/>
      <c r="BW805" s="1051" t="s">
        <v>1490</v>
      </c>
      <c r="BX805" s="1052" t="s">
        <v>1375</v>
      </c>
      <c r="BY805" s="1052" t="s">
        <v>1376</v>
      </c>
      <c r="BZ805" s="1052" t="s">
        <v>1377</v>
      </c>
      <c r="CA805" s="1052" t="s">
        <v>1491</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 customHeight="1">
      <c r="A806"/>
      <c r="B806"/>
      <c r="C806"/>
      <c r="D806"/>
      <c r="E806"/>
      <c r="F806"/>
      <c r="G806"/>
      <c r="H806" s="1155" t="s">
        <v>1580</v>
      </c>
      <c r="I806" s="4"/>
      <c r="J806" s="4"/>
      <c r="K806" s="4"/>
      <c r="L806" s="4"/>
      <c r="M806" s="4"/>
      <c r="N806" s="4"/>
      <c r="O806" s="4"/>
      <c r="P806" s="4"/>
      <c r="Q806" s="4"/>
      <c r="R806" s="4"/>
      <c r="S806" s="4"/>
      <c r="T806" s="4"/>
      <c r="U806" s="4"/>
      <c r="V806" s="4"/>
      <c r="W806" s="4"/>
      <c r="X806" s="4"/>
      <c r="Y806" s="4"/>
      <c r="Z806" s="1664"/>
      <c r="AA806" s="1541"/>
      <c r="AB806" s="1541"/>
      <c r="AC806" s="1541"/>
      <c r="AD806" s="1541"/>
      <c r="AE806" s="1542"/>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5" t="s">
        <v>878</v>
      </c>
      <c r="BP806" s="219">
        <v>473390</v>
      </c>
      <c r="BQ806" s="219">
        <v>545814</v>
      </c>
      <c r="BR806" s="219">
        <v>658400</v>
      </c>
      <c r="BS806" s="219">
        <v>842752</v>
      </c>
      <c r="BT806" s="219">
        <v>938878</v>
      </c>
      <c r="BU806" s="12"/>
      <c r="BV806" s="115" t="s">
        <v>878</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 customHeight="1">
      <c r="A807"/>
      <c r="B807"/>
      <c r="C807"/>
      <c r="D807"/>
      <c r="E807"/>
      <c r="F807"/>
      <c r="G807"/>
      <c r="H807" s="1155" t="s">
        <v>1581</v>
      </c>
      <c r="I807" s="4"/>
      <c r="J807" s="4"/>
      <c r="K807" s="4"/>
      <c r="L807" s="4"/>
      <c r="M807" s="4"/>
      <c r="N807" s="4"/>
      <c r="O807" s="4"/>
      <c r="P807" s="4"/>
      <c r="Q807" s="4"/>
      <c r="R807" s="4"/>
      <c r="S807" s="4"/>
      <c r="T807" s="4"/>
      <c r="U807" s="4"/>
      <c r="V807" s="4"/>
      <c r="W807" s="4"/>
      <c r="X807" s="4"/>
      <c r="Y807" s="4"/>
      <c r="Z807" s="1540"/>
      <c r="AA807" s="1541"/>
      <c r="AB807" s="1541"/>
      <c r="AC807" s="1541"/>
      <c r="AD807" s="1541"/>
      <c r="AE807" s="1542"/>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5" t="s">
        <v>881</v>
      </c>
      <c r="BP807" s="217">
        <v>352022</v>
      </c>
      <c r="BQ807" s="217">
        <v>405878</v>
      </c>
      <c r="BR807" s="217">
        <v>489600</v>
      </c>
      <c r="BS807" s="217">
        <v>626688</v>
      </c>
      <c r="BT807" s="217">
        <v>698170</v>
      </c>
      <c r="BU807" s="12"/>
      <c r="BV807" s="115" t="s">
        <v>881</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 customHeight="1">
      <c r="A808"/>
      <c r="B808"/>
      <c r="C808"/>
      <c r="D808"/>
      <c r="E808"/>
      <c r="F808"/>
      <c r="G808"/>
      <c r="H808" s="1155" t="s">
        <v>1582</v>
      </c>
      <c r="I808" s="4"/>
      <c r="J808" s="4"/>
      <c r="K808" s="4"/>
      <c r="L808" s="4"/>
      <c r="M808" s="4"/>
      <c r="N808" s="4"/>
      <c r="O808" s="4"/>
      <c r="P808" s="4"/>
      <c r="Q808" s="4"/>
      <c r="R808" s="4"/>
      <c r="S808" s="4"/>
      <c r="T808" s="4"/>
      <c r="U808" s="4"/>
      <c r="V808" s="4"/>
      <c r="W808" s="4"/>
      <c r="X808" s="4"/>
      <c r="Y808" s="4"/>
      <c r="Z808" s="1550"/>
      <c r="AA808" s="1551"/>
      <c r="AB808" s="1551"/>
      <c r="AC808" s="1551"/>
      <c r="AD808" s="1551"/>
      <c r="AE808" s="1552"/>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5" t="s">
        <v>886</v>
      </c>
      <c r="BP808" s="219">
        <v>352022</v>
      </c>
      <c r="BQ808" s="219">
        <v>405878</v>
      </c>
      <c r="BR808" s="219">
        <v>489600</v>
      </c>
      <c r="BS808" s="219">
        <v>626688</v>
      </c>
      <c r="BT808" s="219">
        <v>698170</v>
      </c>
      <c r="BU808" s="12"/>
      <c r="BV808" s="115" t="s">
        <v>886</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 customHeight="1">
      <c r="A809"/>
      <c r="B809"/>
      <c r="C809"/>
      <c r="D809"/>
      <c r="E809"/>
      <c r="F809"/>
      <c r="G809"/>
      <c r="H809" s="1155"/>
      <c r="I809" s="4"/>
      <c r="J809" s="4"/>
      <c r="K809" s="4"/>
      <c r="L809" s="4"/>
      <c r="M809" s="4"/>
      <c r="N809" s="4"/>
      <c r="O809" s="4"/>
      <c r="P809" s="4"/>
      <c r="Q809" s="4"/>
      <c r="R809" s="4"/>
      <c r="S809" s="4"/>
      <c r="T809" s="4"/>
      <c r="U809" s="4"/>
      <c r="V809" s="4"/>
      <c r="W809" s="4"/>
      <c r="X809" s="4"/>
      <c r="Y809" s="1158" t="s">
        <v>1583</v>
      </c>
      <c r="Z809" s="1564">
        <f>'Subsidy Contract Calculation'!J40</f>
        <v>0</v>
      </c>
      <c r="AA809" s="1565"/>
      <c r="AB809" s="1565"/>
      <c r="AC809" s="1565"/>
      <c r="AD809" s="1565"/>
      <c r="AE809" s="1566"/>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5" t="s">
        <v>890</v>
      </c>
      <c r="BP809" s="217">
        <v>319236</v>
      </c>
      <c r="BQ809" s="217">
        <v>368076</v>
      </c>
      <c r="BR809" s="217">
        <v>444000</v>
      </c>
      <c r="BS809" s="217">
        <v>568320</v>
      </c>
      <c r="BT809" s="217">
        <v>633144</v>
      </c>
      <c r="BU809" s="12"/>
      <c r="BV809" s="115" t="s">
        <v>890</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5" t="s">
        <v>894</v>
      </c>
      <c r="BP810" s="219">
        <v>352022</v>
      </c>
      <c r="BQ810" s="219">
        <v>405878</v>
      </c>
      <c r="BR810" s="219">
        <v>489600</v>
      </c>
      <c r="BS810" s="219">
        <v>626688</v>
      </c>
      <c r="BT810" s="219">
        <v>698170</v>
      </c>
      <c r="BU810" s="12"/>
      <c r="BV810" s="115" t="s">
        <v>894</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 customHeight="1">
      <c r="A811" s="1" t="s">
        <v>1070</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5" t="s">
        <v>896</v>
      </c>
      <c r="BP811" s="217">
        <v>352022</v>
      </c>
      <c r="BQ811" s="217">
        <v>405878</v>
      </c>
      <c r="BR811" s="217">
        <v>489600</v>
      </c>
      <c r="BS811" s="217">
        <v>626688</v>
      </c>
      <c r="BT811" s="217">
        <v>698170</v>
      </c>
      <c r="BU811" s="12"/>
      <c r="BV811" s="115" t="s">
        <v>896</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5" t="s">
        <v>900</v>
      </c>
      <c r="BP812" s="219">
        <v>473390</v>
      </c>
      <c r="BQ812" s="219">
        <v>545814</v>
      </c>
      <c r="BR812" s="219">
        <v>658400</v>
      </c>
      <c r="BS812" s="219">
        <v>842752</v>
      </c>
      <c r="BT812" s="219">
        <v>938878</v>
      </c>
      <c r="BU812" s="12"/>
      <c r="BV812" s="115" t="s">
        <v>900</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 customHeight="1">
      <c r="A813"/>
      <c r="B813"/>
      <c r="C813"/>
      <c r="D813"/>
      <c r="E813"/>
      <c r="F813"/>
      <c r="G813"/>
      <c r="H813" s="1155" t="s">
        <v>1584</v>
      </c>
      <c r="I813" s="4"/>
      <c r="J813" s="4"/>
      <c r="K813" s="4"/>
      <c r="L813" s="4"/>
      <c r="M813" s="4"/>
      <c r="N813" s="4"/>
      <c r="O813" s="4"/>
      <c r="P813" s="4"/>
      <c r="Q813" s="4"/>
      <c r="R813" s="4"/>
      <c r="S813" s="4"/>
      <c r="T813" s="4"/>
      <c r="U813" s="4"/>
      <c r="V813" s="4"/>
      <c r="W813" s="4"/>
      <c r="X813" s="4"/>
      <c r="Y813" s="4"/>
      <c r="Z813" s="1461">
        <v>9360</v>
      </c>
      <c r="AA813" s="1462"/>
      <c r="AB813" s="1462"/>
      <c r="AC813" s="1462"/>
      <c r="AD813" s="1462"/>
      <c r="AE813" s="1463"/>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5" t="s">
        <v>903</v>
      </c>
      <c r="BP813" s="217">
        <v>352022</v>
      </c>
      <c r="BQ813" s="217">
        <v>405878</v>
      </c>
      <c r="BR813" s="217">
        <v>489600</v>
      </c>
      <c r="BS813" s="217">
        <v>626688</v>
      </c>
      <c r="BT813" s="217">
        <v>698170</v>
      </c>
      <c r="BU813" s="12"/>
      <c r="BV813" s="115" t="s">
        <v>903</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 customHeight="1">
      <c r="A814"/>
      <c r="B814"/>
      <c r="C814"/>
      <c r="D814"/>
      <c r="E814"/>
      <c r="F814"/>
      <c r="G814"/>
      <c r="H814" s="1155" t="s">
        <v>1585</v>
      </c>
      <c r="I814" s="4"/>
      <c r="J814" s="4"/>
      <c r="K814" s="4"/>
      <c r="L814" s="4"/>
      <c r="M814" s="4"/>
      <c r="N814" s="4"/>
      <c r="O814" s="4"/>
      <c r="P814" s="4"/>
      <c r="Q814" s="4"/>
      <c r="R814" s="4"/>
      <c r="S814" s="4"/>
      <c r="T814" s="4"/>
      <c r="U814" s="4"/>
      <c r="V814" s="4"/>
      <c r="W814" s="4"/>
      <c r="X814" s="4"/>
      <c r="Y814" s="4"/>
      <c r="Z814" s="1461"/>
      <c r="AA814" s="1462"/>
      <c r="AB814" s="1462"/>
      <c r="AC814" s="1462"/>
      <c r="AD814" s="1462"/>
      <c r="AE814" s="1463"/>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5" t="s">
        <v>905</v>
      </c>
      <c r="BP814" s="219">
        <v>331890</v>
      </c>
      <c r="BQ814" s="219">
        <v>382666</v>
      </c>
      <c r="BR814" s="219">
        <v>461600</v>
      </c>
      <c r="BS814" s="219">
        <v>590848</v>
      </c>
      <c r="BT814" s="219">
        <v>658242</v>
      </c>
      <c r="BU814" s="12"/>
      <c r="BV814" s="115" t="s">
        <v>905</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 customHeight="1">
      <c r="A815"/>
      <c r="B815"/>
      <c r="C815"/>
      <c r="D815"/>
      <c r="E815"/>
      <c r="F815"/>
      <c r="G815"/>
      <c r="H815" s="1155" t="s">
        <v>1586</v>
      </c>
      <c r="I815" s="4"/>
      <c r="J815" s="4"/>
      <c r="K815" s="4"/>
      <c r="L815" s="4"/>
      <c r="M815" s="4"/>
      <c r="N815" s="4"/>
      <c r="O815" s="4"/>
      <c r="P815" s="4"/>
      <c r="Q815" s="4"/>
      <c r="R815" s="4"/>
      <c r="S815" s="4"/>
      <c r="T815" s="4"/>
      <c r="U815" s="4"/>
      <c r="V815" s="4"/>
      <c r="W815" s="4"/>
      <c r="X815" s="4"/>
      <c r="Y815" s="4"/>
      <c r="Z815" s="1461"/>
      <c r="AA815" s="1462"/>
      <c r="AB815" s="1462"/>
      <c r="AC815" s="1462"/>
      <c r="AD815" s="1462"/>
      <c r="AE815" s="1463"/>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5" t="s">
        <v>907</v>
      </c>
      <c r="BP815" s="217">
        <v>307732</v>
      </c>
      <c r="BQ815" s="217">
        <v>354812</v>
      </c>
      <c r="BR815" s="217">
        <v>428000</v>
      </c>
      <c r="BS815" s="217">
        <v>547840</v>
      </c>
      <c r="BT815" s="217">
        <v>610328</v>
      </c>
      <c r="BU815" s="12"/>
      <c r="BV815" s="115" t="s">
        <v>907</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 customHeight="1">
      <c r="A816"/>
      <c r="B816"/>
      <c r="C816"/>
      <c r="D816"/>
      <c r="E816"/>
      <c r="F816"/>
      <c r="G816"/>
      <c r="H816" s="1155" t="s">
        <v>1587</v>
      </c>
      <c r="I816" s="4"/>
      <c r="J816" s="4"/>
      <c r="K816" s="4"/>
      <c r="L816" s="4"/>
      <c r="M816" s="4"/>
      <c r="N816" s="4"/>
      <c r="O816" s="4"/>
      <c r="P816" s="1554" t="s">
        <v>1588</v>
      </c>
      <c r="Q816" s="1555"/>
      <c r="R816" s="1555"/>
      <c r="S816" s="1555"/>
      <c r="T816" s="1555"/>
      <c r="U816" s="1555"/>
      <c r="V816" s="1555"/>
      <c r="W816" s="1555"/>
      <c r="X816" s="1555"/>
      <c r="Y816" s="1556"/>
      <c r="Z816" s="1461">
        <v>3120</v>
      </c>
      <c r="AA816" s="1462"/>
      <c r="AB816" s="1462"/>
      <c r="AC816" s="1462"/>
      <c r="AD816" s="1462"/>
      <c r="AE816" s="1463"/>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5" t="s">
        <v>909</v>
      </c>
      <c r="BP816" s="219">
        <v>352022</v>
      </c>
      <c r="BQ816" s="219">
        <v>405878</v>
      </c>
      <c r="BR816" s="219">
        <v>489600</v>
      </c>
      <c r="BS816" s="219">
        <v>626688</v>
      </c>
      <c r="BT816" s="219">
        <v>698170</v>
      </c>
      <c r="BU816" s="12"/>
      <c r="BV816" s="115" t="s">
        <v>909</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 customHeight="1">
      <c r="A817"/>
      <c r="B817"/>
      <c r="C817"/>
      <c r="D817"/>
      <c r="E817"/>
      <c r="F817"/>
      <c r="G817"/>
      <c r="H817" s="1155"/>
      <c r="I817" s="4"/>
      <c r="J817" s="4"/>
      <c r="K817" s="4"/>
      <c r="L817" s="4"/>
      <c r="M817" s="4"/>
      <c r="N817" s="4"/>
      <c r="O817" s="4"/>
      <c r="P817" s="4"/>
      <c r="Q817" s="4"/>
      <c r="R817" s="4"/>
      <c r="S817" s="4"/>
      <c r="T817" s="4"/>
      <c r="U817" s="4"/>
      <c r="V817" s="4"/>
      <c r="W817" s="4"/>
      <c r="X817" s="4"/>
      <c r="Y817" s="1158" t="s">
        <v>1589</v>
      </c>
      <c r="Z817" s="1564">
        <f>SUM(Z813:AE816)</f>
        <v>12480</v>
      </c>
      <c r="AA817" s="1565"/>
      <c r="AB817" s="1565"/>
      <c r="AC817" s="1565"/>
      <c r="AD817" s="1565"/>
      <c r="AE817" s="1566"/>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5" t="s">
        <v>911</v>
      </c>
      <c r="BP817" s="217">
        <v>352022</v>
      </c>
      <c r="BQ817" s="217">
        <v>405878</v>
      </c>
      <c r="BR817" s="217">
        <v>489600</v>
      </c>
      <c r="BS817" s="217">
        <v>626688</v>
      </c>
      <c r="BT817" s="217">
        <v>698170</v>
      </c>
      <c r="BU817" s="12"/>
      <c r="BV817" s="115" t="s">
        <v>911</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 customHeight="1">
      <c r="A818"/>
      <c r="B818"/>
      <c r="C818"/>
      <c r="D818"/>
      <c r="E818"/>
      <c r="F818"/>
      <c r="G818"/>
      <c r="H818" s="1155"/>
      <c r="I818" s="4"/>
      <c r="J818" s="4"/>
      <c r="K818" s="4"/>
      <c r="L818" s="4"/>
      <c r="M818" s="4"/>
      <c r="N818" s="4"/>
      <c r="O818" s="4"/>
      <c r="P818" s="4"/>
      <c r="Q818" s="4"/>
      <c r="R818" s="4"/>
      <c r="S818" s="4"/>
      <c r="T818" s="4"/>
      <c r="U818" s="4"/>
      <c r="V818" s="4"/>
      <c r="W818" s="4"/>
      <c r="X818" s="4"/>
      <c r="Y818" s="1158" t="s">
        <v>1590</v>
      </c>
      <c r="Z818" s="1564">
        <f ca="1">Z817+Y801+Z809</f>
        <v>1331123.9999999998</v>
      </c>
      <c r="AA818" s="1565"/>
      <c r="AB818" s="1565"/>
      <c r="AC818" s="1565"/>
      <c r="AD818" s="1565"/>
      <c r="AE818" s="1566"/>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5" t="s">
        <v>914</v>
      </c>
      <c r="BP818" s="219">
        <v>314634</v>
      </c>
      <c r="BQ818" s="219">
        <v>362770</v>
      </c>
      <c r="BR818" s="219">
        <v>437600</v>
      </c>
      <c r="BS818" s="219">
        <v>560128</v>
      </c>
      <c r="BT818" s="219">
        <v>624018</v>
      </c>
      <c r="BU818" s="12"/>
      <c r="BV818" s="115" t="s">
        <v>914</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5" t="s">
        <v>916</v>
      </c>
      <c r="BP819" s="217">
        <v>352022</v>
      </c>
      <c r="BQ819" s="217">
        <v>405878</v>
      </c>
      <c r="BR819" s="217">
        <v>489600</v>
      </c>
      <c r="BS819" s="217">
        <v>626688</v>
      </c>
      <c r="BT819" s="217">
        <v>698170</v>
      </c>
      <c r="BU819" s="12"/>
      <c r="BV819" s="115" t="s">
        <v>916</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 customHeight="1">
      <c r="A820" s="1" t="s">
        <v>1096</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5" t="s">
        <v>918</v>
      </c>
      <c r="BP820" s="219">
        <v>307732</v>
      </c>
      <c r="BQ820" s="219">
        <v>354812</v>
      </c>
      <c r="BR820" s="219">
        <v>428000</v>
      </c>
      <c r="BS820" s="219">
        <v>547840</v>
      </c>
      <c r="BT820" s="219">
        <v>610328</v>
      </c>
      <c r="BU820" s="12"/>
      <c r="BV820" s="115" t="s">
        <v>918</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 customHeight="1">
      <c r="A821"/>
      <c r="B821"/>
      <c r="C821" s="18" t="s">
        <v>1591</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5" t="s">
        <v>921</v>
      </c>
      <c r="BP821" s="217">
        <v>307732</v>
      </c>
      <c r="BQ821" s="217">
        <v>354812</v>
      </c>
      <c r="BR821" s="217">
        <v>428000</v>
      </c>
      <c r="BS821" s="217">
        <v>547840</v>
      </c>
      <c r="BT821" s="217">
        <v>610328</v>
      </c>
      <c r="BU821" s="12"/>
      <c r="BV821" s="115" t="s">
        <v>921</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5" t="s">
        <v>925</v>
      </c>
      <c r="BP822" s="219">
        <v>352022</v>
      </c>
      <c r="BQ822" s="219">
        <v>405878</v>
      </c>
      <c r="BR822" s="219">
        <v>489600</v>
      </c>
      <c r="BS822" s="219">
        <v>626688</v>
      </c>
      <c r="BT822" s="219">
        <v>698170</v>
      </c>
      <c r="BU822" s="12"/>
      <c r="BV822" s="115" t="s">
        <v>925</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 customHeight="1">
      <c r="A823"/>
      <c r="B823"/>
      <c r="C823" s="30"/>
      <c r="D823" s="31"/>
      <c r="E823" s="31"/>
      <c r="F823" s="31"/>
      <c r="G823" s="31"/>
      <c r="H823" s="31"/>
      <c r="I823" s="31"/>
      <c r="J823" s="31"/>
      <c r="K823" s="31"/>
      <c r="L823" s="39"/>
      <c r="M823" s="1661" t="s">
        <v>1592</v>
      </c>
      <c r="N823" s="1661"/>
      <c r="O823" s="1661"/>
      <c r="P823" s="1662"/>
      <c r="Q823" s="1563" t="s">
        <v>1593</v>
      </c>
      <c r="R823" s="1563"/>
      <c r="S823" s="1563"/>
      <c r="T823" s="1563"/>
      <c r="U823" s="1563" t="s">
        <v>1594</v>
      </c>
      <c r="V823" s="1563"/>
      <c r="W823" s="1563"/>
      <c r="X823" s="1563"/>
      <c r="Y823" s="1563" t="s">
        <v>1595</v>
      </c>
      <c r="Z823" s="1563"/>
      <c r="AA823" s="1563"/>
      <c r="AB823" s="1563"/>
      <c r="AC823" s="1563" t="s">
        <v>1596</v>
      </c>
      <c r="AD823" s="1563"/>
      <c r="AE823" s="1563"/>
      <c r="AF823" s="1563"/>
      <c r="AG823" s="1562" t="s">
        <v>1597</v>
      </c>
      <c r="AH823" s="1562"/>
      <c r="AI823" s="1562"/>
      <c r="AJ823" s="1562"/>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5" t="s">
        <v>930</v>
      </c>
      <c r="BP823" s="217">
        <v>352022</v>
      </c>
      <c r="BQ823" s="217">
        <v>405878</v>
      </c>
      <c r="BR823" s="217">
        <v>489600</v>
      </c>
      <c r="BS823" s="217">
        <v>626688</v>
      </c>
      <c r="BT823" s="217">
        <v>698170</v>
      </c>
      <c r="BU823" s="12"/>
      <c r="BV823" s="115" t="s">
        <v>930</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 customHeight="1">
      <c r="A824"/>
      <c r="B824"/>
      <c r="C824" s="32"/>
      <c r="D824" s="33"/>
      <c r="E824" s="33"/>
      <c r="F824" s="33"/>
      <c r="G824" s="33"/>
      <c r="H824" s="33"/>
      <c r="I824" s="33"/>
      <c r="J824" s="33"/>
      <c r="K824" s="33"/>
      <c r="L824" s="34"/>
      <c r="M824" s="1614"/>
      <c r="N824" s="1614"/>
      <c r="O824" s="1614"/>
      <c r="P824" s="1615"/>
      <c r="Q824" s="1563"/>
      <c r="R824" s="1563"/>
      <c r="S824" s="1563"/>
      <c r="T824" s="1563"/>
      <c r="U824" s="1563"/>
      <c r="V824" s="1563"/>
      <c r="W824" s="1563"/>
      <c r="X824" s="1563"/>
      <c r="Y824" s="1563"/>
      <c r="Z824" s="1563"/>
      <c r="AA824" s="1563"/>
      <c r="AB824" s="1563"/>
      <c r="AC824" s="1563"/>
      <c r="AD824" s="1563"/>
      <c r="AE824" s="1563"/>
      <c r="AF824" s="1563"/>
      <c r="AG824" s="1562"/>
      <c r="AH824" s="1562"/>
      <c r="AI824" s="1562"/>
      <c r="AJ824" s="1562"/>
      <c r="AK824"/>
      <c r="AL824" s="2"/>
      <c r="AM824" s="2"/>
      <c r="AN824" s="2"/>
      <c r="AO824" s="2"/>
      <c r="AP824" s="2"/>
      <c r="AQ824" s="2"/>
      <c r="AR824" s="2"/>
      <c r="AS824" s="2"/>
      <c r="AT824" s="2"/>
      <c r="AU824"/>
      <c r="AV824" s="2"/>
      <c r="AW824" s="2"/>
      <c r="AX824" s="2"/>
      <c r="AY824" s="2"/>
      <c r="AZ824" s="24"/>
      <c r="BA824" s="24"/>
      <c r="BO824" s="115" t="s">
        <v>934</v>
      </c>
      <c r="BP824" s="219">
        <v>437727</v>
      </c>
      <c r="BQ824" s="219">
        <v>504695</v>
      </c>
      <c r="BR824" s="219">
        <v>608800</v>
      </c>
      <c r="BS824" s="219">
        <v>779264</v>
      </c>
      <c r="BT824" s="219">
        <v>868149</v>
      </c>
      <c r="BV824" s="115" t="s">
        <v>934</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 customHeight="1">
      <c r="A825"/>
      <c r="B825"/>
      <c r="C825" s="1558" t="s">
        <v>1598</v>
      </c>
      <c r="D825" s="1460"/>
      <c r="E825" s="1460"/>
      <c r="F825" s="1460"/>
      <c r="G825" s="1460"/>
      <c r="H825" s="1460"/>
      <c r="I825" s="33"/>
      <c r="J825" s="33"/>
      <c r="K825" s="33"/>
      <c r="L825" s="34"/>
      <c r="M825" s="1536"/>
      <c r="N825" s="1536"/>
      <c r="O825" s="1536"/>
      <c r="P825" s="1536"/>
      <c r="Q825" s="1536">
        <v>32</v>
      </c>
      <c r="R825" s="1536"/>
      <c r="S825" s="1536"/>
      <c r="T825" s="1536"/>
      <c r="U825" s="1536">
        <v>41</v>
      </c>
      <c r="V825" s="1536"/>
      <c r="W825" s="1536"/>
      <c r="X825" s="1536"/>
      <c r="Y825" s="1536">
        <v>50</v>
      </c>
      <c r="Z825" s="1536"/>
      <c r="AA825" s="1536"/>
      <c r="AB825" s="1536"/>
      <c r="AC825" s="1537"/>
      <c r="AD825" s="1538"/>
      <c r="AE825" s="1538"/>
      <c r="AF825" s="1539"/>
      <c r="AG825" s="1537"/>
      <c r="AH825" s="1538"/>
      <c r="AI825" s="1538"/>
      <c r="AJ825" s="1539"/>
      <c r="AK825"/>
      <c r="AL825" s="2"/>
      <c r="AM825" s="2"/>
      <c r="AN825" s="2"/>
      <c r="AO825" s="2"/>
      <c r="AP825" s="2"/>
      <c r="AQ825" s="2"/>
      <c r="AR825" s="2"/>
      <c r="AS825" s="2"/>
      <c r="AT825" s="2"/>
      <c r="AU825"/>
      <c r="AV825" s="2"/>
      <c r="AW825" s="2"/>
      <c r="AX825" s="2"/>
      <c r="AY825" s="2"/>
      <c r="AZ825" s="24"/>
      <c r="BA825" s="24"/>
      <c r="BO825" s="115" t="s">
        <v>941</v>
      </c>
      <c r="BP825" s="217">
        <v>307732</v>
      </c>
      <c r="BQ825" s="217">
        <v>354812</v>
      </c>
      <c r="BR825" s="217">
        <v>428000</v>
      </c>
      <c r="BS825" s="217">
        <v>547840</v>
      </c>
      <c r="BT825" s="217">
        <v>610328</v>
      </c>
      <c r="BV825" s="115" t="s">
        <v>941</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 customHeight="1">
      <c r="A826"/>
      <c r="B826"/>
      <c r="C826" s="1424" t="s">
        <v>1599</v>
      </c>
      <c r="D826" s="1396"/>
      <c r="E826" s="1396"/>
      <c r="F826" s="1396"/>
      <c r="G826" s="1396"/>
      <c r="H826" s="1396"/>
      <c r="I826" s="4"/>
      <c r="J826" s="4"/>
      <c r="K826" s="4"/>
      <c r="L826" s="1156"/>
      <c r="M826" s="1536"/>
      <c r="N826" s="1536"/>
      <c r="O826" s="1536"/>
      <c r="P826" s="1536"/>
      <c r="Q826" s="1536"/>
      <c r="R826" s="1536"/>
      <c r="S826" s="1536"/>
      <c r="T826" s="1536"/>
      <c r="U826" s="1536"/>
      <c r="V826" s="1536"/>
      <c r="W826" s="1536"/>
      <c r="X826" s="1536"/>
      <c r="Y826" s="1536"/>
      <c r="Z826" s="1536"/>
      <c r="AA826" s="1536"/>
      <c r="AB826" s="1536"/>
      <c r="AC826" s="1537"/>
      <c r="AD826" s="1538"/>
      <c r="AE826" s="1538"/>
      <c r="AF826" s="1539"/>
      <c r="AG826" s="1537"/>
      <c r="AH826" s="1538"/>
      <c r="AI826" s="1538"/>
      <c r="AJ826" s="1539"/>
      <c r="AK826"/>
      <c r="AL826" s="2"/>
      <c r="AM826" s="2"/>
      <c r="AN826" s="2"/>
      <c r="AO826" s="2"/>
      <c r="AP826" s="2"/>
      <c r="AQ826" s="2"/>
      <c r="AR826" s="2"/>
      <c r="AS826" s="2"/>
      <c r="AT826" s="2"/>
      <c r="AU826"/>
      <c r="AV826" s="2"/>
      <c r="AW826" s="2"/>
      <c r="AX826" s="2"/>
      <c r="AY826" s="2"/>
      <c r="AZ826" s="24"/>
      <c r="BA826" s="24"/>
      <c r="BO826" s="115" t="s">
        <v>945</v>
      </c>
      <c r="BP826" s="219">
        <v>384234</v>
      </c>
      <c r="BQ826" s="219">
        <v>443018</v>
      </c>
      <c r="BR826" s="219">
        <v>534400</v>
      </c>
      <c r="BS826" s="219">
        <v>684032</v>
      </c>
      <c r="BT826" s="219">
        <v>762054</v>
      </c>
      <c r="BV826" s="115" t="s">
        <v>945</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 customHeight="1">
      <c r="A827"/>
      <c r="B827"/>
      <c r="C827" s="1424" t="s">
        <v>1600</v>
      </c>
      <c r="D827" s="1396"/>
      <c r="E827" s="1396"/>
      <c r="F827" s="1396"/>
      <c r="G827" s="1396"/>
      <c r="H827" s="1396"/>
      <c r="I827" s="1157"/>
      <c r="J827" s="1157"/>
      <c r="K827" s="1157"/>
      <c r="L827" s="1179"/>
      <c r="M827" s="1536"/>
      <c r="N827" s="1536"/>
      <c r="O827" s="1536"/>
      <c r="P827" s="1536"/>
      <c r="Q827" s="1536">
        <v>13</v>
      </c>
      <c r="R827" s="1536"/>
      <c r="S827" s="1536"/>
      <c r="T827" s="1536"/>
      <c r="U827" s="1536">
        <v>19</v>
      </c>
      <c r="V827" s="1536"/>
      <c r="W827" s="1536"/>
      <c r="X827" s="1536"/>
      <c r="Y827" s="1536">
        <v>25</v>
      </c>
      <c r="Z827" s="1536"/>
      <c r="AA827" s="1536"/>
      <c r="AB827" s="1536"/>
      <c r="AC827" s="1537"/>
      <c r="AD827" s="1538"/>
      <c r="AE827" s="1538"/>
      <c r="AF827" s="1539"/>
      <c r="AG827" s="1537"/>
      <c r="AH827" s="1538"/>
      <c r="AI827" s="1538"/>
      <c r="AJ827" s="1539"/>
      <c r="AK827"/>
      <c r="AL827" s="2"/>
      <c r="AM827" s="2"/>
      <c r="AN827" s="2"/>
      <c r="AO827" s="2"/>
      <c r="AP827" s="2"/>
      <c r="AQ827" s="2"/>
      <c r="AR827" s="2"/>
      <c r="AS827" s="2"/>
      <c r="AT827" s="2"/>
      <c r="AU827"/>
      <c r="AV827" s="2"/>
      <c r="AW827" s="2"/>
      <c r="AX827" s="2"/>
      <c r="AY827" s="2"/>
      <c r="AZ827" s="24"/>
      <c r="BA827" s="24"/>
      <c r="BO827" s="115" t="s">
        <v>949</v>
      </c>
      <c r="BP827" s="217">
        <v>352022</v>
      </c>
      <c r="BQ827" s="217">
        <v>405878</v>
      </c>
      <c r="BR827" s="217">
        <v>489600</v>
      </c>
      <c r="BS827" s="217">
        <v>626688</v>
      </c>
      <c r="BT827" s="217">
        <v>698170</v>
      </c>
      <c r="BV827" s="115" t="s">
        <v>949</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 customHeight="1">
      <c r="A828"/>
      <c r="B828"/>
      <c r="C828" s="1424" t="s">
        <v>1601</v>
      </c>
      <c r="D828" s="1396"/>
      <c r="E828" s="1396"/>
      <c r="F828" s="1396"/>
      <c r="G828" s="1396"/>
      <c r="H828" s="1396"/>
      <c r="I828" s="1157"/>
      <c r="J828" s="1157"/>
      <c r="K828" s="1157"/>
      <c r="L828" s="1179"/>
      <c r="M828" s="1536"/>
      <c r="N828" s="1536"/>
      <c r="O828" s="1536"/>
      <c r="P828" s="1536"/>
      <c r="Q828" s="1536"/>
      <c r="R828" s="1536"/>
      <c r="S828" s="1536"/>
      <c r="T828" s="1536"/>
      <c r="U828" s="1536"/>
      <c r="V828" s="1536"/>
      <c r="W828" s="1536"/>
      <c r="X828" s="1536"/>
      <c r="Y828" s="1536"/>
      <c r="Z828" s="1536"/>
      <c r="AA828" s="1536"/>
      <c r="AB828" s="1536"/>
      <c r="AC828" s="1537"/>
      <c r="AD828" s="1538"/>
      <c r="AE828" s="1538"/>
      <c r="AF828" s="1539"/>
      <c r="AG828" s="1537"/>
      <c r="AH828" s="1538"/>
      <c r="AI828" s="1538"/>
      <c r="AJ828" s="1539"/>
      <c r="AK828"/>
      <c r="AL828" s="2"/>
      <c r="AM828" s="2"/>
      <c r="AN828" s="2"/>
      <c r="AO828" s="2"/>
      <c r="AP828" s="2"/>
      <c r="AQ828" s="2"/>
      <c r="AR828" s="2"/>
      <c r="AS828" s="2"/>
      <c r="AT828" s="2"/>
      <c r="AU828"/>
      <c r="AV828" s="2"/>
      <c r="AW828" s="2"/>
      <c r="AX828" s="2"/>
      <c r="AY828" s="2"/>
      <c r="AZ828" s="24"/>
      <c r="BA828" s="24"/>
      <c r="BO828" s="115" t="s">
        <v>951</v>
      </c>
      <c r="BP828" s="219">
        <v>352022</v>
      </c>
      <c r="BQ828" s="219">
        <v>405878</v>
      </c>
      <c r="BR828" s="219">
        <v>489600</v>
      </c>
      <c r="BS828" s="219">
        <v>626688</v>
      </c>
      <c r="BT828" s="219">
        <v>698170</v>
      </c>
      <c r="BV828" s="115" t="s">
        <v>951</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 customHeight="1">
      <c r="A829"/>
      <c r="B829"/>
      <c r="C829" s="1424" t="s">
        <v>1602</v>
      </c>
      <c r="D829" s="1396"/>
      <c r="E829" s="1396"/>
      <c r="F829" s="1396"/>
      <c r="G829" s="1396"/>
      <c r="H829" s="1396"/>
      <c r="I829" s="1157"/>
      <c r="J829" s="1157"/>
      <c r="K829" s="1157"/>
      <c r="L829" s="1179"/>
      <c r="M829" s="1536"/>
      <c r="N829" s="1536"/>
      <c r="O829" s="1536"/>
      <c r="P829" s="1536"/>
      <c r="Q829" s="1536">
        <v>44</v>
      </c>
      <c r="R829" s="1536"/>
      <c r="S829" s="1536"/>
      <c r="T829" s="1536"/>
      <c r="U829" s="1536">
        <v>65</v>
      </c>
      <c r="V829" s="1536"/>
      <c r="W829" s="1536"/>
      <c r="X829" s="1536"/>
      <c r="Y829" s="1536">
        <v>90</v>
      </c>
      <c r="Z829" s="1536"/>
      <c r="AA829" s="1536"/>
      <c r="AB829" s="1536"/>
      <c r="AC829" s="1537"/>
      <c r="AD829" s="1538"/>
      <c r="AE829" s="1538"/>
      <c r="AF829" s="1539"/>
      <c r="AG829" s="1537"/>
      <c r="AH829" s="1538"/>
      <c r="AI829" s="1538"/>
      <c r="AJ829" s="1539"/>
      <c r="AK829"/>
      <c r="AL829" s="2"/>
      <c r="AM829" s="2"/>
      <c r="AN829" s="2"/>
      <c r="AO829" s="2"/>
      <c r="AP829" s="2"/>
      <c r="AQ829" s="2"/>
      <c r="AR829" s="2"/>
      <c r="AS829" s="2"/>
      <c r="AT829" s="2"/>
      <c r="AU829"/>
      <c r="AV829" s="2"/>
      <c r="AW829" s="2"/>
      <c r="AX829" s="2"/>
      <c r="AY829" s="2"/>
      <c r="AZ829" s="24"/>
      <c r="BA829" s="24"/>
      <c r="BO829" s="115" t="s">
        <v>954</v>
      </c>
      <c r="BP829" s="217">
        <v>307732</v>
      </c>
      <c r="BQ829" s="217">
        <v>354812</v>
      </c>
      <c r="BR829" s="217">
        <v>428000</v>
      </c>
      <c r="BS829" s="217">
        <v>547840</v>
      </c>
      <c r="BT829" s="217">
        <v>610328</v>
      </c>
      <c r="BV829" s="115" t="s">
        <v>954</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 customHeight="1">
      <c r="A830"/>
      <c r="B830"/>
      <c r="C830" s="1390" t="s">
        <v>1603</v>
      </c>
      <c r="D830" s="1396"/>
      <c r="E830" s="1396"/>
      <c r="F830" s="1396"/>
      <c r="G830" s="1396"/>
      <c r="H830" s="1396"/>
      <c r="I830" s="1157"/>
      <c r="J830" s="1157"/>
      <c r="K830" s="1157"/>
      <c r="L830" s="1179"/>
      <c r="M830" s="1536"/>
      <c r="N830" s="1536"/>
      <c r="O830" s="1536"/>
      <c r="P830" s="1536"/>
      <c r="Q830" s="1536"/>
      <c r="R830" s="1536"/>
      <c r="S830" s="1536"/>
      <c r="T830" s="1536"/>
      <c r="U830" s="1536"/>
      <c r="V830" s="1536"/>
      <c r="W830" s="1536"/>
      <c r="X830" s="1536"/>
      <c r="Y830" s="1536"/>
      <c r="Z830" s="1536"/>
      <c r="AA830" s="1536"/>
      <c r="AB830" s="1536"/>
      <c r="AC830" s="1537"/>
      <c r="AD830" s="1538"/>
      <c r="AE830" s="1538"/>
      <c r="AF830" s="1539"/>
      <c r="AG830" s="1537"/>
      <c r="AH830" s="1538"/>
      <c r="AI830" s="1538"/>
      <c r="AJ830" s="1539"/>
      <c r="AK830"/>
      <c r="AL830" s="2"/>
      <c r="AM830" s="2"/>
      <c r="AN830" s="2"/>
      <c r="AO830" s="2"/>
      <c r="AP830" s="2"/>
      <c r="AQ830" s="2"/>
      <c r="AR830" s="2"/>
      <c r="AS830" s="2"/>
      <c r="AT830" s="2"/>
      <c r="AU830"/>
      <c r="AV830" s="2"/>
      <c r="AW830" s="2"/>
      <c r="AX830" s="2"/>
      <c r="AY830" s="2"/>
      <c r="AZ830" s="24"/>
      <c r="BA830" s="24"/>
      <c r="BO830" s="115" t="s">
        <v>957</v>
      </c>
      <c r="BP830" s="219">
        <v>352022</v>
      </c>
      <c r="BQ830" s="219">
        <v>405878</v>
      </c>
      <c r="BR830" s="219">
        <v>489600</v>
      </c>
      <c r="BS830" s="219">
        <v>626688</v>
      </c>
      <c r="BT830" s="219">
        <v>698170</v>
      </c>
      <c r="BV830" s="115" t="s">
        <v>957</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 customHeight="1">
      <c r="A831"/>
      <c r="B831"/>
      <c r="C831" s="1173" t="s">
        <v>1604</v>
      </c>
      <c r="D831" s="1157"/>
      <c r="E831" s="1157"/>
      <c r="F831" s="1554"/>
      <c r="G831" s="1555"/>
      <c r="H831" s="1555"/>
      <c r="I831" s="1555"/>
      <c r="J831" s="1555"/>
      <c r="K831" s="1555"/>
      <c r="L831" s="1555"/>
      <c r="M831" s="1536"/>
      <c r="N831" s="1536"/>
      <c r="O831" s="1536"/>
      <c r="P831" s="1536"/>
      <c r="Q831" s="1536"/>
      <c r="R831" s="1536"/>
      <c r="S831" s="1536"/>
      <c r="T831" s="1536"/>
      <c r="U831" s="1536"/>
      <c r="V831" s="1536"/>
      <c r="W831" s="1536"/>
      <c r="X831" s="1536"/>
      <c r="Y831" s="1536"/>
      <c r="Z831" s="1536"/>
      <c r="AA831" s="1536"/>
      <c r="AB831" s="1536"/>
      <c r="AC831" s="1537"/>
      <c r="AD831" s="1538"/>
      <c r="AE831" s="1538"/>
      <c r="AF831" s="1539"/>
      <c r="AG831" s="1537"/>
      <c r="AH831" s="1538"/>
      <c r="AI831" s="1538"/>
      <c r="AJ831" s="1539"/>
      <c r="AK831"/>
      <c r="AL831" s="2"/>
      <c r="AM831" s="2"/>
      <c r="AN831" s="2"/>
      <c r="AO831" s="2"/>
      <c r="AP831" s="2"/>
      <c r="AQ831" s="2"/>
      <c r="AR831" s="2"/>
      <c r="AS831" s="2"/>
      <c r="AT831" s="2"/>
      <c r="AU831"/>
      <c r="AV831" s="2"/>
      <c r="AW831" s="2"/>
      <c r="AX831" s="2"/>
      <c r="AY831" s="2"/>
      <c r="AZ831" s="24"/>
      <c r="BA831" s="24"/>
      <c r="BO831" s="115" t="s">
        <v>959</v>
      </c>
      <c r="BP831" s="217">
        <v>352022</v>
      </c>
      <c r="BQ831" s="217">
        <v>405878</v>
      </c>
      <c r="BR831" s="217">
        <v>489600</v>
      </c>
      <c r="BS831" s="217">
        <v>626688</v>
      </c>
      <c r="BT831" s="217">
        <v>698170</v>
      </c>
      <c r="BV831" s="115" t="s">
        <v>959</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 customHeight="1">
      <c r="A832"/>
      <c r="B832"/>
      <c r="C832" s="1435" t="s">
        <v>1557</v>
      </c>
      <c r="D832" s="1436"/>
      <c r="E832" s="1436"/>
      <c r="F832" s="1436"/>
      <c r="G832" s="1436"/>
      <c r="H832" s="1436"/>
      <c r="I832" s="1436"/>
      <c r="J832" s="1436"/>
      <c r="K832" s="1436"/>
      <c r="L832" s="1438"/>
      <c r="M832" s="1559">
        <f>SUM(M825:P831)</f>
        <v>0</v>
      </c>
      <c r="N832" s="1559"/>
      <c r="O832" s="1559"/>
      <c r="P832" s="1559"/>
      <c r="Q832" s="1559">
        <f>SUM(Q825:T831)</f>
        <v>89</v>
      </c>
      <c r="R832" s="1559"/>
      <c r="S832" s="1559"/>
      <c r="T832" s="1559"/>
      <c r="U832" s="1559">
        <f>SUM(U825:X831)</f>
        <v>125</v>
      </c>
      <c r="V832" s="1559"/>
      <c r="W832" s="1559"/>
      <c r="X832" s="1559"/>
      <c r="Y832" s="1559">
        <f>SUM(Y825:AB831)</f>
        <v>165</v>
      </c>
      <c r="Z832" s="1559"/>
      <c r="AA832" s="1559"/>
      <c r="AB832" s="1559"/>
      <c r="AC832" s="1559">
        <f>SUM(AC825:AF831)</f>
        <v>0</v>
      </c>
      <c r="AD832" s="1559"/>
      <c r="AE832" s="1559"/>
      <c r="AF832" s="1559"/>
      <c r="AG832" s="1559">
        <f>SUM(AG825:AJ831)</f>
        <v>0</v>
      </c>
      <c r="AH832" s="1559"/>
      <c r="AI832" s="1559"/>
      <c r="AJ832" s="1559"/>
      <c r="AK832"/>
      <c r="AL832" s="2"/>
      <c r="AM832" s="2"/>
      <c r="AN832" s="2"/>
      <c r="AO832" s="2"/>
      <c r="AP832" s="2"/>
      <c r="AQ832" s="2"/>
      <c r="AR832" s="2"/>
      <c r="AS832" s="2"/>
      <c r="AT832" s="2"/>
      <c r="AU832"/>
      <c r="AV832" s="2"/>
      <c r="AW832" s="2"/>
      <c r="AX832" s="2"/>
      <c r="AY832" s="2"/>
      <c r="AZ832" s="24"/>
      <c r="BA832" s="24"/>
      <c r="BO832" s="115" t="s">
        <v>962</v>
      </c>
      <c r="BP832" s="219">
        <v>387110</v>
      </c>
      <c r="BQ832" s="219">
        <v>446334</v>
      </c>
      <c r="BR832" s="219">
        <v>538400</v>
      </c>
      <c r="BS832" s="219">
        <v>689152</v>
      </c>
      <c r="BT832" s="219">
        <v>767758</v>
      </c>
      <c r="BV832" s="115" t="s">
        <v>962</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 customHeight="1">
      <c r="A833"/>
      <c r="B833"/>
      <c r="C833" s="1109" t="s">
        <v>1605</v>
      </c>
      <c r="D833" s="38"/>
      <c r="E833" s="38"/>
      <c r="F833" s="38"/>
      <c r="G833" s="38"/>
      <c r="H833" s="38"/>
      <c r="I833" s="38"/>
      <c r="J833" s="38"/>
      <c r="K833" s="38"/>
      <c r="L833" s="38"/>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c r="AL833" s="2"/>
      <c r="AM833" s="2"/>
      <c r="AN833" s="2"/>
      <c r="AO833" s="2"/>
      <c r="AP833" s="2"/>
      <c r="AQ833" s="2"/>
      <c r="AR833" s="2"/>
      <c r="AS833" s="2"/>
      <c r="AT833" s="2"/>
      <c r="AU833"/>
      <c r="AV833" s="2"/>
      <c r="AW833" s="2"/>
      <c r="AX833" s="2"/>
      <c r="AY833" s="2"/>
      <c r="AZ833" s="24"/>
      <c r="BA833" s="24"/>
      <c r="BO833" s="115" t="s">
        <v>966</v>
      </c>
      <c r="BP833" s="217">
        <v>384234</v>
      </c>
      <c r="BQ833" s="217">
        <v>443018</v>
      </c>
      <c r="BR833" s="217">
        <v>534400</v>
      </c>
      <c r="BS833" s="217">
        <v>684032</v>
      </c>
      <c r="BT833" s="217">
        <v>762054</v>
      </c>
      <c r="BV833" s="115" t="s">
        <v>966</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 customHeight="1">
      <c r="A834"/>
      <c r="B834"/>
      <c r="C834" s="1109" t="s">
        <v>1606</v>
      </c>
      <c r="D834" s="38"/>
      <c r="E834" s="38"/>
      <c r="F834" s="38"/>
      <c r="G834" s="38"/>
      <c r="H834" s="38"/>
      <c r="I834" s="38"/>
      <c r="J834" s="38"/>
      <c r="K834" s="38"/>
      <c r="L834" s="38"/>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c r="AL834" s="2"/>
      <c r="AM834" s="2"/>
      <c r="AN834" s="2"/>
      <c r="AO834" s="2"/>
      <c r="AP834" s="2"/>
      <c r="AQ834" s="2"/>
      <c r="AR834" s="2"/>
      <c r="AS834" s="2"/>
      <c r="AT834" s="2"/>
      <c r="AU834"/>
      <c r="AV834"/>
      <c r="AW834"/>
      <c r="AX834"/>
      <c r="AY834"/>
      <c r="AZ834" s="24"/>
      <c r="BA834" s="24"/>
      <c r="BO834" s="115" t="s">
        <v>971</v>
      </c>
      <c r="BP834" s="219">
        <v>352022</v>
      </c>
      <c r="BQ834" s="219">
        <v>405878</v>
      </c>
      <c r="BR834" s="219">
        <v>489600</v>
      </c>
      <c r="BS834" s="219">
        <v>626688</v>
      </c>
      <c r="BT834" s="219">
        <v>698170</v>
      </c>
      <c r="BV834" s="115" t="s">
        <v>971</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 customHeight="1">
      <c r="A835"/>
      <c r="B835"/>
      <c r="C835" s="38"/>
      <c r="D835" s="38"/>
      <c r="E835" s="38"/>
      <c r="F835" s="38"/>
      <c r="G835" s="38"/>
      <c r="H835" s="38"/>
      <c r="I835" s="38"/>
      <c r="J835" s="38"/>
      <c r="K835" s="38"/>
      <c r="L835" s="38"/>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c r="AL835" s="2"/>
      <c r="AM835" s="2"/>
      <c r="AN835" s="2"/>
      <c r="AO835" s="2"/>
      <c r="AP835" s="2"/>
      <c r="AQ835" s="2"/>
      <c r="AR835" s="2"/>
      <c r="AS835" s="2"/>
      <c r="AT835" s="2"/>
      <c r="AU835"/>
      <c r="AV835"/>
      <c r="AW835"/>
      <c r="AX835"/>
      <c r="AY835"/>
      <c r="AZ835" s="24"/>
      <c r="BA835" s="24"/>
      <c r="BO835" s="115" t="s">
        <v>974</v>
      </c>
      <c r="BP835" s="217">
        <v>396888</v>
      </c>
      <c r="BQ835" s="217">
        <v>457608</v>
      </c>
      <c r="BR835" s="217">
        <v>552000</v>
      </c>
      <c r="BS835" s="217">
        <v>706560</v>
      </c>
      <c r="BT835" s="217">
        <v>787152</v>
      </c>
      <c r="BV835" s="115" t="s">
        <v>974</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 customHeight="1">
      <c r="A836"/>
      <c r="B836"/>
      <c r="C836" s="1" t="s">
        <v>1607</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5" t="s">
        <v>976</v>
      </c>
      <c r="BP836" s="219">
        <v>331890</v>
      </c>
      <c r="BQ836" s="219">
        <v>382666</v>
      </c>
      <c r="BR836" s="219">
        <v>461600</v>
      </c>
      <c r="BS836" s="219">
        <v>590848</v>
      </c>
      <c r="BT836" s="219">
        <v>658242</v>
      </c>
      <c r="BV836" s="115" t="s">
        <v>976</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 customHeight="1">
      <c r="A837"/>
      <c r="B837"/>
      <c r="C837" s="1658" t="s">
        <v>1608</v>
      </c>
      <c r="D837" s="1659"/>
      <c r="E837" s="1659"/>
      <c r="F837" s="1659"/>
      <c r="G837" s="1659"/>
      <c r="H837" s="1659"/>
      <c r="I837" s="1659"/>
      <c r="J837" s="1659"/>
      <c r="K837" s="1659"/>
      <c r="L837" s="1659"/>
      <c r="M837" s="1659"/>
      <c r="N837" s="1659"/>
      <c r="O837" s="1659"/>
      <c r="P837" s="1659"/>
      <c r="Q837" s="1659"/>
      <c r="R837" s="1659"/>
      <c r="S837" s="1659"/>
      <c r="T837" s="1659"/>
      <c r="U837" s="1659"/>
      <c r="V837" s="1659"/>
      <c r="W837" s="1659"/>
      <c r="X837" s="1659"/>
      <c r="Y837" s="1659"/>
      <c r="Z837" s="1659"/>
      <c r="AA837" s="1659"/>
      <c r="AB837" s="1659"/>
      <c r="AC837" s="1659"/>
      <c r="AD837" s="1659"/>
      <c r="AE837" s="1659"/>
      <c r="AF837" s="1659"/>
      <c r="AG837" s="1659"/>
      <c r="AH837" s="1659"/>
      <c r="AI837" s="1659"/>
      <c r="AJ837" s="1660"/>
      <c r="AK837"/>
      <c r="AL837" s="2"/>
      <c r="AM837" s="2"/>
      <c r="AN837" s="2"/>
      <c r="AO837" s="2"/>
      <c r="AP837" s="2"/>
      <c r="AQ837" s="2"/>
      <c r="AR837" s="2"/>
      <c r="AS837" s="2"/>
      <c r="AT837" s="2"/>
      <c r="AU837"/>
      <c r="AV837"/>
      <c r="AW837"/>
      <c r="AX837"/>
      <c r="AY837"/>
      <c r="AZ837" s="24"/>
      <c r="BA837" s="24"/>
      <c r="BO837" s="115" t="s">
        <v>978</v>
      </c>
      <c r="BP837" s="217">
        <v>352022</v>
      </c>
      <c r="BQ837" s="217">
        <v>405878</v>
      </c>
      <c r="BR837" s="217">
        <v>489600</v>
      </c>
      <c r="BS837" s="217">
        <v>626688</v>
      </c>
      <c r="BT837" s="217">
        <v>698170</v>
      </c>
      <c r="BV837" s="115" t="s">
        <v>978</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 customHeight="1">
      <c r="A838"/>
      <c r="B838" s="2"/>
      <c r="C838" s="2" t="s">
        <v>1609</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5" t="s">
        <v>984</v>
      </c>
      <c r="BP838" s="219">
        <v>314634</v>
      </c>
      <c r="BQ838" s="219">
        <v>362770</v>
      </c>
      <c r="BR838" s="219">
        <v>437600</v>
      </c>
      <c r="BS838" s="219">
        <v>560128</v>
      </c>
      <c r="BT838" s="219">
        <v>624018</v>
      </c>
      <c r="BV838" s="115" t="s">
        <v>984</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5" t="s">
        <v>989</v>
      </c>
      <c r="BP839" s="217">
        <v>331890</v>
      </c>
      <c r="BQ839" s="217">
        <v>382666</v>
      </c>
      <c r="BR839" s="217">
        <v>461600</v>
      </c>
      <c r="BS839" s="217">
        <v>590848</v>
      </c>
      <c r="BT839" s="217">
        <v>658242</v>
      </c>
      <c r="BV839" s="115" t="s">
        <v>989</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 customHeight="1">
      <c r="A840" s="1" t="s">
        <v>1158</v>
      </c>
      <c r="B840"/>
      <c r="C840" s="1" t="s">
        <v>1610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5" t="s">
        <v>994</v>
      </c>
      <c r="BP840" s="219">
        <v>352022</v>
      </c>
      <c r="BQ840" s="219">
        <v>405878</v>
      </c>
      <c r="BR840" s="219">
        <v>489600</v>
      </c>
      <c r="BS840" s="219">
        <v>626688</v>
      </c>
      <c r="BT840" s="219">
        <v>698170</v>
      </c>
      <c r="BV840" s="115" t="s">
        <v>994</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94">
        <f>ROUNDDOWN(BC939*2,2)</f>
        <v>0</v>
      </c>
      <c r="BJ841" s="1594"/>
      <c r="BK841" s="1594"/>
      <c r="BL841" s="1594"/>
      <c r="BO841" s="115" t="s">
        <v>998</v>
      </c>
      <c r="BP841" s="217">
        <v>314634</v>
      </c>
      <c r="BQ841" s="217">
        <v>362770</v>
      </c>
      <c r="BR841" s="217">
        <v>437600</v>
      </c>
      <c r="BS841" s="217">
        <v>560128</v>
      </c>
      <c r="BT841" s="217">
        <v>624018</v>
      </c>
      <c r="BV841" s="115" t="s">
        <v>998</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 customHeight="1">
      <c r="A842"/>
      <c r="B842"/>
      <c r="C842" s="1" t="s">
        <v>1611</v>
      </c>
      <c r="D842"/>
      <c r="E842"/>
      <c r="F842"/>
      <c r="G842"/>
      <c r="H842"/>
      <c r="I842"/>
      <c r="J842" s="1155" t="s">
        <v>1612</v>
      </c>
      <c r="K842" s="4"/>
      <c r="L842" s="4"/>
      <c r="M842" s="4"/>
      <c r="N842" s="4"/>
      <c r="O842" s="4"/>
      <c r="P842" s="4"/>
      <c r="Q842" s="4"/>
      <c r="R842" s="4"/>
      <c r="S842" s="4"/>
      <c r="T842" s="4"/>
      <c r="U842" s="4"/>
      <c r="V842" s="1156"/>
      <c r="W842" s="1560">
        <f>957+5502</f>
        <v>6459</v>
      </c>
      <c r="X842" s="1560"/>
      <c r="Y842" s="1560"/>
      <c r="Z842" s="1560"/>
      <c r="AA842" s="1560"/>
      <c r="AB842" s="1560"/>
      <c r="AC842" s="1560"/>
      <c r="AD842"/>
      <c r="AE842"/>
      <c r="AF842"/>
      <c r="AG842"/>
      <c r="AH842"/>
      <c r="AI842"/>
      <c r="AJ842"/>
      <c r="AK842"/>
      <c r="AL842"/>
      <c r="AM842"/>
      <c r="AN842"/>
      <c r="AO842"/>
      <c r="AP842"/>
      <c r="AQ842"/>
      <c r="AR842"/>
      <c r="AS842"/>
      <c r="AT842"/>
      <c r="AU842"/>
      <c r="AV842"/>
      <c r="AW842"/>
      <c r="AX842"/>
      <c r="AY842"/>
      <c r="AZ842" s="24"/>
      <c r="BA842" s="24"/>
      <c r="BO842" s="115" t="s">
        <v>1003</v>
      </c>
      <c r="BP842" s="219">
        <v>353173</v>
      </c>
      <c r="BQ842" s="219">
        <v>407205</v>
      </c>
      <c r="BR842" s="219">
        <v>491200</v>
      </c>
      <c r="BS842" s="219">
        <v>628736</v>
      </c>
      <c r="BT842" s="219">
        <v>700451</v>
      </c>
      <c r="BV842" s="115" t="s">
        <v>1003</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 customHeight="1">
      <c r="A843"/>
      <c r="B843"/>
      <c r="C843"/>
      <c r="D843"/>
      <c r="E843"/>
      <c r="F843"/>
      <c r="G843"/>
      <c r="H843"/>
      <c r="I843"/>
      <c r="J843" s="1155" t="s">
        <v>1613</v>
      </c>
      <c r="K843" s="4"/>
      <c r="L843" s="4"/>
      <c r="M843" s="4"/>
      <c r="N843" s="4"/>
      <c r="O843" s="4"/>
      <c r="P843" s="4"/>
      <c r="Q843" s="4"/>
      <c r="R843" s="4"/>
      <c r="S843" s="4"/>
      <c r="T843" s="4"/>
      <c r="U843" s="4"/>
      <c r="V843" s="1156"/>
      <c r="W843" s="1560">
        <f>4000+598</f>
        <v>4598</v>
      </c>
      <c r="X843" s="1560"/>
      <c r="Y843" s="1560"/>
      <c r="Z843" s="1560"/>
      <c r="AA843" s="1560"/>
      <c r="AB843" s="1560"/>
      <c r="AC843" s="1560"/>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5" t="s">
        <v>1006</v>
      </c>
      <c r="BP843" s="217">
        <v>689665</v>
      </c>
      <c r="BQ843" s="217">
        <v>795177</v>
      </c>
      <c r="BR843" s="217">
        <v>959200</v>
      </c>
      <c r="BS843" s="217">
        <v>1227776</v>
      </c>
      <c r="BT843" s="217">
        <v>1367819</v>
      </c>
      <c r="BV843" s="115" t="s">
        <v>1006</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 customHeight="1">
      <c r="J844" s="1155" t="s">
        <v>1614</v>
      </c>
      <c r="K844" s="4"/>
      <c r="L844" s="4"/>
      <c r="M844" s="4"/>
      <c r="N844" s="4"/>
      <c r="O844" s="4"/>
      <c r="P844" s="4"/>
      <c r="Q844" s="4"/>
      <c r="R844" s="4"/>
      <c r="S844" s="4"/>
      <c r="T844" s="4"/>
      <c r="U844" s="4"/>
      <c r="V844" s="1156"/>
      <c r="W844" s="1560">
        <f>2930+6997</f>
        <v>9927</v>
      </c>
      <c r="X844" s="1560"/>
      <c r="Y844" s="1560"/>
      <c r="Z844" s="1560"/>
      <c r="AA844" s="1560"/>
      <c r="AB844" s="1560"/>
      <c r="AC844" s="1560"/>
      <c r="AZ844" s="24"/>
      <c r="BA844" s="24"/>
      <c r="BB844" s="12"/>
      <c r="BC844" s="12"/>
      <c r="BD844" s="12"/>
      <c r="BE844" s="12"/>
      <c r="BF844" s="12"/>
      <c r="BG844" s="12"/>
      <c r="BH844" s="12"/>
      <c r="BI844" s="12"/>
      <c r="BJ844" s="12"/>
      <c r="BK844" s="12"/>
      <c r="BL844" s="12"/>
      <c r="BM844" s="12"/>
      <c r="BN844" s="12"/>
      <c r="BO844" s="115" t="s">
        <v>1011</v>
      </c>
      <c r="BP844" s="219">
        <v>307732</v>
      </c>
      <c r="BQ844" s="219">
        <v>354812</v>
      </c>
      <c r="BR844" s="219">
        <v>428000</v>
      </c>
      <c r="BS844" s="219">
        <v>547840</v>
      </c>
      <c r="BT844" s="219">
        <v>610328</v>
      </c>
      <c r="BU844" s="12"/>
      <c r="BV844" s="115" t="s">
        <v>1011</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 customHeight="1">
      <c r="J845" s="1155" t="s">
        <v>1615</v>
      </c>
      <c r="K845" s="4"/>
      <c r="L845" s="4"/>
      <c r="M845" s="4"/>
      <c r="N845" s="4"/>
      <c r="O845" s="4"/>
      <c r="P845" s="4"/>
      <c r="Q845" s="4"/>
      <c r="R845" s="4"/>
      <c r="S845" s="4"/>
      <c r="T845" s="4"/>
      <c r="U845" s="4"/>
      <c r="V845" s="1156"/>
      <c r="W845" s="1560">
        <v>8372</v>
      </c>
      <c r="X845" s="1560"/>
      <c r="Y845" s="1560"/>
      <c r="Z845" s="1560"/>
      <c r="AA845" s="1560"/>
      <c r="AB845" s="1560"/>
      <c r="AC845" s="1560"/>
      <c r="AZ845" s="24"/>
      <c r="BA845" s="24"/>
      <c r="BB845" s="12"/>
      <c r="BC845" s="12"/>
      <c r="BD845" s="12"/>
      <c r="BE845" s="12"/>
      <c r="BF845" s="12"/>
      <c r="BG845" s="12"/>
      <c r="BH845" s="12"/>
      <c r="BI845" s="12"/>
      <c r="BJ845" s="12"/>
      <c r="BK845" s="12"/>
      <c r="BL845" s="12"/>
      <c r="BM845" s="12"/>
      <c r="BN845" s="12"/>
      <c r="BO845" s="115" t="s">
        <v>1015</v>
      </c>
      <c r="BP845" s="217">
        <v>387110</v>
      </c>
      <c r="BQ845" s="217">
        <v>446334</v>
      </c>
      <c r="BR845" s="217">
        <v>538400</v>
      </c>
      <c r="BS845" s="217">
        <v>689152</v>
      </c>
      <c r="BT845" s="217">
        <v>767758</v>
      </c>
      <c r="BU845" s="12"/>
      <c r="BV845" s="115" t="s">
        <v>1015</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 customHeight="1">
      <c r="J846" s="1155" t="s">
        <v>232</v>
      </c>
      <c r="K846" s="4"/>
      <c r="L846" s="4"/>
      <c r="M846" s="1554" t="s">
        <v>1616</v>
      </c>
      <c r="N846" s="1555"/>
      <c r="O846" s="1555"/>
      <c r="P846" s="1555"/>
      <c r="Q846" s="1555"/>
      <c r="R846" s="1555"/>
      <c r="S846" s="1555"/>
      <c r="T846" s="1555"/>
      <c r="U846" s="1555"/>
      <c r="V846" s="1556"/>
      <c r="W846" s="1560">
        <f>1375+36598</f>
        <v>37973</v>
      </c>
      <c r="X846" s="1560"/>
      <c r="Y846" s="1560"/>
      <c r="Z846" s="1560"/>
      <c r="AA846" s="1560"/>
      <c r="AB846" s="1560"/>
      <c r="AC846" s="1560"/>
      <c r="AZ846" s="24">
        <f>IF(AJ1028&gt;1,0.05,0)</f>
        <v>0.05</v>
      </c>
      <c r="BA846" s="24"/>
      <c r="BB846" s="12"/>
      <c r="BC846" s="12"/>
      <c r="BD846" s="12"/>
      <c r="BE846" s="12"/>
      <c r="BF846" s="12"/>
      <c r="BG846" s="12"/>
      <c r="BH846" s="12"/>
      <c r="BI846" s="12"/>
      <c r="BJ846" s="12"/>
      <c r="BK846" s="12"/>
      <c r="BL846" s="12"/>
      <c r="BM846" s="12"/>
      <c r="BN846" s="12"/>
      <c r="BO846" s="115" t="s">
        <v>1019</v>
      </c>
      <c r="BP846" s="218">
        <v>532060</v>
      </c>
      <c r="BQ846" s="218">
        <v>613460</v>
      </c>
      <c r="BR846" s="219">
        <v>740000</v>
      </c>
      <c r="BS846" s="218">
        <v>947200</v>
      </c>
      <c r="BT846" s="218">
        <v>1055240</v>
      </c>
      <c r="BU846" s="12"/>
      <c r="BV846" s="115" t="s">
        <v>1019</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 customHeight="1">
      <c r="J847" s="1155"/>
      <c r="K847" s="4"/>
      <c r="L847" s="4"/>
      <c r="M847" s="4"/>
      <c r="N847" s="4"/>
      <c r="O847" s="4"/>
      <c r="P847" s="4"/>
      <c r="Q847" s="4"/>
      <c r="R847" s="4"/>
      <c r="S847" s="4"/>
      <c r="T847" s="4"/>
      <c r="U847" s="4"/>
      <c r="V847" s="1159" t="s">
        <v>1617</v>
      </c>
      <c r="W847" s="1564">
        <f>SUM(W842:AC846)</f>
        <v>67329</v>
      </c>
      <c r="X847" s="1565"/>
      <c r="Y847" s="1565"/>
      <c r="Z847" s="1565"/>
      <c r="AA847" s="1565"/>
      <c r="AB847" s="1565"/>
      <c r="AC847" s="1566"/>
      <c r="AZ847" s="24"/>
      <c r="BA847" s="24"/>
      <c r="BB847" s="12"/>
      <c r="BC847" s="12"/>
      <c r="BD847" s="12"/>
      <c r="BE847" s="12"/>
      <c r="BF847" s="12"/>
      <c r="BG847" s="12"/>
      <c r="BH847" s="12"/>
      <c r="BI847" s="12"/>
      <c r="BJ847" s="12"/>
      <c r="BK847" s="12"/>
      <c r="BL847" s="12"/>
      <c r="BM847" s="12"/>
      <c r="BN847" s="12"/>
      <c r="BO847" s="115" t="s">
        <v>1022</v>
      </c>
      <c r="BP847" s="217">
        <v>387110</v>
      </c>
      <c r="BQ847" s="217">
        <v>446334</v>
      </c>
      <c r="BR847" s="217">
        <v>538400</v>
      </c>
      <c r="BS847" s="217">
        <v>689152</v>
      </c>
      <c r="BT847" s="217">
        <v>767758</v>
      </c>
      <c r="BU847" s="12"/>
      <c r="BV847" s="115" t="s">
        <v>1022</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 customHeight="1">
      <c r="AZ848" s="24"/>
      <c r="BA848" s="24"/>
      <c r="BB848" s="12"/>
      <c r="BC848" s="12"/>
      <c r="BD848" s="12"/>
      <c r="BE848" s="12"/>
      <c r="BF848" s="12"/>
      <c r="BG848" s="1567"/>
      <c r="BH848" s="1567"/>
      <c r="BI848" s="1567"/>
      <c r="BJ848" s="1567"/>
      <c r="BK848" s="1567"/>
      <c r="BL848" s="1567"/>
      <c r="BM848" s="12"/>
      <c r="BN848" s="12"/>
      <c r="BO848" s="115" t="s">
        <v>1026</v>
      </c>
      <c r="BP848" s="218">
        <v>532060</v>
      </c>
      <c r="BQ848" s="218">
        <v>613460</v>
      </c>
      <c r="BR848" s="218">
        <v>740000</v>
      </c>
      <c r="BS848" s="218">
        <v>947200</v>
      </c>
      <c r="BT848" s="218">
        <v>1055240</v>
      </c>
      <c r="BU848" s="12"/>
      <c r="BV848" s="115" t="s">
        <v>1026</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 customHeight="1">
      <c r="C849" s="1" t="s">
        <v>1618</v>
      </c>
      <c r="J849" s="1435" t="s">
        <v>1619</v>
      </c>
      <c r="K849" s="1436"/>
      <c r="L849" s="1436"/>
      <c r="M849" s="1436"/>
      <c r="N849" s="1436"/>
      <c r="O849" s="1436"/>
      <c r="P849" s="1436"/>
      <c r="Q849" s="1436"/>
      <c r="R849" s="1436"/>
      <c r="S849" s="1436"/>
      <c r="T849" s="1436"/>
      <c r="U849" s="1436"/>
      <c r="V849" s="1438"/>
      <c r="W849" s="1461">
        <v>67933</v>
      </c>
      <c r="X849" s="1462"/>
      <c r="Y849" s="1462"/>
      <c r="Z849" s="1462"/>
      <c r="AA849" s="1462"/>
      <c r="AB849" s="1462"/>
      <c r="AC849" s="1463"/>
      <c r="AD849" s="402"/>
      <c r="AZ849" s="24"/>
      <c r="BA849" s="24"/>
      <c r="BB849" s="12"/>
      <c r="BC849" s="12"/>
      <c r="BD849" s="12"/>
      <c r="BE849" s="12"/>
      <c r="BF849" s="12"/>
      <c r="BG849" s="1160"/>
      <c r="BH849" s="1160"/>
      <c r="BI849" s="1160"/>
      <c r="BJ849" s="1160"/>
      <c r="BK849" s="1160"/>
      <c r="BL849" s="1160"/>
      <c r="BM849" s="12"/>
      <c r="BN849" s="12"/>
      <c r="BO849" s="115" t="s">
        <v>1030</v>
      </c>
      <c r="BP849" s="217">
        <v>387110</v>
      </c>
      <c r="BQ849" s="217">
        <v>446334</v>
      </c>
      <c r="BR849" s="217">
        <v>538400</v>
      </c>
      <c r="BS849" s="217">
        <v>689152</v>
      </c>
      <c r="BT849" s="217">
        <v>767758</v>
      </c>
      <c r="BU849" s="12"/>
      <c r="BV849" s="115" t="s">
        <v>1030</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 customHeight="1">
      <c r="AD850" s="402"/>
      <c r="AZ850" s="24"/>
      <c r="BA850" s="24"/>
      <c r="BB850" s="12"/>
      <c r="BC850" s="12"/>
      <c r="BD850" s="12"/>
      <c r="BE850" s="12"/>
      <c r="BF850" s="12"/>
      <c r="BG850" s="1160"/>
      <c r="BH850" s="1160"/>
      <c r="BI850" s="1160"/>
      <c r="BJ850" s="1160"/>
      <c r="BK850" s="1160"/>
      <c r="BL850" s="1160"/>
      <c r="BM850" s="12"/>
      <c r="BN850" s="12"/>
      <c r="BO850" s="115" t="s">
        <v>1035</v>
      </c>
      <c r="BP850" s="219">
        <v>319236</v>
      </c>
      <c r="BQ850" s="219">
        <v>368076</v>
      </c>
      <c r="BR850" s="219">
        <v>444000</v>
      </c>
      <c r="BS850" s="219">
        <v>568320</v>
      </c>
      <c r="BT850" s="219">
        <v>633144</v>
      </c>
      <c r="BU850" s="12"/>
      <c r="BV850" s="115" t="s">
        <v>1035</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 customHeight="1">
      <c r="C851" s="1" t="s">
        <v>229</v>
      </c>
      <c r="J851" s="1155" t="s">
        <v>1620</v>
      </c>
      <c r="K851" s="4"/>
      <c r="L851" s="4"/>
      <c r="M851" s="4"/>
      <c r="N851" s="4"/>
      <c r="O851" s="4"/>
      <c r="P851" s="4"/>
      <c r="Q851" s="4"/>
      <c r="R851" s="4"/>
      <c r="S851" s="4"/>
      <c r="T851" s="4"/>
      <c r="U851" s="4"/>
      <c r="V851" s="1156"/>
      <c r="W851" s="1561"/>
      <c r="X851" s="1561"/>
      <c r="Y851" s="1561"/>
      <c r="Z851" s="1561"/>
      <c r="AA851" s="1561"/>
      <c r="AB851" s="1561"/>
      <c r="AC851" s="1561"/>
      <c r="AZ851" s="1568">
        <f>SUM(AZ818:AZ846)</f>
        <v>7.5000000000000011E-2</v>
      </c>
      <c r="BA851" s="1568"/>
      <c r="BB851" s="12"/>
      <c r="BC851" s="12"/>
      <c r="BD851" s="12"/>
      <c r="BE851" s="12"/>
      <c r="BF851" s="12"/>
      <c r="BG851" s="12"/>
      <c r="BH851" s="12"/>
      <c r="BI851" s="12"/>
      <c r="BJ851" s="12"/>
      <c r="BK851" s="12"/>
      <c r="BL851" s="12"/>
      <c r="BM851" s="12"/>
      <c r="BN851" s="12"/>
      <c r="BO851" s="115" t="s">
        <v>1038</v>
      </c>
      <c r="BP851" s="217">
        <v>352022</v>
      </c>
      <c r="BQ851" s="217">
        <v>405878</v>
      </c>
      <c r="BR851" s="217">
        <v>489600</v>
      </c>
      <c r="BS851" s="217">
        <v>626688</v>
      </c>
      <c r="BT851" s="217">
        <v>698170</v>
      </c>
      <c r="BU851" s="12"/>
      <c r="BV851" s="115" t="s">
        <v>1038</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 customHeight="1">
      <c r="J852" s="1155" t="s">
        <v>1621</v>
      </c>
      <c r="K852" s="4"/>
      <c r="L852" s="4"/>
      <c r="M852" s="4"/>
      <c r="N852" s="4"/>
      <c r="O852" s="4"/>
      <c r="P852" s="4"/>
      <c r="Q852" s="4"/>
      <c r="R852" s="4"/>
      <c r="S852" s="4"/>
      <c r="T852" s="4"/>
      <c r="U852" s="4"/>
      <c r="V852" s="1156"/>
      <c r="W852" s="1561"/>
      <c r="X852" s="1561"/>
      <c r="Y852" s="1561"/>
      <c r="Z852" s="1561"/>
      <c r="AA852" s="1561"/>
      <c r="AB852" s="1561"/>
      <c r="AC852" s="1561"/>
      <c r="AZ852" s="24"/>
      <c r="BA852" s="24"/>
      <c r="BB852" s="12"/>
      <c r="BC852" s="12"/>
      <c r="BD852" s="12"/>
      <c r="BE852" s="12"/>
      <c r="BF852" s="12"/>
      <c r="BG852" s="12"/>
      <c r="BH852" s="12"/>
      <c r="BI852" s="12"/>
      <c r="BJ852" s="12"/>
      <c r="BK852" s="12"/>
      <c r="BL852" s="12"/>
      <c r="BM852" s="12"/>
      <c r="BN852" s="12"/>
      <c r="BO852" s="115" t="s">
        <v>1043</v>
      </c>
      <c r="BP852" s="219">
        <v>352022</v>
      </c>
      <c r="BQ852" s="219">
        <v>405878</v>
      </c>
      <c r="BR852" s="219">
        <v>489600</v>
      </c>
      <c r="BS852" s="219">
        <v>626688</v>
      </c>
      <c r="BT852" s="219">
        <v>698170</v>
      </c>
      <c r="BU852" s="12"/>
      <c r="BV852" s="115" t="s">
        <v>1043</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 customHeight="1">
      <c r="J853" s="1155" t="s">
        <v>1602</v>
      </c>
      <c r="K853" s="4"/>
      <c r="L853" s="4"/>
      <c r="M853" s="4"/>
      <c r="N853" s="4"/>
      <c r="O853" s="4"/>
      <c r="P853" s="4"/>
      <c r="Q853" s="4"/>
      <c r="R853" s="4"/>
      <c r="S853" s="4"/>
      <c r="T853" s="4"/>
      <c r="U853" s="4"/>
      <c r="V853" s="1156"/>
      <c r="W853" s="1561">
        <v>28525</v>
      </c>
      <c r="X853" s="1561"/>
      <c r="Y853" s="1561"/>
      <c r="Z853" s="1561"/>
      <c r="AA853" s="1561"/>
      <c r="AB853" s="1561"/>
      <c r="AC853" s="1561"/>
      <c r="AZ853" s="24"/>
      <c r="BA853" s="24"/>
      <c r="BB853" s="12"/>
      <c r="BC853" s="12"/>
      <c r="BD853" s="12"/>
      <c r="BE853" s="12"/>
      <c r="BF853" s="12"/>
      <c r="BG853" s="12"/>
      <c r="BH853" s="12"/>
      <c r="BI853" s="12"/>
      <c r="BJ853" s="12"/>
      <c r="BK853" s="12"/>
      <c r="BL853" s="12"/>
      <c r="BM853" s="12"/>
      <c r="BN853" s="12"/>
      <c r="BO853" s="115" t="s">
        <v>1047</v>
      </c>
      <c r="BP853" s="217">
        <v>384234</v>
      </c>
      <c r="BQ853" s="217">
        <v>443018</v>
      </c>
      <c r="BR853" s="217">
        <v>534400</v>
      </c>
      <c r="BS853" s="217">
        <v>684032</v>
      </c>
      <c r="BT853" s="217">
        <v>762054</v>
      </c>
      <c r="BU853" s="12"/>
      <c r="BV853" s="115" t="s">
        <v>1047</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 customHeight="1">
      <c r="J854" s="1053" t="s">
        <v>1622</v>
      </c>
      <c r="K854" s="4"/>
      <c r="L854" s="4"/>
      <c r="M854" s="4"/>
      <c r="N854" s="4"/>
      <c r="O854" s="4"/>
      <c r="P854" s="4"/>
      <c r="Q854" s="4"/>
      <c r="R854" s="4"/>
      <c r="S854" s="4"/>
      <c r="T854" s="4"/>
      <c r="U854" s="4"/>
      <c r="V854" s="1156"/>
      <c r="W854" s="1561">
        <f>27628+25594</f>
        <v>53222</v>
      </c>
      <c r="X854" s="1561"/>
      <c r="Y854" s="1561"/>
      <c r="Z854" s="1561"/>
      <c r="AA854" s="1561"/>
      <c r="AB854" s="1561"/>
      <c r="AC854" s="1561"/>
      <c r="AZ854" s="2"/>
      <c r="BA854" s="2"/>
      <c r="BB854" s="2"/>
      <c r="BC854" s="2"/>
      <c r="BD854" s="2"/>
      <c r="BE854" s="2"/>
      <c r="BF854" s="2"/>
      <c r="BG854" s="2"/>
      <c r="BH854" s="2"/>
      <c r="BI854" s="2"/>
      <c r="BJ854" s="2"/>
      <c r="BK854" s="2"/>
      <c r="BL854" s="2"/>
      <c r="BM854" s="2"/>
      <c r="BN854" s="2"/>
      <c r="BO854" s="115" t="s">
        <v>1053</v>
      </c>
      <c r="BP854" s="219">
        <v>384234</v>
      </c>
      <c r="BQ854" s="219">
        <v>443018</v>
      </c>
      <c r="BR854" s="219">
        <v>534400</v>
      </c>
      <c r="BS854" s="219">
        <v>684032</v>
      </c>
      <c r="BT854" s="219">
        <v>762054</v>
      </c>
      <c r="BU854" s="12"/>
      <c r="BV854" s="115" t="s">
        <v>1053</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 customHeight="1">
      <c r="J855" s="40"/>
      <c r="K855" s="33"/>
      <c r="L855" s="33"/>
      <c r="M855" s="33"/>
      <c r="N855" s="33"/>
      <c r="O855" s="33"/>
      <c r="P855" s="33"/>
      <c r="Q855" s="33"/>
      <c r="R855" s="33"/>
      <c r="S855" s="33"/>
      <c r="T855" s="33"/>
      <c r="U855" s="33"/>
      <c r="V855" s="1159" t="s">
        <v>1623</v>
      </c>
      <c r="W855" s="1617">
        <f>SUM(W851:AC854)</f>
        <v>81747</v>
      </c>
      <c r="X855" s="1617"/>
      <c r="Y855" s="1617"/>
      <c r="Z855" s="1617"/>
      <c r="AA855" s="1617"/>
      <c r="AB855" s="1617"/>
      <c r="AC855" s="1617"/>
      <c r="AZ855" s="2"/>
      <c r="BA855" s="2"/>
      <c r="BB855" s="2"/>
      <c r="BC855" s="2"/>
      <c r="BD855" s="2"/>
      <c r="BE855" s="2"/>
      <c r="BF855" s="2"/>
      <c r="BG855" s="2"/>
      <c r="BH855" s="2"/>
      <c r="BI855" s="2"/>
      <c r="BJ855" s="2"/>
      <c r="BK855" s="2"/>
      <c r="BL855" s="2"/>
      <c r="BM855" s="2"/>
      <c r="BN855" s="2"/>
      <c r="BO855" s="115" t="s">
        <v>1056</v>
      </c>
      <c r="BP855" s="217">
        <v>307732</v>
      </c>
      <c r="BQ855" s="217">
        <v>354812</v>
      </c>
      <c r="BR855" s="217">
        <v>428000</v>
      </c>
      <c r="BS855" s="217">
        <v>547840</v>
      </c>
      <c r="BT855" s="217">
        <v>610328</v>
      </c>
      <c r="BU855" s="12"/>
      <c r="BV855" s="115" t="s">
        <v>1056</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 customHeight="1">
      <c r="AZ856" s="2"/>
      <c r="BA856" s="2"/>
      <c r="BB856" s="2"/>
      <c r="BC856" s="2"/>
      <c r="BD856" s="2"/>
      <c r="BE856" s="2"/>
      <c r="BF856" s="2"/>
      <c r="BG856" s="2"/>
      <c r="BH856" s="2"/>
      <c r="BI856" s="2"/>
      <c r="BJ856" s="2"/>
      <c r="BK856" s="2"/>
      <c r="BL856" s="2"/>
      <c r="BM856" s="2"/>
      <c r="BN856" s="2"/>
      <c r="BO856" s="115" t="s">
        <v>1061</v>
      </c>
      <c r="BP856" s="219">
        <v>331890</v>
      </c>
      <c r="BQ856" s="219">
        <v>382666</v>
      </c>
      <c r="BR856" s="219">
        <v>461600</v>
      </c>
      <c r="BS856" s="219">
        <v>590848</v>
      </c>
      <c r="BT856" s="219">
        <v>658242</v>
      </c>
      <c r="BU856" s="12"/>
      <c r="BV856" s="115" t="s">
        <v>1061</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 customHeight="1">
      <c r="C857" s="1" t="s">
        <v>1624</v>
      </c>
      <c r="J857" s="1155" t="s">
        <v>1625</v>
      </c>
      <c r="K857" s="4"/>
      <c r="L857" s="4"/>
      <c r="M857" s="4"/>
      <c r="N857" s="4"/>
      <c r="O857" s="4"/>
      <c r="P857" s="4"/>
      <c r="Q857" s="4"/>
      <c r="R857" s="4"/>
      <c r="S857" s="4"/>
      <c r="T857" s="4"/>
      <c r="U857" s="4"/>
      <c r="V857" s="1156"/>
      <c r="W857" s="1575">
        <v>54119</v>
      </c>
      <c r="X857" s="1576"/>
      <c r="Y857" s="1576"/>
      <c r="Z857" s="1576"/>
      <c r="AA857" s="1576"/>
      <c r="AB857" s="1576"/>
      <c r="AC857" s="1577"/>
      <c r="AD857" s="397"/>
      <c r="AZ857" s="2"/>
      <c r="BA857" s="2"/>
      <c r="BB857" s="2"/>
      <c r="BC857" s="2"/>
      <c r="BD857" s="2"/>
      <c r="BE857" s="2"/>
      <c r="BF857" s="2"/>
      <c r="BG857" s="2"/>
      <c r="BH857" s="2"/>
      <c r="BI857" s="2"/>
      <c r="BJ857" s="2"/>
      <c r="BK857" s="2"/>
      <c r="BL857" s="2"/>
      <c r="BM857" s="2"/>
      <c r="BN857" s="2"/>
      <c r="BO857" s="115" t="s">
        <v>1065</v>
      </c>
      <c r="BP857" s="217">
        <v>352022</v>
      </c>
      <c r="BQ857" s="217">
        <v>405878</v>
      </c>
      <c r="BR857" s="217">
        <v>489600</v>
      </c>
      <c r="BS857" s="217">
        <v>626688</v>
      </c>
      <c r="BT857" s="217">
        <v>698170</v>
      </c>
      <c r="BU857" s="12"/>
      <c r="BV857" s="115" t="s">
        <v>1065</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 customHeight="1">
      <c r="C858" s="1" t="s">
        <v>1626</v>
      </c>
      <c r="J858" s="1167" t="s">
        <v>1627</v>
      </c>
      <c r="K858" s="4"/>
      <c r="L858" s="4"/>
      <c r="M858" s="4"/>
      <c r="N858" s="4"/>
      <c r="O858" s="4"/>
      <c r="P858" s="4"/>
      <c r="Q858" s="4"/>
      <c r="R858" s="4"/>
      <c r="S858" s="4"/>
      <c r="T858" s="1570"/>
      <c r="U858" s="1531"/>
      <c r="V858" s="1571"/>
      <c r="W858" s="1170"/>
      <c r="X858" s="1171"/>
      <c r="Y858" s="1171"/>
      <c r="Z858" s="1171"/>
      <c r="AA858" s="1171"/>
      <c r="AB858" s="1171"/>
      <c r="AC858" s="1172"/>
      <c r="AD858" s="397"/>
      <c r="AZ858" s="2"/>
      <c r="BA858" s="2"/>
      <c r="BB858" s="2"/>
      <c r="BC858" s="2"/>
      <c r="BD858" s="2"/>
      <c r="BE858" s="2"/>
      <c r="BF858" s="2"/>
      <c r="BG858" s="2"/>
      <c r="BH858" s="2"/>
      <c r="BI858" s="2"/>
      <c r="BJ858" s="2"/>
      <c r="BK858" s="2"/>
      <c r="BL858" s="2"/>
      <c r="BM858" s="2"/>
      <c r="BN858" s="2"/>
      <c r="BO858" s="115" t="s">
        <v>1068</v>
      </c>
      <c r="BP858" s="219">
        <v>352022</v>
      </c>
      <c r="BQ858" s="219">
        <v>405878</v>
      </c>
      <c r="BR858" s="219">
        <v>489600</v>
      </c>
      <c r="BS858" s="219">
        <v>626688</v>
      </c>
      <c r="BT858" s="219">
        <v>698170</v>
      </c>
      <c r="BU858" s="12"/>
      <c r="BV858" s="115" t="s">
        <v>1068</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 customHeight="1">
      <c r="C859" s="1"/>
      <c r="J859" s="1155" t="s">
        <v>1628</v>
      </c>
      <c r="K859" s="4"/>
      <c r="L859" s="4"/>
      <c r="M859" s="4"/>
      <c r="N859" s="4"/>
      <c r="O859" s="4"/>
      <c r="P859" s="4"/>
      <c r="Q859" s="4"/>
      <c r="R859" s="4"/>
      <c r="S859" s="4"/>
      <c r="T859" s="4"/>
      <c r="U859" s="4"/>
      <c r="V859" s="1156"/>
      <c r="W859" s="1575">
        <v>94192</v>
      </c>
      <c r="X859" s="1576"/>
      <c r="Y859" s="1576"/>
      <c r="Z859" s="1576"/>
      <c r="AA859" s="1576"/>
      <c r="AB859" s="1576"/>
      <c r="AC859" s="1577"/>
      <c r="AD859" s="402"/>
      <c r="AZ859" s="2"/>
      <c r="BA859" s="2"/>
      <c r="BB859" s="2"/>
      <c r="BC859" s="2"/>
      <c r="BD859" s="2"/>
      <c r="BE859" s="2"/>
      <c r="BF859" s="2"/>
      <c r="BG859" s="2"/>
      <c r="BH859" s="2"/>
      <c r="BI859" s="2"/>
      <c r="BJ859" s="2"/>
      <c r="BK859" s="2"/>
      <c r="BL859" s="2"/>
      <c r="BM859" s="2"/>
      <c r="BN859" s="2"/>
      <c r="BO859" s="115" t="s">
        <v>1072</v>
      </c>
      <c r="BP859" s="217">
        <v>307732</v>
      </c>
      <c r="BQ859" s="217">
        <v>354812</v>
      </c>
      <c r="BR859" s="217">
        <v>428000</v>
      </c>
      <c r="BS859" s="217">
        <v>547840</v>
      </c>
      <c r="BT859" s="217">
        <v>610328</v>
      </c>
      <c r="BU859" s="12"/>
      <c r="BV859" s="115" t="s">
        <v>1072</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 customHeight="1">
      <c r="C860" s="1"/>
      <c r="J860" s="1167" t="s">
        <v>1629</v>
      </c>
      <c r="K860" s="4"/>
      <c r="L860" s="4"/>
      <c r="M860" s="4"/>
      <c r="N860" s="4"/>
      <c r="O860" s="4"/>
      <c r="P860" s="4"/>
      <c r="Q860" s="4"/>
      <c r="R860" s="4"/>
      <c r="S860" s="4"/>
      <c r="T860" s="1570"/>
      <c r="U860" s="1531"/>
      <c r="V860" s="1571"/>
      <c r="W860" s="1170"/>
      <c r="X860" s="1171"/>
      <c r="Y860" s="1171"/>
      <c r="Z860" s="1171"/>
      <c r="AA860" s="1171"/>
      <c r="AB860" s="1171"/>
      <c r="AC860" s="1172"/>
      <c r="AD860" s="402"/>
      <c r="AZ860" s="2"/>
      <c r="BA860" s="2"/>
      <c r="BB860" s="2"/>
      <c r="BC860" s="2"/>
      <c r="BD860" s="2"/>
      <c r="BE860" s="2"/>
      <c r="BF860" s="2"/>
      <c r="BG860" s="2"/>
      <c r="BH860" s="2"/>
      <c r="BI860" s="2"/>
      <c r="BJ860" s="2"/>
      <c r="BK860" s="2"/>
      <c r="BL860" s="2"/>
      <c r="BM860" s="2"/>
      <c r="BN860" s="2"/>
      <c r="BO860" s="115" t="s">
        <v>1074</v>
      </c>
      <c r="BP860" s="219">
        <v>352022</v>
      </c>
      <c r="BQ860" s="219">
        <v>405878</v>
      </c>
      <c r="BR860" s="219">
        <v>489600</v>
      </c>
      <c r="BS860" s="219">
        <v>626688</v>
      </c>
      <c r="BT860" s="219">
        <v>698170</v>
      </c>
      <c r="BU860" s="12"/>
      <c r="BV860" s="115" t="s">
        <v>1074</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 customHeight="1">
      <c r="J861" s="1155" t="s">
        <v>232</v>
      </c>
      <c r="K861" s="4"/>
      <c r="L861" s="4"/>
      <c r="M861" s="1554" t="s">
        <v>1626</v>
      </c>
      <c r="N861" s="1555"/>
      <c r="O861" s="1555"/>
      <c r="P861" s="1555"/>
      <c r="Q861" s="1555"/>
      <c r="R861" s="1555"/>
      <c r="S861" s="1555"/>
      <c r="T861" s="1555"/>
      <c r="U861" s="1555"/>
      <c r="V861" s="1556"/>
      <c r="W861" s="1575">
        <v>14053</v>
      </c>
      <c r="X861" s="1576"/>
      <c r="Y861" s="1576"/>
      <c r="Z861" s="1576"/>
      <c r="AA861" s="1576"/>
      <c r="AB861" s="1576"/>
      <c r="AC861" s="1577"/>
      <c r="AD861" s="397"/>
      <c r="AU861" s="12"/>
      <c r="AZ861" s="2"/>
      <c r="BA861" s="2"/>
      <c r="BB861" s="2"/>
      <c r="BC861" s="2"/>
      <c r="BD861" s="2"/>
      <c r="BE861" s="2"/>
      <c r="BF861" s="2"/>
      <c r="BG861" s="2"/>
      <c r="BH861" s="2"/>
      <c r="BI861" s="2"/>
      <c r="BJ861" s="2"/>
      <c r="BK861" s="2"/>
      <c r="BL861" s="2"/>
      <c r="BM861" s="2"/>
      <c r="BN861" s="2"/>
      <c r="BO861" s="115" t="s">
        <v>1078</v>
      </c>
      <c r="BP861" s="217">
        <v>387110</v>
      </c>
      <c r="BQ861" s="217">
        <v>446334</v>
      </c>
      <c r="BR861" s="217">
        <v>538400</v>
      </c>
      <c r="BS861" s="217">
        <v>689152</v>
      </c>
      <c r="BT861" s="217">
        <v>767758</v>
      </c>
      <c r="BU861" s="12"/>
      <c r="BV861" s="115" t="s">
        <v>1078</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 customHeight="1">
      <c r="J862" s="1155"/>
      <c r="K862" s="4"/>
      <c r="L862" s="4"/>
      <c r="M862" s="4"/>
      <c r="N862" s="4"/>
      <c r="O862" s="4"/>
      <c r="P862" s="4"/>
      <c r="Q862" s="4"/>
      <c r="R862" s="4"/>
      <c r="S862" s="4"/>
      <c r="T862" s="4"/>
      <c r="U862" s="4"/>
      <c r="V862" s="1159" t="s">
        <v>1630</v>
      </c>
      <c r="W862" s="1572">
        <f>SUM(W857:AC861)</f>
        <v>162364</v>
      </c>
      <c r="X862" s="1573"/>
      <c r="Y862" s="1573"/>
      <c r="Z862" s="1573"/>
      <c r="AA862" s="1573"/>
      <c r="AB862" s="1573"/>
      <c r="AC862" s="1574"/>
      <c r="AD862" s="402"/>
      <c r="AU862" s="12"/>
      <c r="AZ862" s="2"/>
      <c r="BA862" s="2"/>
      <c r="BB862" s="2"/>
      <c r="BC862" s="2"/>
      <c r="BD862" s="2"/>
      <c r="BE862" s="2"/>
      <c r="BF862" s="2"/>
      <c r="BG862" s="2"/>
      <c r="BH862" s="2"/>
      <c r="BI862" s="2"/>
      <c r="BJ862" s="2"/>
      <c r="BK862" s="2"/>
      <c r="BL862" s="2"/>
      <c r="BM862" s="2"/>
      <c r="BN862" s="2"/>
      <c r="BO862" s="115" t="s">
        <v>1082</v>
      </c>
      <c r="BP862" s="219">
        <v>331890</v>
      </c>
      <c r="BQ862" s="219">
        <v>382666</v>
      </c>
      <c r="BR862" s="219">
        <v>461600</v>
      </c>
      <c r="BS862" s="219">
        <v>590848</v>
      </c>
      <c r="BT862" s="219">
        <v>658242</v>
      </c>
      <c r="BU862" s="12"/>
      <c r="BV862" s="115" t="s">
        <v>1082</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 customHeight="1">
      <c r="J863" s="1155"/>
      <c r="K863" s="4"/>
      <c r="L863" s="4"/>
      <c r="M863" s="4"/>
      <c r="N863" s="4"/>
      <c r="O863" s="4"/>
      <c r="P863" s="4"/>
      <c r="Q863" s="4"/>
      <c r="R863" s="4"/>
      <c r="S863" s="4"/>
      <c r="T863" s="4"/>
      <c r="U863" s="4"/>
      <c r="V863" s="1159" t="s">
        <v>1631</v>
      </c>
      <c r="W863" s="1575"/>
      <c r="X863" s="1576"/>
      <c r="Y863" s="1576"/>
      <c r="Z863" s="1576"/>
      <c r="AA863" s="1576"/>
      <c r="AB863" s="1576"/>
      <c r="AC863" s="1577"/>
      <c r="AU863" s="12"/>
      <c r="AZ863" s="2"/>
      <c r="BA863" s="2"/>
      <c r="BB863" s="2"/>
      <c r="BC863" s="2"/>
      <c r="BD863" s="2"/>
      <c r="BE863" s="2"/>
      <c r="BF863" s="2"/>
      <c r="BG863" s="2"/>
      <c r="BH863" s="2"/>
      <c r="BI863" s="2"/>
      <c r="BJ863" s="2"/>
      <c r="BK863" s="2"/>
      <c r="BL863" s="2"/>
      <c r="BM863" s="2"/>
      <c r="BN863" s="2"/>
      <c r="BO863" s="115" t="s">
        <v>1086</v>
      </c>
      <c r="BP863" s="217">
        <v>331890</v>
      </c>
      <c r="BQ863" s="217">
        <v>382666</v>
      </c>
      <c r="BR863" s="217">
        <v>461600</v>
      </c>
      <c r="BS863" s="217">
        <v>590848</v>
      </c>
      <c r="BT863" s="217">
        <v>658242</v>
      </c>
      <c r="BU863" s="12"/>
      <c r="BV863" s="115" t="s">
        <v>1086</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 customHeight="1">
      <c r="J864" s="383"/>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 customHeight="1">
      <c r="C865" s="1" t="s">
        <v>231</v>
      </c>
      <c r="J865" s="1155" t="s">
        <v>1632</v>
      </c>
      <c r="K865" s="4"/>
      <c r="L865" s="4"/>
      <c r="M865" s="4"/>
      <c r="N865" s="4"/>
      <c r="O865" s="4"/>
      <c r="P865" s="4"/>
      <c r="Q865" s="4"/>
      <c r="R865" s="4"/>
      <c r="S865" s="4"/>
      <c r="T865" s="4"/>
      <c r="U865" s="4"/>
      <c r="V865" s="1156"/>
      <c r="W865" s="1560"/>
      <c r="X865" s="1560"/>
      <c r="Y865" s="1560"/>
      <c r="Z865" s="1560"/>
      <c r="AA865" s="1560"/>
      <c r="AB865" s="1560"/>
      <c r="AC865" s="1560"/>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 customHeight="1">
      <c r="J866" s="1155" t="s">
        <v>1633</v>
      </c>
      <c r="K866" s="4"/>
      <c r="L866" s="4"/>
      <c r="M866" s="4"/>
      <c r="N866" s="4"/>
      <c r="O866" s="4"/>
      <c r="P866" s="4"/>
      <c r="Q866" s="4"/>
      <c r="R866" s="4"/>
      <c r="S866" s="4"/>
      <c r="T866" s="4"/>
      <c r="U866" s="4"/>
      <c r="V866" s="1156"/>
      <c r="W866" s="1560">
        <f>598+3050</f>
        <v>3648</v>
      </c>
      <c r="X866" s="1560"/>
      <c r="Y866" s="1560"/>
      <c r="Z866" s="1560"/>
      <c r="AA866" s="1560"/>
      <c r="AB866" s="1560"/>
      <c r="AC866" s="1560"/>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 customHeight="1">
      <c r="J867" s="1155" t="s">
        <v>1634</v>
      </c>
      <c r="K867" s="4"/>
      <c r="L867" s="4"/>
      <c r="M867" s="4"/>
      <c r="N867" s="4"/>
      <c r="O867" s="4"/>
      <c r="P867" s="4"/>
      <c r="Q867" s="4"/>
      <c r="R867" s="4"/>
      <c r="S867" s="4"/>
      <c r="T867" s="4"/>
      <c r="U867" s="4"/>
      <c r="V867" s="1156"/>
      <c r="W867" s="1560">
        <v>23322</v>
      </c>
      <c r="X867" s="1560"/>
      <c r="Y867" s="1560"/>
      <c r="Z867" s="1560"/>
      <c r="AA867" s="1560"/>
      <c r="AB867" s="1560"/>
      <c r="AC867" s="1560"/>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 customHeight="1">
      <c r="J868" s="1155" t="s">
        <v>1635</v>
      </c>
      <c r="K868" s="4"/>
      <c r="L868" s="4"/>
      <c r="M868" s="4"/>
      <c r="N868" s="4"/>
      <c r="O868" s="4"/>
      <c r="P868" s="4"/>
      <c r="Q868" s="4"/>
      <c r="R868" s="4"/>
      <c r="S868" s="4"/>
      <c r="T868" s="4"/>
      <c r="U868" s="4"/>
      <c r="V868" s="1156"/>
      <c r="W868" s="1560"/>
      <c r="X868" s="1560"/>
      <c r="Y868" s="1560"/>
      <c r="Z868" s="1560"/>
      <c r="AA868" s="1560"/>
      <c r="AB868" s="1560"/>
      <c r="AC868" s="1560"/>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 customHeight="1">
      <c r="J869" s="1155" t="s">
        <v>1636</v>
      </c>
      <c r="K869" s="4"/>
      <c r="L869" s="4"/>
      <c r="M869" s="4"/>
      <c r="N869" s="4"/>
      <c r="O869" s="4"/>
      <c r="P869" s="4"/>
      <c r="Q869" s="4"/>
      <c r="R869" s="4"/>
      <c r="S869" s="4"/>
      <c r="T869" s="4"/>
      <c r="U869" s="4"/>
      <c r="V869" s="1156"/>
      <c r="W869" s="1560"/>
      <c r="X869" s="1560"/>
      <c r="Y869" s="1560"/>
      <c r="Z869" s="1560"/>
      <c r="AA869" s="1560"/>
      <c r="AB869" s="1560"/>
      <c r="AC869" s="1560"/>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 customHeight="1">
      <c r="J870" s="1155" t="s">
        <v>1637</v>
      </c>
      <c r="K870" s="4"/>
      <c r="L870" s="4"/>
      <c r="M870" s="4"/>
      <c r="N870" s="4"/>
      <c r="O870" s="4"/>
      <c r="P870" s="4"/>
      <c r="Q870" s="4"/>
      <c r="R870" s="4"/>
      <c r="S870" s="4"/>
      <c r="T870" s="4"/>
      <c r="U870" s="4"/>
      <c r="V870" s="1156"/>
      <c r="W870" s="1560"/>
      <c r="X870" s="1560"/>
      <c r="Y870" s="1560"/>
      <c r="Z870" s="1560"/>
      <c r="AA870" s="1560"/>
      <c r="AB870" s="1560"/>
      <c r="AC870" s="1560"/>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 customHeight="1">
      <c r="J871" s="1155" t="s">
        <v>232</v>
      </c>
      <c r="K871" s="4"/>
      <c r="L871" s="4"/>
      <c r="M871" s="1554" t="s">
        <v>1638</v>
      </c>
      <c r="N871" s="1555"/>
      <c r="O871" s="1555"/>
      <c r="P871" s="1555"/>
      <c r="Q871" s="1555"/>
      <c r="R871" s="1555"/>
      <c r="S871" s="1555"/>
      <c r="T871" s="1555"/>
      <c r="U871" s="1555"/>
      <c r="V871" s="1556"/>
      <c r="W871" s="1560">
        <v>32890</v>
      </c>
      <c r="X871" s="1560"/>
      <c r="Y871" s="1560"/>
      <c r="Z871" s="1560"/>
      <c r="AA871" s="1560"/>
      <c r="AB871" s="1560"/>
      <c r="AC871" s="1560"/>
      <c r="AD871" s="402"/>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 customHeight="1">
      <c r="J872" s="1155"/>
      <c r="K872" s="4"/>
      <c r="L872" s="4"/>
      <c r="M872" s="4"/>
      <c r="N872" s="4"/>
      <c r="O872" s="4"/>
      <c r="P872" s="4"/>
      <c r="Q872" s="4"/>
      <c r="R872" s="4"/>
      <c r="S872" s="4"/>
      <c r="T872" s="4"/>
      <c r="U872" s="4"/>
      <c r="V872" s="1159" t="s">
        <v>1639</v>
      </c>
      <c r="W872" s="1546">
        <f>SUM(W865:AC871)</f>
        <v>59860</v>
      </c>
      <c r="X872" s="1546"/>
      <c r="Y872" s="1546"/>
      <c r="Z872" s="1546"/>
      <c r="AA872" s="1546"/>
      <c r="AB872" s="1546"/>
      <c r="AC872" s="1546"/>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 customHeight="1">
      <c r="C874" s="1" t="s">
        <v>1640</v>
      </c>
      <c r="J874" s="1155" t="s">
        <v>232</v>
      </c>
      <c r="K874" s="4"/>
      <c r="L874" s="4"/>
      <c r="M874" s="1554" t="s">
        <v>1641</v>
      </c>
      <c r="N874" s="1555"/>
      <c r="O874" s="1555"/>
      <c r="P874" s="1555"/>
      <c r="Q874" s="1555"/>
      <c r="R874" s="1555"/>
      <c r="S874" s="1555"/>
      <c r="T874" s="1555"/>
      <c r="U874" s="1555"/>
      <c r="V874" s="1556"/>
      <c r="W874" s="1461">
        <v>48498</v>
      </c>
      <c r="X874" s="1462"/>
      <c r="Y874" s="1462"/>
      <c r="Z874" s="1462"/>
      <c r="AA874" s="1462"/>
      <c r="AB874" s="1462"/>
      <c r="AC874" s="1463"/>
      <c r="AD874" s="402"/>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 customHeight="1">
      <c r="C875" s="1" t="s">
        <v>1642</v>
      </c>
      <c r="J875" s="1155" t="s">
        <v>232</v>
      </c>
      <c r="K875" s="4"/>
      <c r="L875" s="4"/>
      <c r="M875" s="1554" t="s">
        <v>1643</v>
      </c>
      <c r="N875" s="1555"/>
      <c r="O875" s="1555"/>
      <c r="P875" s="1555"/>
      <c r="Q875" s="1555"/>
      <c r="R875" s="1555"/>
      <c r="S875" s="1555"/>
      <c r="T875" s="1555"/>
      <c r="U875" s="1555"/>
      <c r="V875" s="1556"/>
      <c r="W875" s="1461">
        <v>6050</v>
      </c>
      <c r="X875" s="1462"/>
      <c r="Y875" s="1462"/>
      <c r="Z875" s="1462"/>
      <c r="AA875" s="1462"/>
      <c r="AB875" s="1462"/>
      <c r="AC875" s="1463"/>
      <c r="AD875" s="402"/>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 customHeight="1">
      <c r="J876" s="1155" t="s">
        <v>232</v>
      </c>
      <c r="K876" s="4"/>
      <c r="L876" s="4"/>
      <c r="M876" s="1554" t="s">
        <v>1644</v>
      </c>
      <c r="N876" s="1555"/>
      <c r="O876" s="1555"/>
      <c r="P876" s="1555"/>
      <c r="Q876" s="1555"/>
      <c r="R876" s="1555"/>
      <c r="S876" s="1555"/>
      <c r="T876" s="1555"/>
      <c r="U876" s="1555"/>
      <c r="V876" s="1556"/>
      <c r="W876" s="1461">
        <v>64464</v>
      </c>
      <c r="X876" s="1462"/>
      <c r="Y876" s="1462"/>
      <c r="Z876" s="1462"/>
      <c r="AA876" s="1462"/>
      <c r="AB876" s="1462"/>
      <c r="AC876" s="1463"/>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 customHeight="1">
      <c r="J877" s="1155" t="s">
        <v>232</v>
      </c>
      <c r="K877" s="4"/>
      <c r="L877" s="4"/>
      <c r="M877" s="1554" t="s">
        <v>1645</v>
      </c>
      <c r="N877" s="1555"/>
      <c r="O877" s="1555"/>
      <c r="P877" s="1555"/>
      <c r="Q877" s="1555"/>
      <c r="R877" s="1555"/>
      <c r="S877" s="1555"/>
      <c r="T877" s="1555"/>
      <c r="U877" s="1555"/>
      <c r="V877" s="1556"/>
      <c r="W877" s="1461">
        <f>6518+27269-7718</f>
        <v>26069</v>
      </c>
      <c r="X877" s="1462"/>
      <c r="Y877" s="1462"/>
      <c r="Z877" s="1462"/>
      <c r="AA877" s="1462"/>
      <c r="AB877" s="1462"/>
      <c r="AC877" s="1463"/>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 customHeight="1">
      <c r="J878" s="1155" t="s">
        <v>232</v>
      </c>
      <c r="K878" s="4"/>
      <c r="L878" s="4"/>
      <c r="M878" s="1554" t="s">
        <v>1646</v>
      </c>
      <c r="N878" s="1555"/>
      <c r="O878" s="1555"/>
      <c r="P878" s="1555"/>
      <c r="Q878" s="1555"/>
      <c r="R878" s="1555"/>
      <c r="S878" s="1555"/>
      <c r="T878" s="1555"/>
      <c r="U878" s="1555"/>
      <c r="V878" s="1556"/>
      <c r="W878" s="1461"/>
      <c r="X878" s="1462"/>
      <c r="Y878" s="1462"/>
      <c r="Z878" s="1462"/>
      <c r="AA878" s="1462"/>
      <c r="AB878" s="1462"/>
      <c r="AC878" s="1463"/>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 customHeight="1">
      <c r="J879" s="1155"/>
      <c r="K879" s="4"/>
      <c r="L879" s="4"/>
      <c r="M879" s="4"/>
      <c r="N879" s="4"/>
      <c r="O879" s="4"/>
      <c r="P879" s="4"/>
      <c r="Q879" s="4"/>
      <c r="R879" s="4"/>
      <c r="S879" s="4"/>
      <c r="T879" s="4"/>
      <c r="U879" s="4"/>
      <c r="V879" s="1159" t="s">
        <v>1647</v>
      </c>
      <c r="W879" s="1564">
        <f>SUM(W874:AC878)</f>
        <v>145081</v>
      </c>
      <c r="X879" s="1565"/>
      <c r="Y879" s="1565"/>
      <c r="Z879" s="1565"/>
      <c r="AA879" s="1565"/>
      <c r="AB879" s="1565"/>
      <c r="AC879" s="1566"/>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 customHeight="1">
      <c r="E880" s="383"/>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 customHeight="1">
      <c r="C881" s="1" t="s">
        <v>1648</v>
      </c>
      <c r="I881" s="402"/>
      <c r="J881" s="402"/>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 customHeight="1">
      <c r="E882" s="383"/>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61" t="s">
        <v>1649</v>
      </c>
      <c r="AC883" s="1565">
        <f>W847+W855+W862+W863+W872+W879+W849</f>
        <v>584314</v>
      </c>
      <c r="AD883" s="1565"/>
      <c r="AE883" s="1565"/>
      <c r="AF883" s="1565"/>
      <c r="AG883" s="1565"/>
      <c r="AH883" s="1566"/>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61" t="s">
        <v>1650</v>
      </c>
      <c r="AC884" s="1581">
        <f>O797+O777+G753</f>
        <v>65</v>
      </c>
      <c r="AD884" s="1581"/>
      <c r="AE884" s="1581"/>
      <c r="AF884" s="1581"/>
      <c r="AG884" s="1581"/>
      <c r="AH884" s="1582"/>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 customHeight="1">
      <c r="C885" s="30"/>
      <c r="D885" s="31"/>
      <c r="E885" s="1668" t="s">
        <v>1651</v>
      </c>
      <c r="F885" s="1668"/>
      <c r="G885" s="1668"/>
      <c r="H885" s="1668"/>
      <c r="I885" s="1668"/>
      <c r="J885" s="1668"/>
      <c r="K885" s="1668"/>
      <c r="L885" s="1668"/>
      <c r="M885" s="1668"/>
      <c r="N885" s="1668"/>
      <c r="O885" s="1668"/>
      <c r="P885" s="1668"/>
      <c r="Q885" s="1668"/>
      <c r="R885" s="1668"/>
      <c r="S885" s="1668"/>
      <c r="T885" s="1668"/>
      <c r="U885" s="1668"/>
      <c r="V885" s="1668"/>
      <c r="W885" s="1668"/>
      <c r="X885" s="1668"/>
      <c r="Y885" s="1668"/>
      <c r="Z885" s="1668"/>
      <c r="AA885" s="1668"/>
      <c r="AB885" s="1669"/>
      <c r="AC885" s="1546">
        <f>IF(ISERROR((ROUNDDOWN(AC883/AC884,0))),0,(ROUNDDOWN(AC883/AC884,0)))</f>
        <v>8989</v>
      </c>
      <c r="AD885" s="1546"/>
      <c r="AE885" s="1546"/>
      <c r="AF885" s="1546"/>
      <c r="AG885" s="1546"/>
      <c r="AH885" s="1546"/>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 customHeight="1">
      <c r="C886" s="1155"/>
      <c r="D886" s="4"/>
      <c r="E886" s="4"/>
      <c r="F886" s="4"/>
      <c r="G886" s="4"/>
      <c r="H886" s="4"/>
      <c r="I886" s="4"/>
      <c r="J886" s="4"/>
      <c r="K886" s="4"/>
      <c r="L886" s="4"/>
      <c r="M886" s="4"/>
      <c r="N886" s="4"/>
      <c r="O886" s="4"/>
      <c r="P886" s="4"/>
      <c r="Q886" s="4"/>
      <c r="R886" s="4"/>
      <c r="S886" s="4"/>
      <c r="T886" s="4"/>
      <c r="U886" s="4"/>
      <c r="V886" s="4"/>
      <c r="W886" s="4"/>
      <c r="X886" s="4"/>
      <c r="Y886" s="4"/>
      <c r="Z886" s="4"/>
      <c r="AA886" s="4"/>
      <c r="AB886" s="1159" t="s">
        <v>1652</v>
      </c>
      <c r="AC886" s="1583">
        <v>298040</v>
      </c>
      <c r="AD886" s="1584"/>
      <c r="AE886" s="1584"/>
      <c r="AF886" s="1584"/>
      <c r="AG886" s="1584"/>
      <c r="AH886" s="1584"/>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 customHeight="1">
      <c r="C887" s="1155"/>
      <c r="D887" s="4"/>
      <c r="E887" s="4"/>
      <c r="F887" s="4"/>
      <c r="G887" s="4"/>
      <c r="H887" s="4"/>
      <c r="I887" s="4"/>
      <c r="J887" s="4"/>
      <c r="K887" s="4"/>
      <c r="L887" s="4"/>
      <c r="M887" s="4"/>
      <c r="N887" s="4"/>
      <c r="O887" s="4"/>
      <c r="P887" s="4"/>
      <c r="Q887" s="4"/>
      <c r="R887" s="4"/>
      <c r="S887" s="4"/>
      <c r="T887" s="4"/>
      <c r="U887" s="4"/>
      <c r="V887" s="4"/>
      <c r="W887" s="4"/>
      <c r="X887" s="4"/>
      <c r="Y887" s="4"/>
      <c r="Z887" s="4"/>
      <c r="AA887" s="4"/>
      <c r="AB887" s="1159" t="s">
        <v>1653</v>
      </c>
      <c r="AC887" s="1463"/>
      <c r="AD887" s="1560"/>
      <c r="AE887" s="1560"/>
      <c r="AF887" s="1560"/>
      <c r="AG887" s="1560"/>
      <c r="AH887" s="1560"/>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 customHeight="1">
      <c r="C888" s="1155"/>
      <c r="D888" s="4"/>
      <c r="E888" s="4"/>
      <c r="F888" s="4"/>
      <c r="G888" s="4"/>
      <c r="H888" s="4"/>
      <c r="I888" s="4"/>
      <c r="J888" s="4"/>
      <c r="K888" s="4"/>
      <c r="L888" s="4"/>
      <c r="M888" s="4"/>
      <c r="N888" s="4"/>
      <c r="O888" s="4"/>
      <c r="P888" s="4"/>
      <c r="Q888" s="4"/>
      <c r="R888" s="4"/>
      <c r="S888" s="4"/>
      <c r="T888" s="4"/>
      <c r="U888" s="4"/>
      <c r="V888" s="4"/>
      <c r="W888" s="4"/>
      <c r="X888" s="4"/>
      <c r="Y888" s="4"/>
      <c r="Z888" s="4"/>
      <c r="AA888" s="4"/>
      <c r="AB888" s="1159" t="s">
        <v>1654</v>
      </c>
      <c r="AC888" s="1462">
        <v>108875</v>
      </c>
      <c r="AD888" s="1462"/>
      <c r="AE888" s="1462"/>
      <c r="AF888" s="1462"/>
      <c r="AG888" s="1462"/>
      <c r="AH888" s="1463"/>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 customHeight="1">
      <c r="C889" s="1155"/>
      <c r="D889" s="4"/>
      <c r="E889" s="4"/>
      <c r="F889" s="4"/>
      <c r="G889" s="4"/>
      <c r="H889" s="4"/>
      <c r="I889" s="4"/>
      <c r="J889" s="4"/>
      <c r="K889" s="4"/>
      <c r="L889" s="4"/>
      <c r="M889" s="4"/>
      <c r="N889" s="4"/>
      <c r="O889" s="4"/>
      <c r="P889" s="4"/>
      <c r="Q889" s="4"/>
      <c r="R889" s="4"/>
      <c r="S889" s="4"/>
      <c r="T889" s="4"/>
      <c r="U889" s="4"/>
      <c r="V889" s="4"/>
      <c r="W889" s="4"/>
      <c r="X889" s="4"/>
      <c r="Y889" s="4"/>
      <c r="Z889" s="4"/>
      <c r="AA889" s="4"/>
      <c r="AB889" s="1159" t="s">
        <v>1655</v>
      </c>
      <c r="AC889" s="1462">
        <v>16250</v>
      </c>
      <c r="AD889" s="1462"/>
      <c r="AE889" s="1462"/>
      <c r="AF889" s="1462"/>
      <c r="AG889" s="1462"/>
      <c r="AH889" s="1463"/>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 customHeight="1">
      <c r="C890" s="1155"/>
      <c r="D890" s="4"/>
      <c r="E890" s="4"/>
      <c r="F890" s="4"/>
      <c r="G890" s="4"/>
      <c r="H890" s="4"/>
      <c r="I890" s="4"/>
      <c r="J890" s="4"/>
      <c r="K890" s="4"/>
      <c r="L890" s="4"/>
      <c r="M890" s="4"/>
      <c r="N890" s="4"/>
      <c r="O890" s="4"/>
      <c r="P890" s="4"/>
      <c r="Q890" s="4"/>
      <c r="R890" s="4"/>
      <c r="S890" s="4"/>
      <c r="T890" s="4"/>
      <c r="U890" s="4"/>
      <c r="V890" s="4"/>
      <c r="W890" s="4"/>
      <c r="X890" s="4"/>
      <c r="Y890" s="4"/>
      <c r="Z890" s="4"/>
      <c r="AA890" s="4"/>
      <c r="AB890" s="1159" t="s">
        <v>1656</v>
      </c>
      <c r="AC890" s="1537">
        <v>7500</v>
      </c>
      <c r="AD890" s="1538"/>
      <c r="AE890" s="1538"/>
      <c r="AF890" s="1538"/>
      <c r="AG890" s="1538"/>
      <c r="AH890" s="1539"/>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 customHeight="1">
      <c r="C891" s="1155"/>
      <c r="D891" s="4"/>
      <c r="E891" s="4"/>
      <c r="F891" s="4"/>
      <c r="G891" s="4"/>
      <c r="H891" s="4"/>
      <c r="I891" s="4"/>
      <c r="J891" s="4"/>
      <c r="K891" s="4"/>
      <c r="L891" s="4"/>
      <c r="M891" s="4"/>
      <c r="N891" s="4"/>
      <c r="O891" s="4"/>
      <c r="P891" s="4"/>
      <c r="Q891" s="4"/>
      <c r="R891" s="4"/>
      <c r="S891" s="4"/>
      <c r="T891" s="4"/>
      <c r="U891" s="4"/>
      <c r="V891" s="4"/>
      <c r="W891" s="4"/>
      <c r="X891" s="4"/>
      <c r="Y891" s="4"/>
      <c r="Z891" s="4"/>
      <c r="AA891" s="4"/>
      <c r="AB891" s="1159" t="s">
        <v>1657</v>
      </c>
      <c r="AC891" s="1462"/>
      <c r="AD891" s="1462"/>
      <c r="AE891" s="1462"/>
      <c r="AF891" s="1462"/>
      <c r="AG891" s="1462"/>
      <c r="AH891" s="1463"/>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 customHeight="1">
      <c r="C892" s="1155"/>
      <c r="D892" s="4"/>
      <c r="E892" s="4"/>
      <c r="F892" s="4"/>
      <c r="G892" s="4"/>
      <c r="H892" s="4"/>
      <c r="I892" s="4"/>
      <c r="J892" s="4"/>
      <c r="K892" s="4"/>
      <c r="L892" s="4"/>
      <c r="M892" s="4"/>
      <c r="N892" s="4"/>
      <c r="O892" s="4"/>
      <c r="P892" s="4"/>
      <c r="Q892" s="4"/>
      <c r="R892" s="4"/>
      <c r="S892" s="4"/>
      <c r="T892" s="4"/>
      <c r="U892" s="4"/>
      <c r="V892" s="4"/>
      <c r="W892" s="4"/>
      <c r="X892" s="4"/>
      <c r="Y892" s="4"/>
      <c r="Z892" s="4"/>
      <c r="AA892" s="4"/>
      <c r="AB892" s="1159" t="s">
        <v>1658</v>
      </c>
      <c r="AC892" s="1462"/>
      <c r="AD892" s="1462"/>
      <c r="AE892" s="1462"/>
      <c r="AF892" s="1462"/>
      <c r="AG892" s="1462"/>
      <c r="AH892" s="1463"/>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 customHeight="1">
      <c r="C893" s="1578" t="s">
        <v>1659</v>
      </c>
      <c r="D893" s="1579"/>
      <c r="E893" s="1579"/>
      <c r="F893" s="1579"/>
      <c r="G893" s="1579"/>
      <c r="H893" s="1579"/>
      <c r="I893" s="1579"/>
      <c r="J893" s="1579"/>
      <c r="K893" s="1579"/>
      <c r="L893" s="1579"/>
      <c r="M893" s="1579"/>
      <c r="N893" s="1579"/>
      <c r="O893" s="1579"/>
      <c r="P893" s="1579"/>
      <c r="Q893" s="1579"/>
      <c r="R893" s="1579"/>
      <c r="S893" s="1579"/>
      <c r="T893" s="1579"/>
      <c r="U893" s="1579"/>
      <c r="V893" s="1579"/>
      <c r="W893" s="1579"/>
      <c r="X893" s="1579"/>
      <c r="Y893" s="1579"/>
      <c r="Z893" s="1579"/>
      <c r="AA893" s="1579"/>
      <c r="AB893" s="1580"/>
      <c r="AC893" s="1560"/>
      <c r="AD893" s="1560"/>
      <c r="AE893" s="1560"/>
      <c r="AF893" s="1560"/>
      <c r="AG893" s="1560"/>
      <c r="AH893" s="1560"/>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 customHeight="1">
      <c r="C894" s="1578" t="s">
        <v>1659</v>
      </c>
      <c r="D894" s="1579"/>
      <c r="E894" s="1579"/>
      <c r="F894" s="1579"/>
      <c r="G894" s="1579"/>
      <c r="H894" s="1579"/>
      <c r="I894" s="1579"/>
      <c r="J894" s="1579"/>
      <c r="K894" s="1579"/>
      <c r="L894" s="1579"/>
      <c r="M894" s="1579"/>
      <c r="N894" s="1579"/>
      <c r="O894" s="1579"/>
      <c r="P894" s="1579"/>
      <c r="Q894" s="1579"/>
      <c r="R894" s="1579"/>
      <c r="S894" s="1579"/>
      <c r="T894" s="1579"/>
      <c r="U894" s="1579"/>
      <c r="V894" s="1579"/>
      <c r="W894" s="1579"/>
      <c r="X894" s="1579"/>
      <c r="Y894" s="1579"/>
      <c r="Z894" s="1579"/>
      <c r="AA894" s="1579"/>
      <c r="AB894" s="1580"/>
      <c r="AC894" s="1560"/>
      <c r="AD894" s="1560"/>
      <c r="AE894" s="1560"/>
      <c r="AF894" s="1560"/>
      <c r="AG894" s="1560"/>
      <c r="AH894" s="1560"/>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 customHeight="1">
      <c r="E895" s="383"/>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 customHeight="1">
      <c r="A896" s="1" t="s">
        <v>1344</v>
      </c>
      <c r="C896" s="1" t="s">
        <v>1660</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 customHeight="1">
      <c r="X897" s="11"/>
      <c r="Y897" s="11"/>
      <c r="Z897" s="11"/>
      <c r="AA897" s="11"/>
      <c r="AB897" s="11"/>
      <c r="AC897" s="11"/>
      <c r="AD897" s="11"/>
      <c r="AF897" s="402"/>
      <c r="AG897" s="1129"/>
      <c r="AH897" s="1129"/>
      <c r="AI897" s="1129"/>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 customHeight="1">
      <c r="B898" s="1"/>
      <c r="H898" s="1167" t="s">
        <v>1661</v>
      </c>
      <c r="I898" s="4"/>
      <c r="J898" s="4"/>
      <c r="K898" s="4"/>
      <c r="L898" s="4"/>
      <c r="M898" s="4"/>
      <c r="N898" s="4"/>
      <c r="O898" s="4"/>
      <c r="P898" s="4"/>
      <c r="Q898" s="4"/>
      <c r="R898" s="4"/>
      <c r="S898" s="4"/>
      <c r="T898" s="4"/>
      <c r="U898" s="4"/>
      <c r="V898" s="4"/>
      <c r="W898" s="4"/>
      <c r="X898" s="4"/>
      <c r="Y898" s="1156"/>
      <c r="Z898" s="1461"/>
      <c r="AA898" s="1462"/>
      <c r="AB898" s="1462"/>
      <c r="AC898" s="1462"/>
      <c r="AD898" s="1462"/>
      <c r="AE898" s="1463"/>
      <c r="AF898" s="402"/>
      <c r="AZ898" s="2"/>
      <c r="BB898" s="24"/>
      <c r="BC898" s="666"/>
      <c r="BD898" s="1569"/>
      <c r="BE898" s="1569"/>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 customHeight="1">
      <c r="H899" s="1167" t="s">
        <v>1662</v>
      </c>
      <c r="I899" s="4"/>
      <c r="J899" s="4"/>
      <c r="K899" s="4"/>
      <c r="L899" s="4"/>
      <c r="M899" s="4"/>
      <c r="N899" s="4"/>
      <c r="O899" s="4"/>
      <c r="P899" s="4"/>
      <c r="Q899" s="4"/>
      <c r="R899" s="4"/>
      <c r="S899" s="4"/>
      <c r="T899" s="4"/>
      <c r="U899" s="4"/>
      <c r="V899" s="4"/>
      <c r="W899" s="4"/>
      <c r="X899" s="4"/>
      <c r="Y899" s="4"/>
      <c r="Z899" s="1461"/>
      <c r="AA899" s="1462"/>
      <c r="AB899" s="1462"/>
      <c r="AC899" s="1462"/>
      <c r="AD899" s="1462"/>
      <c r="AE899" s="1463"/>
      <c r="AZ899" s="2"/>
      <c r="BB899" s="24"/>
      <c r="BC899" s="666"/>
      <c r="BD899" s="1569"/>
      <c r="BE899" s="1569"/>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 customHeight="1">
      <c r="H900" s="1167" t="s">
        <v>1663</v>
      </c>
      <c r="I900" s="4"/>
      <c r="J900" s="4"/>
      <c r="K900" s="4"/>
      <c r="L900" s="4"/>
      <c r="M900" s="4"/>
      <c r="N900" s="4"/>
      <c r="O900" s="4"/>
      <c r="P900" s="4"/>
      <c r="Q900" s="4"/>
      <c r="R900" s="4"/>
      <c r="S900" s="4"/>
      <c r="T900" s="4"/>
      <c r="U900" s="4"/>
      <c r="V900" s="4"/>
      <c r="W900" s="4"/>
      <c r="X900" s="4"/>
      <c r="Y900" s="4"/>
      <c r="Z900" s="1461"/>
      <c r="AA900" s="1462"/>
      <c r="AB900" s="1462"/>
      <c r="AC900" s="1462"/>
      <c r="AD900" s="1462"/>
      <c r="AE900" s="1463"/>
      <c r="AZ900" s="2"/>
      <c r="BB900" s="24"/>
      <c r="BC900" s="666"/>
      <c r="BD900" s="1567"/>
      <c r="BE900" s="1567"/>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 customHeight="1">
      <c r="H901" s="1155"/>
      <c r="I901" s="4"/>
      <c r="J901" s="4"/>
      <c r="K901" s="4"/>
      <c r="L901" s="4"/>
      <c r="M901" s="4"/>
      <c r="N901" s="4"/>
      <c r="O901" s="4"/>
      <c r="P901" s="4"/>
      <c r="Q901" s="4"/>
      <c r="R901" s="4"/>
      <c r="S901" s="4"/>
      <c r="T901" s="4"/>
      <c r="U901" s="4"/>
      <c r="V901" s="4"/>
      <c r="W901" s="4"/>
      <c r="X901" s="4"/>
      <c r="Y901" s="106" t="s">
        <v>1664</v>
      </c>
      <c r="Z901" s="1564">
        <f>Z898-(Z899+Z900)</f>
        <v>0</v>
      </c>
      <c r="AA901" s="1565"/>
      <c r="AB901" s="1565"/>
      <c r="AC901" s="1565"/>
      <c r="AD901" s="1565"/>
      <c r="AE901" s="1566"/>
      <c r="AZ901" s="2"/>
      <c r="BB901" s="24"/>
      <c r="BC901" s="666"/>
      <c r="BD901" s="1567"/>
      <c r="BE901" s="1567"/>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 customHeight="1">
      <c r="C902" s="383"/>
      <c r="D902" s="1141"/>
      <c r="E902" s="1129"/>
      <c r="F902" s="1129"/>
      <c r="G902" s="1129"/>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129"/>
      <c r="AZ902" s="2"/>
      <c r="BB902" s="24"/>
      <c r="BC902" s="666"/>
      <c r="BD902" s="1567"/>
      <c r="BE902" s="1567"/>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 customHeight="1">
      <c r="C903" t="s">
        <v>1665</v>
      </c>
      <c r="D903" s="13"/>
      <c r="E903" s="1129"/>
      <c r="F903" s="1129"/>
      <c r="G903" s="1129"/>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29"/>
      <c r="AZ903" s="2"/>
      <c r="BB903" s="24"/>
      <c r="BC903" s="666"/>
      <c r="BD903" s="1569"/>
      <c r="BE903" s="1567"/>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 customHeight="1">
      <c r="C904" s="107" t="s">
        <v>1666</v>
      </c>
      <c r="D904" s="13"/>
      <c r="E904" s="1129"/>
      <c r="F904" s="1129"/>
      <c r="G904" s="1129"/>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29"/>
      <c r="AV904" s="54"/>
      <c r="AW904" s="54"/>
      <c r="AX904" s="54"/>
      <c r="AY904" s="54"/>
      <c r="AZ904" s="2"/>
      <c r="BB904" s="24"/>
      <c r="BC904" s="666"/>
      <c r="BD904" s="1595"/>
      <c r="BE904" s="1595"/>
      <c r="BF904" s="1595"/>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 customHeight="1">
      <c r="C905" s="107" t="s">
        <v>1667</v>
      </c>
      <c r="D905" s="13"/>
      <c r="E905" s="1129"/>
      <c r="F905" s="1129"/>
      <c r="G905" s="1129"/>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29"/>
      <c r="AV905" s="54"/>
      <c r="AW905" s="54"/>
      <c r="AX905" s="54"/>
      <c r="AY905" s="54"/>
      <c r="AZ905" s="2"/>
      <c r="BB905" s="24"/>
      <c r="BC905" s="666"/>
      <c r="BD905" s="1594"/>
      <c r="BE905" s="1594"/>
      <c r="BF905" s="1594"/>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 customHeight="1">
      <c r="C906" s="232" t="s">
        <v>1668</v>
      </c>
      <c r="D906" s="13"/>
      <c r="E906" s="1129"/>
      <c r="F906" s="1129"/>
      <c r="G906" s="1129"/>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29"/>
      <c r="AV906" s="54"/>
      <c r="AW906" s="54"/>
      <c r="AX906" s="54"/>
      <c r="AY906" s="54"/>
      <c r="AZ906" s="2"/>
      <c r="BB906" s="24"/>
      <c r="BC906" s="666"/>
      <c r="BD906" s="1567"/>
      <c r="BE906" s="1567"/>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 customHeight="1">
      <c r="D907" s="13"/>
      <c r="E907" s="1177"/>
      <c r="F907" s="1177"/>
      <c r="G907" s="1177"/>
      <c r="H907" s="1177"/>
      <c r="I907" s="1177"/>
      <c r="J907" s="1177"/>
      <c r="K907" s="1177"/>
      <c r="L907" s="1177"/>
      <c r="M907" s="1177"/>
      <c r="N907" s="1177"/>
      <c r="O907" s="1177"/>
      <c r="P907" s="1177"/>
      <c r="Q907" s="1177"/>
      <c r="R907" s="1177"/>
      <c r="S907" s="1177"/>
      <c r="T907" s="1177"/>
      <c r="U907" s="1177"/>
      <c r="V907" s="1177"/>
      <c r="W907" s="1177"/>
      <c r="X907" s="1177"/>
      <c r="Y907" s="1177"/>
      <c r="Z907" s="1177"/>
      <c r="AA907" s="1177"/>
      <c r="AB907" s="1177"/>
      <c r="AC907" s="1177"/>
      <c r="AD907" s="1177"/>
      <c r="AE907" s="1177"/>
      <c r="AF907" s="1177"/>
      <c r="AG907" s="1177"/>
      <c r="AH907" s="1177"/>
      <c r="AI907" s="1177"/>
      <c r="AV907" s="54"/>
      <c r="AW907" s="54"/>
      <c r="AX907" s="54"/>
      <c r="AY907" s="54"/>
      <c r="AZ907" s="2"/>
      <c r="BB907" s="24"/>
      <c r="BC907" s="666"/>
      <c r="BD907" s="1569"/>
      <c r="BE907" s="1567"/>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 customHeight="1">
      <c r="AZ908" s="2"/>
      <c r="BB908" s="24"/>
      <c r="BC908" s="666"/>
      <c r="BG908" s="1160"/>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 customHeight="1">
      <c r="A909" s="1427" t="s">
        <v>1669</v>
      </c>
      <c r="B909" s="1427"/>
      <c r="C909" s="1427"/>
      <c r="D909" s="1427"/>
      <c r="E909" s="1427"/>
      <c r="F909" s="1427"/>
      <c r="G909" s="1427"/>
      <c r="H909" s="1427"/>
      <c r="I909" s="1427"/>
      <c r="J909" s="1427"/>
      <c r="K909" s="1427"/>
      <c r="L909" s="1427"/>
      <c r="M909" s="1427"/>
      <c r="N909" s="1427"/>
      <c r="O909" s="1427"/>
      <c r="P909" s="1427"/>
      <c r="Q909" s="1427"/>
      <c r="R909" s="1427"/>
      <c r="S909" s="1427"/>
      <c r="T909" s="1427"/>
      <c r="U909" s="1427"/>
      <c r="V909" s="1427"/>
      <c r="W909" s="1427"/>
      <c r="X909" s="1427"/>
      <c r="Y909" s="1427"/>
      <c r="Z909" s="1427"/>
      <c r="AA909" s="1427"/>
      <c r="AB909" s="1427"/>
      <c r="AC909" s="1427"/>
      <c r="AD909" s="1427"/>
      <c r="AE909" s="1427"/>
      <c r="AF909" s="1427"/>
      <c r="AG909" s="1427"/>
      <c r="AH909" s="1427"/>
      <c r="AI909" s="1427"/>
      <c r="AJ909" s="1427"/>
      <c r="AK909" s="1427"/>
      <c r="AL909" s="1427"/>
      <c r="AM909" s="1427"/>
      <c r="AN909" s="1427"/>
      <c r="AO909" s="1427"/>
      <c r="AP909" s="1427"/>
      <c r="AQ909" s="1427"/>
      <c r="AR909" s="1427"/>
      <c r="AS909" s="1427"/>
      <c r="AT909" s="1427"/>
      <c r="AZ909" s="2"/>
      <c r="BA909" s="2"/>
      <c r="BB909" s="24"/>
      <c r="BC909" s="24"/>
      <c r="BD909" s="1569"/>
      <c r="BE909" s="1567"/>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 customHeight="1">
      <c r="A910" s="1427"/>
      <c r="B910" s="1427"/>
      <c r="C910" s="1427"/>
      <c r="D910" s="1427"/>
      <c r="E910" s="1427"/>
      <c r="F910" s="1427"/>
      <c r="G910" s="1427"/>
      <c r="H910" s="1427"/>
      <c r="I910" s="1427"/>
      <c r="J910" s="1427"/>
      <c r="K910" s="1427"/>
      <c r="L910" s="1427"/>
      <c r="M910" s="1427"/>
      <c r="N910" s="1427"/>
      <c r="O910" s="1427"/>
      <c r="P910" s="1427"/>
      <c r="Q910" s="1427"/>
      <c r="R910" s="1427"/>
      <c r="S910" s="1427"/>
      <c r="T910" s="1427"/>
      <c r="U910" s="1427"/>
      <c r="V910" s="1427"/>
      <c r="W910" s="1427"/>
      <c r="X910" s="1427"/>
      <c r="Y910" s="1427"/>
      <c r="Z910" s="1427"/>
      <c r="AA910" s="1427"/>
      <c r="AB910" s="1427"/>
      <c r="AC910" s="1427"/>
      <c r="AD910" s="1427"/>
      <c r="AE910" s="1427"/>
      <c r="AF910" s="1427"/>
      <c r="AG910" s="1427"/>
      <c r="AH910" s="1427"/>
      <c r="AI910" s="1427"/>
      <c r="AJ910" s="1427"/>
      <c r="AK910" s="1427"/>
      <c r="AL910" s="1427"/>
      <c r="AM910" s="1427"/>
      <c r="AN910" s="1427"/>
      <c r="AO910" s="1427"/>
      <c r="AP910" s="1427"/>
      <c r="AQ910" s="1427"/>
      <c r="AR910" s="1427"/>
      <c r="AS910" s="1427"/>
      <c r="AT910" s="1427"/>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 customHeight="1">
      <c r="A912" s="1" t="s">
        <v>920</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 customHeight="1">
      <c r="F914" s="1760" t="s">
        <v>1670</v>
      </c>
      <c r="G914" s="1761"/>
      <c r="H914" s="1761"/>
      <c r="I914" s="1761"/>
      <c r="J914" s="1761"/>
      <c r="K914" s="1761"/>
      <c r="L914" s="1761"/>
      <c r="M914" s="1761"/>
      <c r="N914" s="1761"/>
      <c r="O914" s="1761"/>
      <c r="P914" s="1761"/>
      <c r="Q914" s="1761"/>
      <c r="R914" s="1761"/>
      <c r="S914" s="1761"/>
      <c r="T914" s="1762"/>
      <c r="U914" s="1670" t="s">
        <v>1671</v>
      </c>
      <c r="V914" s="1661"/>
      <c r="W914" s="1661"/>
      <c r="X914" s="1661"/>
      <c r="Y914" s="1661"/>
      <c r="Z914" s="1661"/>
      <c r="AA914" s="1153"/>
      <c r="AB914" s="205"/>
      <c r="AC914" s="205"/>
      <c r="AD914" s="205"/>
      <c r="AE914" s="205"/>
      <c r="AF914" s="105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 customHeight="1">
      <c r="B915" s="1"/>
      <c r="F915" s="1610" t="s">
        <v>1672</v>
      </c>
      <c r="G915" s="1611"/>
      <c r="H915" s="1611"/>
      <c r="I915" s="1611"/>
      <c r="J915" s="1611"/>
      <c r="K915" s="1611"/>
      <c r="L915" s="1611"/>
      <c r="M915" s="1611"/>
      <c r="N915" s="1611"/>
      <c r="O915" s="1611"/>
      <c r="P915" s="1611"/>
      <c r="Q915" s="1611"/>
      <c r="R915" s="1611"/>
      <c r="S915" s="1611"/>
      <c r="T915" s="1612"/>
      <c r="U915" s="1610"/>
      <c r="V915" s="1611"/>
      <c r="W915" s="1611"/>
      <c r="X915" s="1611"/>
      <c r="Y915" s="1611"/>
      <c r="Z915" s="1611"/>
      <c r="AA915" s="1154"/>
      <c r="AB915" s="2"/>
      <c r="AC915" s="2"/>
      <c r="AD915" s="2"/>
      <c r="AE915" s="2"/>
      <c r="AF915" s="105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 customHeight="1">
      <c r="B916" s="1"/>
      <c r="F916" s="1613"/>
      <c r="G916" s="1614"/>
      <c r="H916" s="1614"/>
      <c r="I916" s="1614"/>
      <c r="J916" s="1614"/>
      <c r="K916" s="1614"/>
      <c r="L916" s="1614"/>
      <c r="M916" s="1614"/>
      <c r="N916" s="1614"/>
      <c r="O916" s="1614"/>
      <c r="P916" s="1614"/>
      <c r="Q916" s="1614"/>
      <c r="R916" s="1614"/>
      <c r="S916" s="1614"/>
      <c r="T916" s="1615"/>
      <c r="U916" s="1613"/>
      <c r="V916" s="1614"/>
      <c r="W916" s="1614"/>
      <c r="X916" s="1614"/>
      <c r="Y916" s="1614"/>
      <c r="Z916" s="1614"/>
      <c r="AA916" s="730"/>
      <c r="AB916" s="1479" t="s">
        <v>1673</v>
      </c>
      <c r="AC916" s="1479"/>
      <c r="AD916" s="1479"/>
      <c r="AE916" s="1479"/>
      <c r="AF916" s="105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 customHeight="1">
      <c r="B917" s="1"/>
      <c r="F917" s="1155" t="s">
        <v>1674</v>
      </c>
      <c r="G917" s="33"/>
      <c r="H917" s="33"/>
      <c r="I917" s="33"/>
      <c r="J917" s="33"/>
      <c r="K917" s="33"/>
      <c r="L917" s="33"/>
      <c r="M917" s="33"/>
      <c r="N917" s="33"/>
      <c r="O917" s="33"/>
      <c r="P917" s="33"/>
      <c r="Q917" s="33"/>
      <c r="R917" s="33"/>
      <c r="S917" s="33"/>
      <c r="T917" s="34"/>
      <c r="U917" s="1585" t="s">
        <v>837</v>
      </c>
      <c r="V917" s="1348"/>
      <c r="W917" s="1348"/>
      <c r="X917" s="1348"/>
      <c r="Y917" s="1348"/>
      <c r="Z917" s="1349"/>
      <c r="AA917" s="1586">
        <v>28826216</v>
      </c>
      <c r="AB917" s="1448"/>
      <c r="AC917" s="1448"/>
      <c r="AD917" s="1448"/>
      <c r="AE917" s="1448"/>
      <c r="AF917" s="1587"/>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 customHeight="1">
      <c r="B918" s="1"/>
      <c r="F918" s="1167" t="s">
        <v>1675</v>
      </c>
      <c r="G918" s="33"/>
      <c r="H918" s="33"/>
      <c r="I918" s="33"/>
      <c r="J918" s="33"/>
      <c r="K918" s="33"/>
      <c r="L918" s="33"/>
      <c r="M918" s="33"/>
      <c r="N918" s="33"/>
      <c r="O918" s="33"/>
      <c r="P918" s="33"/>
      <c r="Q918" s="33"/>
      <c r="R918" s="33"/>
      <c r="S918" s="33"/>
      <c r="T918" s="34"/>
      <c r="U918" s="1585" t="s">
        <v>837</v>
      </c>
      <c r="V918" s="1348"/>
      <c r="W918" s="1348"/>
      <c r="X918" s="1348"/>
      <c r="Y918" s="1348"/>
      <c r="Z918" s="1349"/>
      <c r="AA918" s="1586">
        <v>3325673</v>
      </c>
      <c r="AB918" s="1448"/>
      <c r="AC918" s="1448"/>
      <c r="AD918" s="1448"/>
      <c r="AE918" s="1448"/>
      <c r="AF918" s="1587"/>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 customHeight="1">
      <c r="F919" s="1155" t="s">
        <v>1676</v>
      </c>
      <c r="G919" s="4"/>
      <c r="H919" s="4"/>
      <c r="I919" s="4"/>
      <c r="J919" s="4"/>
      <c r="K919" s="4"/>
      <c r="L919" s="4"/>
      <c r="M919" s="4"/>
      <c r="N919" s="4"/>
      <c r="O919" s="4"/>
      <c r="P919" s="4"/>
      <c r="Q919" s="4"/>
      <c r="R919" s="4"/>
      <c r="S919" s="4"/>
      <c r="T919" s="1156"/>
      <c r="U919" s="1585" t="s">
        <v>299</v>
      </c>
      <c r="V919" s="1348"/>
      <c r="W919" s="1348"/>
      <c r="X919" s="1348"/>
      <c r="Y919" s="1348"/>
      <c r="Z919" s="1349"/>
      <c r="AA919" s="1586"/>
      <c r="AB919" s="1448"/>
      <c r="AC919" s="1448"/>
      <c r="AD919" s="1448"/>
      <c r="AE919" s="1448"/>
      <c r="AF919" s="1587"/>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 customHeight="1">
      <c r="F920" s="1155" t="s">
        <v>1677</v>
      </c>
      <c r="G920" s="4"/>
      <c r="H920" s="4"/>
      <c r="I920" s="4"/>
      <c r="J920" s="4"/>
      <c r="K920" s="4"/>
      <c r="L920" s="4"/>
      <c r="M920" s="4"/>
      <c r="N920" s="4"/>
      <c r="O920" s="4"/>
      <c r="P920" s="4"/>
      <c r="Q920" s="4"/>
      <c r="R920" s="4"/>
      <c r="S920" s="4"/>
      <c r="T920" s="1156"/>
      <c r="U920" s="1585" t="s">
        <v>299</v>
      </c>
      <c r="V920" s="1348"/>
      <c r="W920" s="1348"/>
      <c r="X920" s="1348"/>
      <c r="Y920" s="1348"/>
      <c r="Z920" s="1349"/>
      <c r="AA920" s="1586"/>
      <c r="AB920" s="1448"/>
      <c r="AC920" s="1448"/>
      <c r="AD920" s="1448"/>
      <c r="AE920" s="1448"/>
      <c r="AF920" s="1587"/>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 customHeight="1">
      <c r="F921" s="1167" t="s">
        <v>1678</v>
      </c>
      <c r="G921" s="4"/>
      <c r="H921" s="4"/>
      <c r="I921" s="4"/>
      <c r="J921" s="4"/>
      <c r="K921" s="4"/>
      <c r="L921" s="4"/>
      <c r="M921" s="4"/>
      <c r="N921" s="4"/>
      <c r="O921" s="4"/>
      <c r="P921" s="4"/>
      <c r="Q921" s="4"/>
      <c r="R921" s="4"/>
      <c r="S921" s="4"/>
      <c r="T921" s="1156"/>
      <c r="U921" s="1585" t="s">
        <v>299</v>
      </c>
      <c r="V921" s="1348"/>
      <c r="W921" s="1348"/>
      <c r="X921" s="1348"/>
      <c r="Y921" s="1348"/>
      <c r="Z921" s="1349"/>
      <c r="AA921" s="1586"/>
      <c r="AB921" s="1448"/>
      <c r="AC921" s="1448"/>
      <c r="AD921" s="1448"/>
      <c r="AE921" s="1448"/>
      <c r="AF921" s="1587"/>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 customHeight="1">
      <c r="F922" s="1167" t="s">
        <v>1679</v>
      </c>
      <c r="G922" s="4"/>
      <c r="H922" s="4"/>
      <c r="I922" s="4"/>
      <c r="J922" s="4"/>
      <c r="K922" s="4"/>
      <c r="L922" s="4"/>
      <c r="M922" s="4"/>
      <c r="N922" s="4"/>
      <c r="O922" s="4"/>
      <c r="P922" s="4"/>
      <c r="Q922" s="4"/>
      <c r="R922" s="4"/>
      <c r="S922" s="4"/>
      <c r="T922" s="1156"/>
      <c r="U922" s="1585" t="s">
        <v>299</v>
      </c>
      <c r="V922" s="1348"/>
      <c r="W922" s="1348"/>
      <c r="X922" s="1348"/>
      <c r="Y922" s="1348"/>
      <c r="Z922" s="1349"/>
      <c r="AA922" s="1586"/>
      <c r="AB922" s="1448"/>
      <c r="AC922" s="1448"/>
      <c r="AD922" s="1448"/>
      <c r="AE922" s="1448"/>
      <c r="AF922" s="1587"/>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 customHeight="1">
      <c r="F923" s="1167" t="s">
        <v>1680</v>
      </c>
      <c r="G923" s="4"/>
      <c r="H923" s="4"/>
      <c r="I923" s="4"/>
      <c r="J923" s="4"/>
      <c r="K923" s="4"/>
      <c r="L923" s="4"/>
      <c r="M923" s="4"/>
      <c r="N923" s="4"/>
      <c r="O923" s="4"/>
      <c r="P923" s="4"/>
      <c r="Q923" s="4"/>
      <c r="R923" s="4"/>
      <c r="S923" s="4"/>
      <c r="T923" s="1156"/>
      <c r="U923" s="1585" t="s">
        <v>299</v>
      </c>
      <c r="V923" s="1348"/>
      <c r="W923" s="1348"/>
      <c r="X923" s="1348"/>
      <c r="Y923" s="1348"/>
      <c r="Z923" s="1349"/>
      <c r="AA923" s="1586"/>
      <c r="AB923" s="1448"/>
      <c r="AC923" s="1448"/>
      <c r="AD923" s="1448"/>
      <c r="AE923" s="1448"/>
      <c r="AF923" s="1587"/>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 customHeight="1">
      <c r="F924" s="1155" t="s">
        <v>1681</v>
      </c>
      <c r="G924" s="4"/>
      <c r="H924" s="4"/>
      <c r="I924" s="4"/>
      <c r="J924" s="4"/>
      <c r="K924" s="4"/>
      <c r="L924" s="4"/>
      <c r="M924" s="4"/>
      <c r="N924" s="4"/>
      <c r="O924" s="4"/>
      <c r="P924" s="4"/>
      <c r="Q924" s="4"/>
      <c r="R924" s="4"/>
      <c r="S924" s="4"/>
      <c r="T924" s="1156"/>
      <c r="U924" s="1585" t="s">
        <v>299</v>
      </c>
      <c r="V924" s="1348"/>
      <c r="W924" s="1348"/>
      <c r="X924" s="1348"/>
      <c r="Y924" s="1348"/>
      <c r="Z924" s="1349"/>
      <c r="AA924" s="1586"/>
      <c r="AB924" s="1448"/>
      <c r="AC924" s="1448"/>
      <c r="AD924" s="1448"/>
      <c r="AE924" s="1448"/>
      <c r="AF924" s="1587"/>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 customHeight="1">
      <c r="F925" s="1588" t="s">
        <v>1682</v>
      </c>
      <c r="G925" s="1589"/>
      <c r="H925" s="1589"/>
      <c r="I925" s="1589"/>
      <c r="J925" s="1589"/>
      <c r="K925" s="1589"/>
      <c r="L925" s="1589"/>
      <c r="M925" s="1589"/>
      <c r="N925" s="1589"/>
      <c r="O925" s="1589"/>
      <c r="P925" s="1589"/>
      <c r="Q925" s="1589"/>
      <c r="R925" s="1589"/>
      <c r="S925" s="1589"/>
      <c r="T925" s="1590"/>
      <c r="U925" s="1585" t="s">
        <v>299</v>
      </c>
      <c r="V925" s="1348"/>
      <c r="W925" s="1348"/>
      <c r="X925" s="1348"/>
      <c r="Y925" s="1348"/>
      <c r="Z925" s="1349"/>
      <c r="AA925" s="1586"/>
      <c r="AB925" s="1448"/>
      <c r="AC925" s="1448"/>
      <c r="AD925" s="1448"/>
      <c r="AE925" s="1448"/>
      <c r="AF925" s="1587"/>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 customHeight="1">
      <c r="F926" s="1588" t="s">
        <v>1683</v>
      </c>
      <c r="G926" s="1589"/>
      <c r="H926" s="1589"/>
      <c r="I926" s="1589"/>
      <c r="J926" s="1589"/>
      <c r="K926" s="1589"/>
      <c r="L926" s="1589"/>
      <c r="M926" s="1589"/>
      <c r="N926" s="1589"/>
      <c r="O926" s="1589"/>
      <c r="P926" s="1589"/>
      <c r="Q926" s="1589"/>
      <c r="R926" s="1589"/>
      <c r="S926" s="1589"/>
      <c r="T926" s="1590"/>
      <c r="U926" s="1585" t="s">
        <v>299</v>
      </c>
      <c r="V926" s="1348"/>
      <c r="W926" s="1348"/>
      <c r="X926" s="1348"/>
      <c r="Y926" s="1348"/>
      <c r="Z926" s="1349"/>
      <c r="AA926" s="1586"/>
      <c r="AB926" s="1448"/>
      <c r="AC926" s="1448"/>
      <c r="AD926" s="1448"/>
      <c r="AE926" s="1448"/>
      <c r="AF926" s="1587"/>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 customHeight="1">
      <c r="F927" s="1588" t="s">
        <v>1684</v>
      </c>
      <c r="G927" s="1589"/>
      <c r="H927" s="1589"/>
      <c r="I927" s="1589"/>
      <c r="J927" s="1589"/>
      <c r="K927" s="1589"/>
      <c r="L927" s="1589"/>
      <c r="M927" s="1589"/>
      <c r="N927" s="1589"/>
      <c r="O927" s="1589"/>
      <c r="P927" s="1589"/>
      <c r="Q927" s="1589"/>
      <c r="R927" s="1589"/>
      <c r="S927" s="1589"/>
      <c r="T927" s="1590"/>
      <c r="U927" s="1585" t="s">
        <v>299</v>
      </c>
      <c r="V927" s="1348"/>
      <c r="W927" s="1348"/>
      <c r="X927" s="1348"/>
      <c r="Y927" s="1348"/>
      <c r="Z927" s="1349"/>
      <c r="AA927" s="1586"/>
      <c r="AB927" s="1448"/>
      <c r="AC927" s="1448"/>
      <c r="AD927" s="1448"/>
      <c r="AE927" s="1448"/>
      <c r="AF927" s="1587"/>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 customHeight="1">
      <c r="F928" s="1588" t="s">
        <v>1685</v>
      </c>
      <c r="G928" s="1589"/>
      <c r="H928" s="1589"/>
      <c r="I928" s="1589"/>
      <c r="J928" s="1589"/>
      <c r="K928" s="1589"/>
      <c r="L928" s="1589"/>
      <c r="M928" s="1589"/>
      <c r="N928" s="1589"/>
      <c r="O928" s="1589"/>
      <c r="P928" s="1589"/>
      <c r="Q928" s="1589"/>
      <c r="R928" s="1589"/>
      <c r="S928" s="1589"/>
      <c r="T928" s="1590"/>
      <c r="U928" s="1585" t="s">
        <v>299</v>
      </c>
      <c r="V928" s="1348"/>
      <c r="W928" s="1348"/>
      <c r="X928" s="1348"/>
      <c r="Y928" s="1348"/>
      <c r="Z928" s="1349"/>
      <c r="AA928" s="1586"/>
      <c r="AB928" s="1448"/>
      <c r="AC928" s="1448"/>
      <c r="AD928" s="1448"/>
      <c r="AE928" s="1448"/>
      <c r="AF928" s="1587"/>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 customHeight="1">
      <c r="F929" s="1588" t="s">
        <v>1686</v>
      </c>
      <c r="G929" s="1589"/>
      <c r="H929" s="1589"/>
      <c r="I929" s="1589"/>
      <c r="J929" s="1589"/>
      <c r="K929" s="1589"/>
      <c r="L929" s="1589"/>
      <c r="M929" s="1589"/>
      <c r="N929" s="1589"/>
      <c r="O929" s="1589"/>
      <c r="P929" s="1589"/>
      <c r="Q929" s="1589"/>
      <c r="R929" s="1589"/>
      <c r="S929" s="1589"/>
      <c r="T929" s="1590"/>
      <c r="U929" s="1585" t="s">
        <v>299</v>
      </c>
      <c r="V929" s="1348"/>
      <c r="W929" s="1348"/>
      <c r="X929" s="1348"/>
      <c r="Y929" s="1348"/>
      <c r="Z929" s="1349"/>
      <c r="AA929" s="1586"/>
      <c r="AB929" s="1448"/>
      <c r="AC929" s="1448"/>
      <c r="AD929" s="1448"/>
      <c r="AE929" s="1448"/>
      <c r="AF929" s="1587"/>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 customHeight="1">
      <c r="F930" s="1588" t="s">
        <v>1687</v>
      </c>
      <c r="G930" s="1589"/>
      <c r="H930" s="1589"/>
      <c r="I930" s="1589"/>
      <c r="J930" s="1589"/>
      <c r="K930" s="1589"/>
      <c r="L930" s="1589"/>
      <c r="M930" s="1589"/>
      <c r="N930" s="1589"/>
      <c r="O930" s="1589"/>
      <c r="P930" s="1589"/>
      <c r="Q930" s="1589"/>
      <c r="R930" s="1589"/>
      <c r="S930" s="1589"/>
      <c r="T930" s="1590"/>
      <c r="U930" s="1585" t="s">
        <v>299</v>
      </c>
      <c r="V930" s="1348"/>
      <c r="W930" s="1348"/>
      <c r="X930" s="1348"/>
      <c r="Y930" s="1348"/>
      <c r="Z930" s="1349"/>
      <c r="AA930" s="1586"/>
      <c r="AB930" s="1448"/>
      <c r="AC930" s="1448"/>
      <c r="AD930" s="1448"/>
      <c r="AE930" s="1448"/>
      <c r="AF930" s="1587"/>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 customHeight="1">
      <c r="F931" s="1588" t="s">
        <v>1688</v>
      </c>
      <c r="G931" s="1589"/>
      <c r="H931" s="1589"/>
      <c r="I931" s="1589"/>
      <c r="J931" s="1589"/>
      <c r="K931" s="1589"/>
      <c r="L931" s="1589"/>
      <c r="M931" s="1589"/>
      <c r="N931" s="1589"/>
      <c r="O931" s="1589"/>
      <c r="P931" s="1589"/>
      <c r="Q931" s="1589"/>
      <c r="R931" s="1589"/>
      <c r="S931" s="1589"/>
      <c r="T931" s="1590"/>
      <c r="U931" s="1585" t="s">
        <v>299</v>
      </c>
      <c r="V931" s="1348"/>
      <c r="W931" s="1348"/>
      <c r="X931" s="1348"/>
      <c r="Y931" s="1348"/>
      <c r="Z931" s="1349"/>
      <c r="AA931" s="1586"/>
      <c r="AB931" s="1448"/>
      <c r="AC931" s="1448"/>
      <c r="AD931" s="1448"/>
      <c r="AE931" s="1448"/>
      <c r="AF931" s="1587"/>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 customHeight="1">
      <c r="F932" s="104" t="s">
        <v>1689</v>
      </c>
      <c r="G932" s="4"/>
      <c r="H932" s="4"/>
      <c r="I932" s="4"/>
      <c r="J932" s="4"/>
      <c r="K932" s="4"/>
      <c r="L932" s="4"/>
      <c r="M932" s="4"/>
      <c r="N932" s="4"/>
      <c r="O932" s="4"/>
      <c r="P932" s="4"/>
      <c r="Q932" s="4"/>
      <c r="R932" s="4"/>
      <c r="S932" s="4"/>
      <c r="T932" s="1156"/>
      <c r="U932" s="1585" t="s">
        <v>299</v>
      </c>
      <c r="V932" s="1348"/>
      <c r="W932" s="1348"/>
      <c r="X932" s="1348"/>
      <c r="Y932" s="1348"/>
      <c r="Z932" s="1349"/>
      <c r="AA932" s="1586"/>
      <c r="AB932" s="1448"/>
      <c r="AC932" s="1448"/>
      <c r="AD932" s="1448"/>
      <c r="AE932" s="1448"/>
      <c r="AF932" s="1587"/>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 customHeight="1">
      <c r="F933" s="1167" t="s">
        <v>1690</v>
      </c>
      <c r="G933" s="4"/>
      <c r="H933" s="4"/>
      <c r="I933" s="4"/>
      <c r="J933" s="4"/>
      <c r="K933" s="4"/>
      <c r="L933" s="4"/>
      <c r="M933" s="4"/>
      <c r="N933" s="4"/>
      <c r="O933" s="4"/>
      <c r="P933" s="4"/>
      <c r="Q933" s="4"/>
      <c r="R933" s="4"/>
      <c r="S933" s="4"/>
      <c r="T933" s="1156"/>
      <c r="U933" s="1585" t="s">
        <v>299</v>
      </c>
      <c r="V933" s="1348"/>
      <c r="W933" s="1348"/>
      <c r="X933" s="1348"/>
      <c r="Y933" s="1348"/>
      <c r="Z933" s="1349"/>
      <c r="AA933" s="1586"/>
      <c r="AB933" s="1448"/>
      <c r="AC933" s="1448"/>
      <c r="AD933" s="1448"/>
      <c r="AE933" s="1448"/>
      <c r="AF933" s="1587"/>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 customHeight="1">
      <c r="F934" s="1167" t="s">
        <v>1691</v>
      </c>
      <c r="G934" s="4"/>
      <c r="H934" s="4"/>
      <c r="I934" s="4"/>
      <c r="J934" s="4"/>
      <c r="K934" s="4"/>
      <c r="L934" s="4"/>
      <c r="M934" s="4"/>
      <c r="N934" s="4"/>
      <c r="O934" s="4"/>
      <c r="P934" s="4"/>
      <c r="Q934" s="4"/>
      <c r="R934" s="4"/>
      <c r="S934" s="4"/>
      <c r="T934" s="1156"/>
      <c r="U934" s="1585" t="s">
        <v>299</v>
      </c>
      <c r="V934" s="1348"/>
      <c r="W934" s="1348"/>
      <c r="X934" s="1348"/>
      <c r="Y934" s="1348"/>
      <c r="Z934" s="1349"/>
      <c r="AA934" s="1586"/>
      <c r="AB934" s="1448"/>
      <c r="AC934" s="1448"/>
      <c r="AD934" s="1448"/>
      <c r="AE934" s="1448"/>
      <c r="AF934" s="1587"/>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 customHeight="1">
      <c r="F935" s="1591" t="s">
        <v>1692</v>
      </c>
      <c r="G935" s="1592"/>
      <c r="H935" s="1592"/>
      <c r="I935" s="1592"/>
      <c r="J935" s="1592"/>
      <c r="K935" s="1592"/>
      <c r="L935" s="1592"/>
      <c r="M935" s="1592"/>
      <c r="N935" s="1592"/>
      <c r="O935" s="1592"/>
      <c r="P935" s="1592"/>
      <c r="Q935" s="1592"/>
      <c r="R935" s="1592"/>
      <c r="S935" s="1592"/>
      <c r="T935" s="1593"/>
      <c r="U935" s="1585" t="s">
        <v>299</v>
      </c>
      <c r="V935" s="1348"/>
      <c r="W935" s="1348"/>
      <c r="X935" s="1348"/>
      <c r="Y935" s="1348"/>
      <c r="Z935" s="1349"/>
      <c r="AA935" s="1586"/>
      <c r="AB935" s="1448"/>
      <c r="AC935" s="1448"/>
      <c r="AD935" s="1448"/>
      <c r="AE935" s="1448"/>
      <c r="AF935" s="1587"/>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 customHeight="1">
      <c r="F936" s="1591" t="s">
        <v>1693</v>
      </c>
      <c r="G936" s="1592"/>
      <c r="H936" s="1592"/>
      <c r="I936" s="1592"/>
      <c r="J936" s="1592"/>
      <c r="K936" s="1592"/>
      <c r="L936" s="1592"/>
      <c r="M936" s="1592"/>
      <c r="N936" s="1592"/>
      <c r="O936" s="1592"/>
      <c r="P936" s="1592"/>
      <c r="Q936" s="1592"/>
      <c r="R936" s="1592"/>
      <c r="S936" s="1592"/>
      <c r="T936" s="1593"/>
      <c r="U936" s="1585" t="s">
        <v>299</v>
      </c>
      <c r="V936" s="1348"/>
      <c r="W936" s="1348"/>
      <c r="X936" s="1348"/>
      <c r="Y936" s="1348"/>
      <c r="Z936" s="1349"/>
      <c r="AA936" s="1586"/>
      <c r="AB936" s="1448"/>
      <c r="AC936" s="1448"/>
      <c r="AD936" s="1448"/>
      <c r="AE936" s="1448"/>
      <c r="AF936" s="1587"/>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 customHeight="1">
      <c r="F937" s="1588" t="s">
        <v>1694</v>
      </c>
      <c r="G937" s="1589"/>
      <c r="H937" s="1589"/>
      <c r="I937" s="1589"/>
      <c r="J937" s="1589"/>
      <c r="K937" s="1589"/>
      <c r="L937" s="1589"/>
      <c r="M937" s="1589"/>
      <c r="N937" s="1589"/>
      <c r="O937" s="1589"/>
      <c r="P937" s="1589"/>
      <c r="Q937" s="1589"/>
      <c r="R937" s="1589"/>
      <c r="S937" s="1589"/>
      <c r="T937" s="1590"/>
      <c r="U937" s="1585" t="s">
        <v>299</v>
      </c>
      <c r="V937" s="1348"/>
      <c r="W937" s="1348"/>
      <c r="X937" s="1348"/>
      <c r="Y937" s="1348"/>
      <c r="Z937" s="1349"/>
      <c r="AA937" s="1586"/>
      <c r="AB937" s="1448"/>
      <c r="AC937" s="1448"/>
      <c r="AD937" s="1448"/>
      <c r="AE937" s="1448"/>
      <c r="AF937" s="1587"/>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 customHeight="1">
      <c r="F938" s="1588" t="s">
        <v>1695</v>
      </c>
      <c r="G938" s="1589"/>
      <c r="H938" s="1589"/>
      <c r="I938" s="1589"/>
      <c r="J938" s="1589"/>
      <c r="K938" s="1589"/>
      <c r="L938" s="1589"/>
      <c r="M938" s="1589"/>
      <c r="N938" s="1589"/>
      <c r="O938" s="1589"/>
      <c r="P938" s="1589"/>
      <c r="Q938" s="1589"/>
      <c r="R938" s="1589"/>
      <c r="S938" s="1589"/>
      <c r="T938" s="1590"/>
      <c r="U938" s="1585" t="s">
        <v>299</v>
      </c>
      <c r="V938" s="1348"/>
      <c r="W938" s="1348"/>
      <c r="X938" s="1348"/>
      <c r="Y938" s="1348"/>
      <c r="Z938" s="1349"/>
      <c r="AA938" s="1586"/>
      <c r="AB938" s="1448"/>
      <c r="AC938" s="1448"/>
      <c r="AD938" s="1448"/>
      <c r="AE938" s="1448"/>
      <c r="AF938" s="1587"/>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 customHeight="1">
      <c r="F939" s="1588" t="s">
        <v>1696</v>
      </c>
      <c r="G939" s="1589"/>
      <c r="H939" s="1589"/>
      <c r="I939" s="1589"/>
      <c r="J939" s="1589"/>
      <c r="K939" s="1589"/>
      <c r="L939" s="1589"/>
      <c r="M939" s="1589"/>
      <c r="N939" s="1589"/>
      <c r="O939" s="1589"/>
      <c r="P939" s="1589"/>
      <c r="Q939" s="1589"/>
      <c r="R939" s="1589"/>
      <c r="S939" s="1589"/>
      <c r="T939" s="1590"/>
      <c r="U939" s="1585" t="s">
        <v>299</v>
      </c>
      <c r="V939" s="1348"/>
      <c r="W939" s="1348"/>
      <c r="X939" s="1348"/>
      <c r="Y939" s="1348"/>
      <c r="Z939" s="1349"/>
      <c r="AA939" s="1586"/>
      <c r="AB939" s="1448"/>
      <c r="AC939" s="1448"/>
      <c r="AD939" s="1448"/>
      <c r="AE939" s="1448"/>
      <c r="AF939" s="1587"/>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 customHeight="1">
      <c r="F940" s="1167" t="s">
        <v>1697</v>
      </c>
      <c r="G940" s="4"/>
      <c r="H940" s="4"/>
      <c r="I940" s="4"/>
      <c r="J940" s="4"/>
      <c r="K940" s="4"/>
      <c r="L940" s="4"/>
      <c r="M940" s="4"/>
      <c r="N940" s="4"/>
      <c r="O940" s="4"/>
      <c r="P940" s="4"/>
      <c r="Q940" s="4"/>
      <c r="R940" s="4"/>
      <c r="S940" s="4"/>
      <c r="T940" s="1156"/>
      <c r="U940" s="1585" t="s">
        <v>299</v>
      </c>
      <c r="V940" s="1348"/>
      <c r="W940" s="1348"/>
      <c r="X940" s="1348"/>
      <c r="Y940" s="1348"/>
      <c r="Z940" s="1349"/>
      <c r="AA940" s="1586"/>
      <c r="AB940" s="1448"/>
      <c r="AC940" s="1448"/>
      <c r="AD940" s="1448"/>
      <c r="AE940" s="1448"/>
      <c r="AF940" s="1587"/>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 customHeight="1">
      <c r="F941" s="1591" t="s">
        <v>1698</v>
      </c>
      <c r="G941" s="1592"/>
      <c r="H941" s="1592"/>
      <c r="I941" s="1592"/>
      <c r="J941" s="1592"/>
      <c r="K941" s="1592"/>
      <c r="L941" s="1592"/>
      <c r="M941" s="1592"/>
      <c r="N941" s="1592"/>
      <c r="O941" s="1592"/>
      <c r="P941" s="1592"/>
      <c r="Q941" s="1592"/>
      <c r="R941" s="1592"/>
      <c r="S941" s="1592"/>
      <c r="T941" s="1593"/>
      <c r="U941" s="1585" t="s">
        <v>299</v>
      </c>
      <c r="V941" s="1348"/>
      <c r="W941" s="1348"/>
      <c r="X941" s="1348"/>
      <c r="Y941" s="1348"/>
      <c r="Z941" s="1349"/>
      <c r="AA941" s="1586"/>
      <c r="AB941" s="1448"/>
      <c r="AC941" s="1448"/>
      <c r="AD941" s="1448"/>
      <c r="AE941" s="1448"/>
      <c r="AF941" s="1587"/>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 customHeight="1">
      <c r="F942" s="1167" t="s">
        <v>1699</v>
      </c>
      <c r="G942" s="4"/>
      <c r="H942" s="4"/>
      <c r="I942" s="4"/>
      <c r="J942" s="4"/>
      <c r="K942" s="4"/>
      <c r="L942" s="4"/>
      <c r="M942" s="4"/>
      <c r="N942" s="4"/>
      <c r="O942" s="4"/>
      <c r="P942" s="4"/>
      <c r="Q942" s="4"/>
      <c r="R942" s="4"/>
      <c r="S942" s="4"/>
      <c r="T942" s="1156"/>
      <c r="U942" s="1585" t="s">
        <v>299</v>
      </c>
      <c r="V942" s="1348"/>
      <c r="W942" s="1348"/>
      <c r="X942" s="1348"/>
      <c r="Y942" s="1348"/>
      <c r="Z942" s="1349"/>
      <c r="AA942" s="1586"/>
      <c r="AB942" s="1448"/>
      <c r="AC942" s="1448"/>
      <c r="AD942" s="1448"/>
      <c r="AE942" s="1448"/>
      <c r="AF942" s="1587"/>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 customHeight="1">
      <c r="F943" s="1591" t="s">
        <v>1700</v>
      </c>
      <c r="G943" s="1592"/>
      <c r="H943" s="1592"/>
      <c r="I943" s="1592"/>
      <c r="J943" s="1592"/>
      <c r="K943" s="1592"/>
      <c r="L943" s="1592"/>
      <c r="M943" s="1592"/>
      <c r="N943" s="1592"/>
      <c r="O943" s="1592"/>
      <c r="P943" s="1592"/>
      <c r="Q943" s="1592"/>
      <c r="R943" s="1592"/>
      <c r="S943" s="1592"/>
      <c r="T943" s="1593"/>
      <c r="U943" s="1585" t="s">
        <v>299</v>
      </c>
      <c r="V943" s="1348"/>
      <c r="W943" s="1348"/>
      <c r="X943" s="1348"/>
      <c r="Y943" s="1348"/>
      <c r="Z943" s="1349"/>
      <c r="AA943" s="1586"/>
      <c r="AB943" s="1448"/>
      <c r="AC943" s="1448"/>
      <c r="AD943" s="1448"/>
      <c r="AE943" s="1448"/>
      <c r="AF943" s="1587"/>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 customHeight="1">
      <c r="F944" s="1155" t="s">
        <v>1701</v>
      </c>
      <c r="G944" s="4"/>
      <c r="H944" s="4"/>
      <c r="I944" s="4"/>
      <c r="J944" s="4"/>
      <c r="K944" s="4"/>
      <c r="L944" s="4"/>
      <c r="M944" s="4"/>
      <c r="N944" s="4"/>
      <c r="O944" s="4"/>
      <c r="P944" s="1585" t="s">
        <v>893</v>
      </c>
      <c r="Q944" s="1348"/>
      <c r="R944" s="1348"/>
      <c r="S944" s="1348"/>
      <c r="T944" s="1349"/>
      <c r="U944" s="1585" t="s">
        <v>299</v>
      </c>
      <c r="V944" s="1348"/>
      <c r="W944" s="1348"/>
      <c r="X944" s="1348"/>
      <c r="Y944" s="1348"/>
      <c r="Z944" s="1349"/>
      <c r="AA944" s="1586"/>
      <c r="AB944" s="1448"/>
      <c r="AC944" s="1448"/>
      <c r="AD944" s="1448"/>
      <c r="AE944" s="1448"/>
      <c r="AF944" s="1587"/>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 customHeight="1">
      <c r="F945" s="1588" t="s">
        <v>1702</v>
      </c>
      <c r="G945" s="1589"/>
      <c r="H945" s="1590"/>
      <c r="I945" s="1554" t="s">
        <v>1703</v>
      </c>
      <c r="J945" s="1555"/>
      <c r="K945" s="1555"/>
      <c r="L945" s="1555"/>
      <c r="M945" s="1555"/>
      <c r="N945" s="1555"/>
      <c r="O945" s="1555"/>
      <c r="P945" s="1555"/>
      <c r="Q945" s="1555"/>
      <c r="R945" s="1555"/>
      <c r="S945" s="1555"/>
      <c r="T945" s="1556"/>
      <c r="U945" s="1585" t="s">
        <v>837</v>
      </c>
      <c r="V945" s="1348"/>
      <c r="W945" s="1348"/>
      <c r="X945" s="1348"/>
      <c r="Y945" s="1348"/>
      <c r="Z945" s="1349"/>
      <c r="AA945" s="1586">
        <v>22297479</v>
      </c>
      <c r="AB945" s="1448"/>
      <c r="AC945" s="1448"/>
      <c r="AD945" s="1448"/>
      <c r="AE945" s="1448"/>
      <c r="AF945" s="1587"/>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 customHeight="1">
      <c r="F946" s="1155" t="s">
        <v>1114</v>
      </c>
      <c r="G946" s="33"/>
      <c r="H946" s="33"/>
      <c r="I946" s="1554" t="s">
        <v>1703</v>
      </c>
      <c r="J946" s="1555"/>
      <c r="K946" s="1555"/>
      <c r="L946" s="1555"/>
      <c r="M946" s="1555"/>
      <c r="N946" s="1555"/>
      <c r="O946" s="1555"/>
      <c r="P946" s="1555"/>
      <c r="Q946" s="1555"/>
      <c r="R946" s="1555"/>
      <c r="S946" s="1555"/>
      <c r="T946" s="1556"/>
      <c r="U946" s="1585" t="s">
        <v>837</v>
      </c>
      <c r="V946" s="1348"/>
      <c r="W946" s="1348"/>
      <c r="X946" s="1348"/>
      <c r="Y946" s="1348"/>
      <c r="Z946" s="1349"/>
      <c r="AA946" s="1586">
        <v>11700000</v>
      </c>
      <c r="AB946" s="1448"/>
      <c r="AC946" s="1448"/>
      <c r="AD946" s="1448"/>
      <c r="AE946" s="1448"/>
      <c r="AF946" s="1587"/>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 customHeight="1">
      <c r="F947" s="1155" t="s">
        <v>1704</v>
      </c>
      <c r="G947" s="33"/>
      <c r="H947" s="33"/>
      <c r="I947" s="1554" t="s">
        <v>1503</v>
      </c>
      <c r="J947" s="1555"/>
      <c r="K947" s="1555"/>
      <c r="L947" s="1555"/>
      <c r="M947" s="1555"/>
      <c r="N947" s="1555"/>
      <c r="O947" s="1555"/>
      <c r="P947" s="1555"/>
      <c r="Q947" s="1555"/>
      <c r="R947" s="1555"/>
      <c r="S947" s="1555"/>
      <c r="T947" s="1556"/>
      <c r="U947" s="1585" t="s">
        <v>837</v>
      </c>
      <c r="V947" s="1348"/>
      <c r="W947" s="1348"/>
      <c r="X947" s="1348"/>
      <c r="Y947" s="1348"/>
      <c r="Z947" s="1349"/>
      <c r="AA947" s="1586">
        <v>4403263</v>
      </c>
      <c r="AB947" s="1448"/>
      <c r="AC947" s="1448"/>
      <c r="AD947" s="1448"/>
      <c r="AE947" s="1448"/>
      <c r="AF947" s="1587"/>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 customHeight="1">
      <c r="F948" s="32" t="s">
        <v>232</v>
      </c>
      <c r="G948" s="33"/>
      <c r="H948" s="33"/>
      <c r="I948" s="1554" t="s">
        <v>1502</v>
      </c>
      <c r="J948" s="1555"/>
      <c r="K948" s="1555"/>
      <c r="L948" s="1555"/>
      <c r="M948" s="1555"/>
      <c r="N948" s="1555"/>
      <c r="O948" s="1555"/>
      <c r="P948" s="1555"/>
      <c r="Q948" s="1555"/>
      <c r="R948" s="1555"/>
      <c r="S948" s="1555"/>
      <c r="T948" s="1556"/>
      <c r="U948" s="1585" t="s">
        <v>837</v>
      </c>
      <c r="V948" s="1348"/>
      <c r="W948" s="1348"/>
      <c r="X948" s="1348"/>
      <c r="Y948" s="1348"/>
      <c r="Z948" s="1349"/>
      <c r="AA948" s="1586">
        <v>4000000</v>
      </c>
      <c r="AB948" s="1448"/>
      <c r="AC948" s="1448"/>
      <c r="AD948" s="1448"/>
      <c r="AE948" s="1448"/>
      <c r="AF948" s="1587"/>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 customHeight="1">
      <c r="F949" s="32" t="s">
        <v>232</v>
      </c>
      <c r="G949" s="33"/>
      <c r="H949" s="33"/>
      <c r="I949" s="1554" t="s">
        <v>1705</v>
      </c>
      <c r="J949" s="1555"/>
      <c r="K949" s="1555"/>
      <c r="L949" s="1555"/>
      <c r="M949" s="1555"/>
      <c r="N949" s="1555"/>
      <c r="O949" s="1555"/>
      <c r="P949" s="1555"/>
      <c r="Q949" s="1555"/>
      <c r="R949" s="1555"/>
      <c r="S949" s="1555"/>
      <c r="T949" s="1556"/>
      <c r="U949" s="1585" t="s">
        <v>837</v>
      </c>
      <c r="V949" s="1348"/>
      <c r="W949" s="1348"/>
      <c r="X949" s="1348"/>
      <c r="Y949" s="1348"/>
      <c r="Z949" s="1349"/>
      <c r="AA949" s="1586">
        <v>650000</v>
      </c>
      <c r="AB949" s="1448"/>
      <c r="AC949" s="1448"/>
      <c r="AD949" s="1448"/>
      <c r="AE949" s="1448"/>
      <c r="AF949" s="1587"/>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 customHeight="1">
      <c r="A951" s="1" t="s">
        <v>961</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 customHeight="1">
      <c r="B952" s="1"/>
      <c r="C952" s="18" t="s">
        <v>1706</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 customHeight="1">
      <c r="C954" s="1167" t="s">
        <v>1707</v>
      </c>
      <c r="D954" s="4"/>
      <c r="E954" s="4"/>
      <c r="F954" s="4"/>
      <c r="G954" s="4"/>
      <c r="H954" s="4"/>
      <c r="I954" s="4"/>
      <c r="J954" s="4"/>
      <c r="K954" s="4"/>
      <c r="L954" s="1156"/>
      <c r="M954" s="1616"/>
      <c r="N954" s="1551"/>
      <c r="O954" s="1551"/>
      <c r="P954" s="1551"/>
      <c r="Q954" s="1551"/>
      <c r="R954" s="1551"/>
      <c r="S954" s="1552"/>
      <c r="U954" s="1167" t="s">
        <v>1707</v>
      </c>
      <c r="V954" s="4"/>
      <c r="W954" s="4"/>
      <c r="X954" s="4"/>
      <c r="Y954" s="4"/>
      <c r="Z954" s="4"/>
      <c r="AA954" s="4"/>
      <c r="AB954" s="4"/>
      <c r="AC954" s="4"/>
      <c r="AD954" s="1156"/>
      <c r="AE954" s="1616"/>
      <c r="AF954" s="1551"/>
      <c r="AG954" s="1551"/>
      <c r="AH954" s="1551"/>
      <c r="AI954" s="1551"/>
      <c r="AJ954" s="1551"/>
      <c r="AK954" s="155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 customHeight="1">
      <c r="C955" s="1167" t="s">
        <v>1708</v>
      </c>
      <c r="D955" s="4"/>
      <c r="E955" s="4"/>
      <c r="F955" s="4"/>
      <c r="G955" s="4"/>
      <c r="H955" s="4"/>
      <c r="I955" s="4"/>
      <c r="J955" s="4"/>
      <c r="K955" s="4"/>
      <c r="L955" s="1156"/>
      <c r="M955" s="1608"/>
      <c r="N955" s="1434"/>
      <c r="O955" s="1434"/>
      <c r="P955" s="1434"/>
      <c r="Q955" s="1434"/>
      <c r="R955" s="1434"/>
      <c r="S955" s="1609"/>
      <c r="U955" s="1167" t="s">
        <v>1708</v>
      </c>
      <c r="V955" s="4"/>
      <c r="W955" s="4"/>
      <c r="X955" s="4"/>
      <c r="Y955" s="4"/>
      <c r="Z955" s="4"/>
      <c r="AA955" s="4"/>
      <c r="AB955" s="4"/>
      <c r="AC955" s="4"/>
      <c r="AD955" s="1156"/>
      <c r="AE955" s="1608"/>
      <c r="AF955" s="1434"/>
      <c r="AG955" s="1434"/>
      <c r="AH955" s="1434"/>
      <c r="AI955" s="1434"/>
      <c r="AJ955" s="1434"/>
      <c r="AK955" s="1609"/>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 customHeight="1">
      <c r="C956" s="1167" t="s">
        <v>1709</v>
      </c>
      <c r="D956" s="4"/>
      <c r="E956" s="4"/>
      <c r="J956" s="1596" t="s">
        <v>294</v>
      </c>
      <c r="K956" s="1597"/>
      <c r="L956" s="1597"/>
      <c r="M956" s="1597"/>
      <c r="N956" s="1597"/>
      <c r="O956" s="1597"/>
      <c r="P956" s="1597"/>
      <c r="Q956" s="1597"/>
      <c r="R956" s="1597"/>
      <c r="S956" s="1598"/>
      <c r="U956" s="1167" t="s">
        <v>1709</v>
      </c>
      <c r="V956" s="4"/>
      <c r="W956" s="4"/>
      <c r="AB956" s="1596" t="s">
        <v>294</v>
      </c>
      <c r="AC956" s="1597"/>
      <c r="AD956" s="1597"/>
      <c r="AE956" s="1597"/>
      <c r="AF956" s="1597"/>
      <c r="AG956" s="1597"/>
      <c r="AH956" s="1597"/>
      <c r="AI956" s="1597"/>
      <c r="AJ956" s="1597"/>
      <c r="AK956" s="1598"/>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 customHeight="1">
      <c r="C957" s="1167" t="s">
        <v>1710</v>
      </c>
      <c r="D957" s="4"/>
      <c r="E957" s="4"/>
      <c r="F957" s="4"/>
      <c r="G957" s="4"/>
      <c r="H957" s="4"/>
      <c r="I957" s="4"/>
      <c r="J957" s="4"/>
      <c r="K957" s="4"/>
      <c r="L957" s="1156"/>
      <c r="M957" s="1605"/>
      <c r="N957" s="1606"/>
      <c r="O957" s="1606"/>
      <c r="P957" s="1606"/>
      <c r="Q957" s="1606"/>
      <c r="R957" s="1606"/>
      <c r="S957" s="1607"/>
      <c r="U957" s="1167" t="s">
        <v>1710</v>
      </c>
      <c r="V957" s="4"/>
      <c r="W957" s="4"/>
      <c r="X957" s="4"/>
      <c r="Y957" s="4"/>
      <c r="Z957" s="4"/>
      <c r="AA957" s="4"/>
      <c r="AB957" s="4"/>
      <c r="AC957" s="4"/>
      <c r="AD957" s="1156"/>
      <c r="AE957" s="1689"/>
      <c r="AF957" s="1606"/>
      <c r="AG957" s="1606"/>
      <c r="AH957" s="1606"/>
      <c r="AI957" s="1606"/>
      <c r="AJ957" s="1606"/>
      <c r="AK957" s="1607"/>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 customHeight="1">
      <c r="C958" s="1167" t="s">
        <v>1711</v>
      </c>
      <c r="D958" s="4"/>
      <c r="E958" s="4"/>
      <c r="F958" s="4"/>
      <c r="G958" s="4"/>
      <c r="H958" s="4"/>
      <c r="I958" s="4"/>
      <c r="J958" s="4"/>
      <c r="K958" s="4"/>
      <c r="L958" s="1156"/>
      <c r="M958" s="1664"/>
      <c r="N958" s="1541"/>
      <c r="O958" s="1541"/>
      <c r="P958" s="1541"/>
      <c r="Q958" s="1541"/>
      <c r="R958" s="1541"/>
      <c r="S958" s="1542"/>
      <c r="U958" s="1167" t="s">
        <v>1711</v>
      </c>
      <c r="V958" s="4"/>
      <c r="W958" s="4"/>
      <c r="X958" s="4"/>
      <c r="Y958" s="4"/>
      <c r="Z958" s="4"/>
      <c r="AA958" s="4"/>
      <c r="AB958" s="4"/>
      <c r="AC958" s="4"/>
      <c r="AD958" s="1156"/>
      <c r="AE958" s="1664"/>
      <c r="AF958" s="1541"/>
      <c r="AG958" s="1541"/>
      <c r="AH958" s="1541"/>
      <c r="AI958" s="1541"/>
      <c r="AJ958" s="1541"/>
      <c r="AK958" s="1542"/>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 customHeight="1">
      <c r="C959" s="1167" t="s">
        <v>1712</v>
      </c>
      <c r="D959" s="4"/>
      <c r="E959" s="4"/>
      <c r="F959" s="4"/>
      <c r="G959" s="4"/>
      <c r="H959" s="4"/>
      <c r="I959" s="4"/>
      <c r="J959" s="4"/>
      <c r="K959" s="4"/>
      <c r="L959" s="1156"/>
      <c r="M959" s="1586"/>
      <c r="N959" s="1448"/>
      <c r="O959" s="1448"/>
      <c r="P959" s="1448"/>
      <c r="Q959" s="1448"/>
      <c r="R959" s="1448"/>
      <c r="S959" s="1587"/>
      <c r="U959" s="1167" t="s">
        <v>1712</v>
      </c>
      <c r="V959" s="4"/>
      <c r="W959" s="4"/>
      <c r="X959" s="4"/>
      <c r="Y959" s="4"/>
      <c r="Z959" s="4"/>
      <c r="AA959" s="4"/>
      <c r="AB959" s="4"/>
      <c r="AC959" s="4"/>
      <c r="AD959" s="1156"/>
      <c r="AE959" s="1586"/>
      <c r="AF959" s="1448"/>
      <c r="AG959" s="1448"/>
      <c r="AH959" s="1448"/>
      <c r="AI959" s="1448"/>
      <c r="AJ959" s="1448"/>
      <c r="AK959" s="1587"/>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 customHeight="1">
      <c r="C960" s="1167" t="s">
        <v>1713</v>
      </c>
      <c r="D960" s="4"/>
      <c r="E960" s="4"/>
      <c r="F960" s="4"/>
      <c r="G960" s="4"/>
      <c r="H960" s="4"/>
      <c r="I960" s="4"/>
      <c r="J960" s="4"/>
      <c r="K960" s="4"/>
      <c r="L960" s="1156"/>
      <c r="M960" s="1586"/>
      <c r="N960" s="1448"/>
      <c r="O960" s="1448"/>
      <c r="P960" s="1448"/>
      <c r="Q960" s="1448"/>
      <c r="R960" s="1448"/>
      <c r="S960" s="1587"/>
      <c r="U960" s="1167" t="s">
        <v>1713</v>
      </c>
      <c r="V960" s="4"/>
      <c r="W960" s="4"/>
      <c r="X960" s="4"/>
      <c r="Y960" s="4"/>
      <c r="Z960" s="4"/>
      <c r="AA960" s="4"/>
      <c r="AB960" s="4"/>
      <c r="AC960" s="4"/>
      <c r="AD960" s="1156"/>
      <c r="AE960" s="1586"/>
      <c r="AF960" s="1448"/>
      <c r="AG960" s="1448"/>
      <c r="AH960" s="1448"/>
      <c r="AI960" s="1448"/>
      <c r="AJ960" s="1448"/>
      <c r="AK960" s="1587"/>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 customHeight="1">
      <c r="C961" s="1167" t="s">
        <v>1294</v>
      </c>
      <c r="D961" s="4"/>
      <c r="E961" s="4"/>
      <c r="F961" s="4"/>
      <c r="G961" s="4"/>
      <c r="H961" s="4"/>
      <c r="I961" s="4"/>
      <c r="J961" s="4"/>
      <c r="K961" s="4"/>
      <c r="L961" s="1156"/>
      <c r="M961" s="1618"/>
      <c r="N961" s="1619"/>
      <c r="O961" s="1619"/>
      <c r="P961" s="1619"/>
      <c r="Q961" s="1619"/>
      <c r="R961" s="1619"/>
      <c r="S961" s="1620"/>
      <c r="U961" s="1167" t="s">
        <v>1294</v>
      </c>
      <c r="V961" s="4"/>
      <c r="W961" s="4"/>
      <c r="X961" s="4"/>
      <c r="Y961" s="4"/>
      <c r="Z961" s="4"/>
      <c r="AA961" s="4"/>
      <c r="AB961" s="4"/>
      <c r="AC961" s="4"/>
      <c r="AD961" s="1156"/>
      <c r="AE961" s="1618"/>
      <c r="AF961" s="1619"/>
      <c r="AG961" s="1619"/>
      <c r="AH961" s="1619"/>
      <c r="AI961" s="1619"/>
      <c r="AJ961" s="1619"/>
      <c r="AK961" s="1620"/>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 customHeight="1">
      <c r="A963" s="1" t="s">
        <v>1040</v>
      </c>
      <c r="C963" s="1" t="s">
        <v>1714</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 customHeight="1">
      <c r="A964"/>
      <c r="B964" s="1"/>
      <c r="C964" s="18" t="s">
        <v>1715</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05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 customHeight="1">
      <c r="A966"/>
      <c r="B966"/>
      <c r="C966"/>
      <c r="D966"/>
      <c r="E966"/>
      <c r="F966" s="1155" t="s">
        <v>1716</v>
      </c>
      <c r="G966" s="4"/>
      <c r="H966" s="4"/>
      <c r="I966" s="4"/>
      <c r="J966" s="4"/>
      <c r="K966" s="4"/>
      <c r="L966" s="1156"/>
      <c r="M966" s="1599"/>
      <c r="N966" s="1600"/>
      <c r="O966" s="1600"/>
      <c r="P966" s="1600"/>
      <c r="Q966" s="1600"/>
      <c r="R966" s="1600"/>
      <c r="S966" s="1601"/>
      <c r="T966" s="1167" t="s">
        <v>1717</v>
      </c>
      <c r="U966" s="4"/>
      <c r="V966" s="4"/>
      <c r="W966" s="4"/>
      <c r="X966" s="4"/>
      <c r="Y966" s="4"/>
      <c r="Z966" s="1156"/>
      <c r="AA966" s="1599"/>
      <c r="AB966" s="1600"/>
      <c r="AC966" s="1600"/>
      <c r="AD966" s="1600"/>
      <c r="AE966" s="1600"/>
      <c r="AF966" s="1600"/>
      <c r="AG966" s="1601"/>
      <c r="AH966"/>
      <c r="AI966"/>
      <c r="AJ966"/>
      <c r="AK966"/>
      <c r="AL966"/>
      <c r="AM966"/>
      <c r="AN966"/>
      <c r="AO966"/>
      <c r="AP966"/>
      <c r="AQ966"/>
      <c r="AR966"/>
      <c r="AS966"/>
      <c r="AT966"/>
      <c r="AU966" s="105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 customHeight="1">
      <c r="A967"/>
      <c r="B967"/>
      <c r="C967"/>
      <c r="D967"/>
      <c r="E967"/>
      <c r="F967" s="1155" t="s">
        <v>1718</v>
      </c>
      <c r="G967" s="4"/>
      <c r="H967" s="4"/>
      <c r="I967" s="4"/>
      <c r="J967" s="4"/>
      <c r="K967" s="4"/>
      <c r="L967" s="1156"/>
      <c r="M967" s="1599"/>
      <c r="N967" s="1600"/>
      <c r="O967" s="1600"/>
      <c r="P967" s="1600"/>
      <c r="Q967" s="1600"/>
      <c r="R967" s="1600"/>
      <c r="S967" s="1601"/>
      <c r="T967" s="1167" t="s">
        <v>1719</v>
      </c>
      <c r="U967" s="4"/>
      <c r="V967" s="4"/>
      <c r="W967" s="4"/>
      <c r="X967" s="4"/>
      <c r="Y967" s="4"/>
      <c r="Z967" s="1156"/>
      <c r="AA967" s="1599"/>
      <c r="AB967" s="1600"/>
      <c r="AC967" s="1600"/>
      <c r="AD967" s="1600"/>
      <c r="AE967" s="1600"/>
      <c r="AF967" s="1600"/>
      <c r="AG967" s="1601"/>
      <c r="AH967"/>
      <c r="AI967"/>
      <c r="AJ967"/>
      <c r="AK967"/>
      <c r="AL967"/>
      <c r="AM967"/>
      <c r="AN967"/>
      <c r="AO967"/>
      <c r="AP967"/>
      <c r="AQ967"/>
      <c r="AR967"/>
      <c r="AS967"/>
      <c r="AT967"/>
      <c r="AU967" s="105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 customHeight="1">
      <c r="A968"/>
      <c r="B968"/>
      <c r="C968"/>
      <c r="D968"/>
      <c r="E968"/>
      <c r="F968" s="1155" t="s">
        <v>1720</v>
      </c>
      <c r="G968" s="4"/>
      <c r="H968" s="4"/>
      <c r="I968" s="4"/>
      <c r="J968" s="4"/>
      <c r="K968" s="4"/>
      <c r="L968" s="1156"/>
      <c r="M968" s="1686" t="s">
        <v>299</v>
      </c>
      <c r="N968" s="1687"/>
      <c r="O968" s="1687"/>
      <c r="P968" s="1687"/>
      <c r="Q968" s="1687"/>
      <c r="R968" s="1687"/>
      <c r="S968" s="1688"/>
      <c r="T968" s="1155" t="s">
        <v>1721</v>
      </c>
      <c r="U968" s="4"/>
      <c r="V968" s="4"/>
      <c r="W968" s="4"/>
      <c r="X968" s="4"/>
      <c r="Y968" s="4"/>
      <c r="Z968" s="1156"/>
      <c r="AA968" s="1599"/>
      <c r="AB968" s="1600"/>
      <c r="AC968" s="1600"/>
      <c r="AD968" s="1600"/>
      <c r="AE968" s="1600"/>
      <c r="AF968" s="1600"/>
      <c r="AG968" s="1601"/>
      <c r="AH968"/>
      <c r="AI968"/>
      <c r="AJ968"/>
      <c r="AK968"/>
      <c r="AL968"/>
      <c r="AM968"/>
      <c r="AN968"/>
      <c r="AO968"/>
      <c r="AP968"/>
      <c r="AQ968"/>
      <c r="AR968"/>
      <c r="AS968"/>
      <c r="AT968"/>
      <c r="AU968" s="105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 customHeight="1">
      <c r="A969"/>
      <c r="B969"/>
      <c r="C969"/>
      <c r="D969"/>
      <c r="E969"/>
      <c r="F969" s="1155" t="s">
        <v>1722</v>
      </c>
      <c r="G969" s="4"/>
      <c r="H969" s="4"/>
      <c r="I969" s="4"/>
      <c r="J969" s="4"/>
      <c r="K969" s="4"/>
      <c r="L969" s="1156"/>
      <c r="M969" s="1599"/>
      <c r="N969" s="1600"/>
      <c r="O969" s="1600"/>
      <c r="P969" s="1600"/>
      <c r="Q969" s="1600"/>
      <c r="R969" s="1600"/>
      <c r="S969" s="1601"/>
      <c r="T969" s="1155" t="s">
        <v>1723</v>
      </c>
      <c r="U969" s="4"/>
      <c r="V969" s="4"/>
      <c r="W969" s="4"/>
      <c r="X969" s="4"/>
      <c r="Y969" s="4"/>
      <c r="Z969" s="1156"/>
      <c r="AA969" s="1599"/>
      <c r="AB969" s="1600"/>
      <c r="AC969" s="1600"/>
      <c r="AD969" s="1600"/>
      <c r="AE969" s="1600"/>
      <c r="AF969" s="1600"/>
      <c r="AG969" s="1601"/>
      <c r="AH969"/>
      <c r="AI969"/>
      <c r="AJ969"/>
      <c r="AK969"/>
      <c r="AL969"/>
      <c r="AM969"/>
      <c r="AN969"/>
      <c r="AO969"/>
      <c r="AP969"/>
      <c r="AQ969"/>
      <c r="AR969"/>
      <c r="AS969"/>
      <c r="AT969"/>
      <c r="AU969" s="105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 customHeight="1">
      <c r="A970"/>
      <c r="B970"/>
      <c r="C970"/>
      <c r="D970"/>
      <c r="E970"/>
      <c r="F970" s="1155" t="s">
        <v>1724</v>
      </c>
      <c r="G970" s="4"/>
      <c r="H970" s="4"/>
      <c r="I970" s="4"/>
      <c r="J970" s="4"/>
      <c r="K970" s="4"/>
      <c r="L970" s="1156"/>
      <c r="M970" s="1599"/>
      <c r="N970" s="1600"/>
      <c r="O970" s="1600"/>
      <c r="P970" s="1600"/>
      <c r="Q970" s="1600"/>
      <c r="R970" s="1600"/>
      <c r="S970" s="1601"/>
      <c r="T970" s="1155" t="s">
        <v>1725</v>
      </c>
      <c r="U970" s="4"/>
      <c r="V970" s="4"/>
      <c r="W970" s="4"/>
      <c r="X970" s="4"/>
      <c r="Y970" s="4"/>
      <c r="Z970" s="1156"/>
      <c r="AA970" s="1599"/>
      <c r="AB970" s="1600"/>
      <c r="AC970" s="1600"/>
      <c r="AD970" s="1600"/>
      <c r="AE970" s="1600"/>
      <c r="AF970" s="1600"/>
      <c r="AG970" s="1601"/>
      <c r="AH970"/>
      <c r="AI970"/>
      <c r="AJ970"/>
      <c r="AK970"/>
      <c r="AL970"/>
      <c r="AM970"/>
      <c r="AN970"/>
      <c r="AO970"/>
      <c r="AP970"/>
      <c r="AQ970"/>
      <c r="AR970"/>
      <c r="AS970"/>
      <c r="AT970"/>
      <c r="AU970" s="105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 customHeight="1">
      <c r="A971"/>
      <c r="B971"/>
      <c r="C971"/>
      <c r="D971"/>
      <c r="E971"/>
      <c r="F971" s="1058" t="s">
        <v>1709</v>
      </c>
      <c r="G971" s="31"/>
      <c r="H971" s="31"/>
      <c r="I971" s="31"/>
      <c r="J971" s="31"/>
      <c r="K971" s="31"/>
      <c r="L971" s="39"/>
      <c r="M971" s="1596" t="s">
        <v>294</v>
      </c>
      <c r="N971" s="1597"/>
      <c r="O971" s="1597"/>
      <c r="P971" s="1597"/>
      <c r="Q971" s="1597"/>
      <c r="R971" s="1597"/>
      <c r="S971" s="1598"/>
      <c r="T971" s="1602"/>
      <c r="U971" s="1603"/>
      <c r="V971" s="1603"/>
      <c r="W971" s="1603"/>
      <c r="X971" s="1603"/>
      <c r="Y971" s="1603"/>
      <c r="Z971" s="1604"/>
      <c r="AA971" s="1599"/>
      <c r="AB971" s="1600"/>
      <c r="AC971" s="1600"/>
      <c r="AD971" s="1600"/>
      <c r="AE971" s="1600"/>
      <c r="AF971" s="1600"/>
      <c r="AG971" s="1601"/>
      <c r="AH971"/>
      <c r="AI971"/>
      <c r="AJ971"/>
      <c r="AK971"/>
      <c r="AL971"/>
      <c r="AM971"/>
      <c r="AN971"/>
      <c r="AO971"/>
      <c r="AP971"/>
      <c r="AQ971"/>
      <c r="AR971"/>
      <c r="AS971"/>
      <c r="AT971"/>
      <c r="AU971" s="105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 customHeight="1">
      <c r="A972"/>
      <c r="B972"/>
      <c r="C972"/>
      <c r="D972"/>
      <c r="E972"/>
      <c r="F972" s="30" t="s">
        <v>1726</v>
      </c>
      <c r="G972" s="31"/>
      <c r="H972" s="31"/>
      <c r="I972" s="31"/>
      <c r="J972" s="31"/>
      <c r="K972" s="31"/>
      <c r="L972" s="39"/>
      <c r="M972" s="1599"/>
      <c r="N972" s="1600"/>
      <c r="O972" s="1600"/>
      <c r="P972" s="1600"/>
      <c r="Q972" s="1600"/>
      <c r="R972" s="1600"/>
      <c r="S972" s="1601"/>
      <c r="T972" s="1602"/>
      <c r="U972" s="1603"/>
      <c r="V972" s="1603"/>
      <c r="W972" s="1603"/>
      <c r="X972" s="1603"/>
      <c r="Y972" s="1603"/>
      <c r="Z972" s="1604"/>
      <c r="AA972" s="1599"/>
      <c r="AB972" s="1600"/>
      <c r="AC972" s="1600"/>
      <c r="AD972" s="1600"/>
      <c r="AE972" s="1600"/>
      <c r="AF972" s="1600"/>
      <c r="AG972" s="1601"/>
      <c r="AH972"/>
      <c r="AI972"/>
      <c r="AJ972"/>
      <c r="AK972"/>
      <c r="AL972"/>
      <c r="AM972"/>
      <c r="AN972"/>
      <c r="AO972"/>
      <c r="AP972"/>
      <c r="AQ972"/>
      <c r="AR972"/>
      <c r="AS972"/>
      <c r="AT972"/>
      <c r="AU972" s="105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0" t="s">
        <v>1727</v>
      </c>
      <c r="G973" s="31"/>
      <c r="H973" s="31"/>
      <c r="I973" s="31"/>
      <c r="J973" s="31"/>
      <c r="K973" s="31"/>
      <c r="L973" s="31"/>
      <c r="M973" s="31"/>
      <c r="N973" s="31"/>
      <c r="O973" s="1352" t="s">
        <v>893</v>
      </c>
      <c r="P973" s="1354"/>
      <c r="Q973" s="52"/>
      <c r="R973" s="52"/>
      <c r="S973" s="53"/>
      <c r="T973" s="30" t="s">
        <v>232</v>
      </c>
      <c r="U973" s="31"/>
      <c r="V973" s="31"/>
      <c r="W973" s="1665" t="s">
        <v>1400</v>
      </c>
      <c r="X973" s="1666"/>
      <c r="Y973" s="1666"/>
      <c r="Z973" s="1666"/>
      <c r="AA973" s="1666"/>
      <c r="AB973" s="1666"/>
      <c r="AC973" s="1666"/>
      <c r="AD973" s="1666"/>
      <c r="AE973" s="1666"/>
      <c r="AF973" s="1666"/>
      <c r="AG973" s="1667"/>
      <c r="AU973" s="105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 customHeight="1">
      <c r="F974" s="1558" t="s">
        <v>1728</v>
      </c>
      <c r="G974" s="1460"/>
      <c r="H974" s="1460"/>
      <c r="I974" s="1460"/>
      <c r="J974" s="1460"/>
      <c r="K974" s="1460"/>
      <c r="L974" s="1460"/>
      <c r="M974" s="1599"/>
      <c r="N974" s="1600"/>
      <c r="O974" s="1600"/>
      <c r="P974" s="1600"/>
      <c r="Q974" s="1600"/>
      <c r="R974" s="1600"/>
      <c r="S974" s="1601"/>
      <c r="T974" s="32"/>
      <c r="U974" s="33"/>
      <c r="V974" s="33"/>
      <c r="W974" s="33"/>
      <c r="X974" s="33"/>
      <c r="Y974" s="33"/>
      <c r="Z974" s="72" t="s">
        <v>1729</v>
      </c>
      <c r="AA974" s="1703"/>
      <c r="AB974" s="1704"/>
      <c r="AC974" s="1704"/>
      <c r="AD974" s="1704"/>
      <c r="AE974" s="1704"/>
      <c r="AF974" s="1704"/>
      <c r="AG974" s="1705"/>
      <c r="AU974" s="105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 customHeight="1">
      <c r="AU975" s="1057"/>
      <c r="AV975" s="1057"/>
      <c r="AW975" s="1057"/>
      <c r="AX975" s="1057"/>
      <c r="AY975" s="1057"/>
      <c r="AZ975" s="12"/>
      <c r="BA975" s="12"/>
      <c r="BB975" s="12"/>
      <c r="BC975" s="12"/>
      <c r="BD975" s="12"/>
      <c r="BE975" s="12"/>
      <c r="BF975" s="12"/>
      <c r="BG975" s="1567"/>
      <c r="BH975" s="1567"/>
      <c r="BI975" s="1567"/>
      <c r="BJ975" s="1567"/>
      <c r="BK975" s="1567"/>
      <c r="BL975" s="1567"/>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 customHeight="1">
      <c r="AU976" s="1057"/>
      <c r="AV976" s="1057"/>
      <c r="AW976" s="1057"/>
      <c r="AX976" s="1057"/>
      <c r="AY976" s="1057"/>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 customHeight="1">
      <c r="AU977" s="1057"/>
      <c r="AV977" s="1057"/>
      <c r="AW977" s="1057"/>
      <c r="AX977" s="1057"/>
      <c r="AY977" s="1057"/>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 customHeight="1">
      <c r="A978" s="1427" t="s">
        <v>1730</v>
      </c>
      <c r="B978" s="1427"/>
      <c r="C978" s="1427"/>
      <c r="D978" s="1427"/>
      <c r="E978" s="1427"/>
      <c r="F978" s="1427"/>
      <c r="G978" s="1427"/>
      <c r="H978" s="1427"/>
      <c r="I978" s="1427"/>
      <c r="J978" s="1427"/>
      <c r="K978" s="1427"/>
      <c r="L978" s="1427"/>
      <c r="M978" s="1427"/>
      <c r="N978" s="1427"/>
      <c r="O978" s="1427"/>
      <c r="P978" s="1427"/>
      <c r="Q978" s="1427"/>
      <c r="R978" s="1427"/>
      <c r="S978" s="1427"/>
      <c r="T978" s="1427"/>
      <c r="U978" s="1427"/>
      <c r="V978" s="1427"/>
      <c r="W978" s="1427"/>
      <c r="X978" s="1427"/>
      <c r="Y978" s="1427"/>
      <c r="Z978" s="1427"/>
      <c r="AA978" s="1427"/>
      <c r="AB978" s="1427"/>
      <c r="AC978" s="1427"/>
      <c r="AD978" s="1427"/>
      <c r="AE978" s="1427"/>
      <c r="AF978" s="1427"/>
      <c r="AG978" s="1427"/>
      <c r="AH978" s="1427"/>
      <c r="AI978" s="1427"/>
      <c r="AJ978" s="1427"/>
      <c r="AK978" s="1427"/>
      <c r="AL978" s="1427"/>
      <c r="AM978" s="1427"/>
      <c r="AN978" s="1427"/>
      <c r="AO978" s="1427"/>
      <c r="AP978" s="1427"/>
      <c r="AQ978" s="1427"/>
      <c r="AR978" s="1427"/>
      <c r="AS978" s="1427"/>
      <c r="AT978" s="1427"/>
      <c r="AU978" s="1057"/>
      <c r="AV978" s="1057"/>
      <c r="AW978" s="1057"/>
      <c r="AX978" s="1057"/>
      <c r="AY978" s="1057"/>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 customHeight="1">
      <c r="A979" s="1427"/>
      <c r="B979" s="1427"/>
      <c r="C979" s="1427"/>
      <c r="D979" s="1427"/>
      <c r="E979" s="1427"/>
      <c r="F979" s="1427"/>
      <c r="G979" s="1427"/>
      <c r="H979" s="1427"/>
      <c r="I979" s="1427"/>
      <c r="J979" s="1427"/>
      <c r="K979" s="1427"/>
      <c r="L979" s="1427"/>
      <c r="M979" s="1427"/>
      <c r="N979" s="1427"/>
      <c r="O979" s="1427"/>
      <c r="P979" s="1427"/>
      <c r="Q979" s="1427"/>
      <c r="R979" s="1427"/>
      <c r="S979" s="1427"/>
      <c r="T979" s="1427"/>
      <c r="U979" s="1427"/>
      <c r="V979" s="1427"/>
      <c r="W979" s="1427"/>
      <c r="X979" s="1427"/>
      <c r="Y979" s="1427"/>
      <c r="Z979" s="1427"/>
      <c r="AA979" s="1427"/>
      <c r="AB979" s="1427"/>
      <c r="AC979" s="1427"/>
      <c r="AD979" s="1427"/>
      <c r="AE979" s="1427"/>
      <c r="AF979" s="1427"/>
      <c r="AG979" s="1427"/>
      <c r="AH979" s="1427"/>
      <c r="AI979" s="1427"/>
      <c r="AJ979" s="1427"/>
      <c r="AK979" s="1427"/>
      <c r="AL979" s="1427"/>
      <c r="AM979" s="1427"/>
      <c r="AN979" s="1427"/>
      <c r="AO979" s="1427"/>
      <c r="AP979" s="1427"/>
      <c r="AQ979" s="1427"/>
      <c r="AR979" s="1427"/>
      <c r="AS979" s="1427"/>
      <c r="AT979" s="1427"/>
      <c r="AU979" s="1057"/>
      <c r="AV979" s="1057"/>
      <c r="AW979" s="1057"/>
      <c r="AX979" s="1057"/>
      <c r="AY979" s="105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 customHeight="1">
      <c r="A980" s="1427"/>
      <c r="B980" s="1427"/>
      <c r="C980" s="1427"/>
      <c r="D980" s="1427"/>
      <c r="E980" s="1427"/>
      <c r="F980" s="1427"/>
      <c r="G980" s="1427"/>
      <c r="H980" s="1427"/>
      <c r="I980" s="1427"/>
      <c r="J980" s="1427"/>
      <c r="K980" s="1427"/>
      <c r="L980" s="1427"/>
      <c r="M980" s="1427"/>
      <c r="N980" s="1427"/>
      <c r="O980" s="1427"/>
      <c r="P980" s="1427"/>
      <c r="Q980" s="1427"/>
      <c r="R980" s="1427"/>
      <c r="S980" s="1427"/>
      <c r="T980" s="1427"/>
      <c r="U980" s="1427"/>
      <c r="V980" s="1427"/>
      <c r="W980" s="1427"/>
      <c r="X980" s="1427"/>
      <c r="Y980" s="1427"/>
      <c r="Z980" s="1427"/>
      <c r="AA980" s="1427"/>
      <c r="AB980" s="1427"/>
      <c r="AC980" s="1427"/>
      <c r="AD980" s="1427"/>
      <c r="AE980" s="1427"/>
      <c r="AF980" s="1427"/>
      <c r="AG980" s="1427"/>
      <c r="AH980" s="1427"/>
      <c r="AI980" s="1427"/>
      <c r="AJ980" s="1427"/>
      <c r="AK980" s="1427"/>
      <c r="AL980" s="1427"/>
      <c r="AM980" s="1427"/>
      <c r="AN980" s="1427"/>
      <c r="AO980" s="1427"/>
      <c r="AP980" s="1427"/>
      <c r="AQ980" s="1427"/>
      <c r="AR980" s="1427"/>
      <c r="AS980" s="1427"/>
      <c r="AT980" s="1427"/>
      <c r="AU980" s="1057"/>
      <c r="AV980" s="1057"/>
      <c r="AW980" s="1057"/>
      <c r="AX980" s="1057"/>
      <c r="AY980" s="105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057"/>
      <c r="AM981" s="1057"/>
      <c r="AN981" s="1057"/>
      <c r="AO981" s="1057"/>
      <c r="AP981" s="1057"/>
      <c r="AQ981" s="1057"/>
      <c r="AR981" s="1057"/>
      <c r="AS981" s="1057"/>
      <c r="AT981" s="1057"/>
      <c r="AU981" s="1057"/>
      <c r="AV981" s="1057"/>
      <c r="AW981" s="1057"/>
      <c r="AX981" s="1057"/>
      <c r="AY981" s="105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 customHeight="1">
      <c r="A982" s="1" t="s">
        <v>920</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057"/>
      <c r="AM982" s="1057"/>
      <c r="AN982" s="1057"/>
      <c r="AO982" s="1057"/>
      <c r="AP982" s="1057"/>
      <c r="AQ982" s="1057"/>
      <c r="AR982" s="1057"/>
      <c r="AS982" s="1057"/>
      <c r="AT982" s="1057"/>
      <c r="AU982" s="1057"/>
      <c r="AV982" s="1057"/>
      <c r="AW982" s="1057"/>
      <c r="AX982" s="1057"/>
      <c r="AY982" s="105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057"/>
      <c r="AM983" s="1057"/>
      <c r="AN983" s="1057"/>
      <c r="AO983" s="1057"/>
      <c r="AP983" s="1057"/>
      <c r="AQ983" s="1057"/>
      <c r="AR983" s="1057"/>
      <c r="AS983" s="1057"/>
      <c r="AT983" s="1057"/>
      <c r="AU983" s="1057"/>
      <c r="AV983" s="1057"/>
      <c r="AW983" s="1057"/>
      <c r="AX983" s="1057"/>
      <c r="AY983" s="105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 customHeight="1">
      <c r="A984" s="12"/>
      <c r="B984" s="47"/>
      <c r="C984" s="1059"/>
      <c r="D984" s="1746" t="s">
        <v>1731</v>
      </c>
      <c r="E984" s="1747"/>
      <c r="F984" s="1747"/>
      <c r="G984" s="1747"/>
      <c r="H984" s="1747"/>
      <c r="I984" s="1747"/>
      <c r="J984" s="1747"/>
      <c r="K984" s="1747"/>
      <c r="L984" s="1747"/>
      <c r="M984" s="1747"/>
      <c r="N984" s="1747"/>
      <c r="O984" s="1747"/>
      <c r="P984" s="1747"/>
      <c r="Q984" s="1748"/>
      <c r="R984" s="1746" t="s">
        <v>1732</v>
      </c>
      <c r="S984" s="1747"/>
      <c r="T984" s="1747"/>
      <c r="U984" s="1747"/>
      <c r="V984" s="1747"/>
      <c r="W984" s="1747"/>
      <c r="X984" s="1747"/>
      <c r="Y984" s="1747"/>
      <c r="Z984" s="1747"/>
      <c r="AA984" s="1748"/>
      <c r="AB984" s="1746" t="s">
        <v>1733</v>
      </c>
      <c r="AC984" s="1747"/>
      <c r="AD984" s="1747"/>
      <c r="AE984" s="1747"/>
      <c r="AF984" s="1747"/>
      <c r="AG984" s="1747"/>
      <c r="AH984" s="1747"/>
      <c r="AI984" s="1748"/>
      <c r="AJ984" s="1746" t="s">
        <v>1734</v>
      </c>
      <c r="AK984" s="1747"/>
      <c r="AL984" s="1747"/>
      <c r="AM984" s="1747"/>
      <c r="AN984" s="1747"/>
      <c r="AO984" s="1747"/>
      <c r="AP984" s="1747"/>
      <c r="AQ984" s="1748"/>
      <c r="AR984" s="1057"/>
      <c r="AS984" s="1057"/>
      <c r="AT984" s="1057"/>
      <c r="AU984" s="1057"/>
      <c r="AV984" s="1057"/>
      <c r="AW984" s="1057"/>
      <c r="AX984" s="1057"/>
      <c r="AY984" s="105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 customHeight="1">
      <c r="A985" s="12"/>
      <c r="B985" s="44"/>
      <c r="C985" s="754"/>
      <c r="D985" s="1475" t="s">
        <v>1490</v>
      </c>
      <c r="E985" s="1476"/>
      <c r="F985" s="1476"/>
      <c r="G985" s="1476"/>
      <c r="H985" s="1476"/>
      <c r="I985" s="1476"/>
      <c r="J985" s="1476"/>
      <c r="K985" s="1476"/>
      <c r="L985" s="1476"/>
      <c r="M985" s="1476"/>
      <c r="N985" s="1476"/>
      <c r="O985" s="1476"/>
      <c r="P985" s="1476"/>
      <c r="Q985" s="1477"/>
      <c r="R985" s="1663">
        <f>IF(ISNA(IF($BN$796="4%",(INDEX($BP$806:$BT$863,MATCH($CB$796,$BO$806:$BO$863,0),MATCH(D985,$BP$805:$BT$805,0))),(INDEX($BW$806:$CA$863,MATCH($CB$796,$BV$806:$BV$863,0),MATCH(D985,$BW$805:$CA$805,0))))),0,IF($BN$796="4%",(INDEX($BP$806:$BT$863,MATCH($CB$796,$BO$806:$BO$863,0),MATCH(D985,$BP$805:$BT$805,0))),(INDEX($BW$806:$CA$863,MATCH($CB$796,$BV$806:$BV$863,0),MATCH(D985,$BW$805:$CA$805,0)))))</f>
        <v>532060</v>
      </c>
      <c r="S985" s="1663"/>
      <c r="T985" s="1663"/>
      <c r="U985" s="1663"/>
      <c r="V985" s="1663"/>
      <c r="W985" s="1663"/>
      <c r="X985" s="1663"/>
      <c r="Y985" s="1663"/>
      <c r="Z985" s="1663"/>
      <c r="AA985" s="1663"/>
      <c r="AB985" s="1740">
        <f>BN660</f>
        <v>0</v>
      </c>
      <c r="AC985" s="1741"/>
      <c r="AD985" s="1741"/>
      <c r="AE985" s="1741"/>
      <c r="AF985" s="1741"/>
      <c r="AG985" s="1741"/>
      <c r="AH985" s="1741"/>
      <c r="AI985" s="1742"/>
      <c r="AJ985" s="1621">
        <f>IF(ISERROR((R985*AB985)),0,(R985*AB985))</f>
        <v>0</v>
      </c>
      <c r="AK985" s="1622"/>
      <c r="AL985" s="1622"/>
      <c r="AM985" s="1622"/>
      <c r="AN985" s="1622"/>
      <c r="AO985" s="1622"/>
      <c r="AP985" s="1622"/>
      <c r="AQ985" s="1623"/>
      <c r="AR985" s="1057"/>
      <c r="AS985" s="1057"/>
      <c r="AT985" s="1057"/>
      <c r="AU985" s="1057"/>
      <c r="AV985" s="1057"/>
      <c r="AW985" s="1057"/>
      <c r="AX985" s="1057"/>
      <c r="AY985" s="105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 customHeight="1">
      <c r="A986" s="12"/>
      <c r="B986" s="44"/>
      <c r="C986" s="48"/>
      <c r="D986" s="1475" t="s">
        <v>1375</v>
      </c>
      <c r="E986" s="1476"/>
      <c r="F986" s="1476"/>
      <c r="G986" s="1476"/>
      <c r="H986" s="1476"/>
      <c r="I986" s="1476"/>
      <c r="J986" s="1476"/>
      <c r="K986" s="1476"/>
      <c r="L986" s="1476"/>
      <c r="M986" s="1476"/>
      <c r="N986" s="1476"/>
      <c r="O986" s="1476"/>
      <c r="P986" s="1476"/>
      <c r="Q986" s="1477"/>
      <c r="R986" s="1663">
        <f>IF(ISNA(IF($BN$796="4%",(INDEX($BP$806:$BT$863,MATCH($CB$796,$BO$806:$BO$863,0),MATCH(D986,$BP$805:$BT$805,0))),(INDEX($BW$806:$CA$863,MATCH($CB$796,$BV$806:$BV$863,0),MATCH(D986,$BW$805:$CA$805,0))))),0,IF($BN$796="4%",(INDEX($BP$806:$BT$863,MATCH($CB$796,$BO$806:$BO$863,0),MATCH(D986,$BP$805:$BT$805,0))),(INDEX($BW$806:$CA$863,MATCH($CB$796,$BV$806:$BV$863,0),MATCH(D986,$BW$805:$CA$805,0)))))</f>
        <v>613460</v>
      </c>
      <c r="S986" s="1663"/>
      <c r="T986" s="1663"/>
      <c r="U986" s="1663"/>
      <c r="V986" s="1663"/>
      <c r="W986" s="1663"/>
      <c r="X986" s="1663"/>
      <c r="Y986" s="1663"/>
      <c r="Z986" s="1663"/>
      <c r="AA986" s="1663"/>
      <c r="AB986" s="1740">
        <f>BS660</f>
        <v>30</v>
      </c>
      <c r="AC986" s="1741"/>
      <c r="AD986" s="1741"/>
      <c r="AE986" s="1741"/>
      <c r="AF986" s="1741"/>
      <c r="AG986" s="1741"/>
      <c r="AH986" s="1741"/>
      <c r="AI986" s="1742"/>
      <c r="AJ986" s="1621">
        <f>IF(ISERROR((R986*AB986)),0,(R986*AB986))</f>
        <v>18403800</v>
      </c>
      <c r="AK986" s="1622"/>
      <c r="AL986" s="1622"/>
      <c r="AM986" s="1622"/>
      <c r="AN986" s="1622"/>
      <c r="AO986" s="1622"/>
      <c r="AP986" s="1622"/>
      <c r="AQ986" s="1623"/>
      <c r="AR986" s="1057"/>
      <c r="AS986" s="1057"/>
      <c r="AT986" s="1057"/>
      <c r="AU986" s="1057"/>
      <c r="AV986" s="1057"/>
      <c r="AW986" s="1057"/>
      <c r="AX986" s="1057"/>
      <c r="AY986" s="105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 customHeight="1">
      <c r="A987" s="12"/>
      <c r="B987" s="44"/>
      <c r="C987" s="48"/>
      <c r="D987" s="1475" t="s">
        <v>1376</v>
      </c>
      <c r="E987" s="1476"/>
      <c r="F987" s="1476"/>
      <c r="G987" s="1476"/>
      <c r="H987" s="1476"/>
      <c r="I987" s="1476"/>
      <c r="J987" s="1476"/>
      <c r="K987" s="1476"/>
      <c r="L987" s="1476"/>
      <c r="M987" s="1476"/>
      <c r="N987" s="1476"/>
      <c r="O987" s="1476"/>
      <c r="P987" s="1476"/>
      <c r="Q987" s="1477"/>
      <c r="R987" s="1663">
        <f>IF(ISNA(IF($BN$796="4%",(INDEX($BP$806:$BT$863,MATCH($CB$796,$BO$806:$BO$863,0),MATCH(D987,$BP$805:$BT$805,0))),(INDEX($BW$806:$CA$863,MATCH($CB$796,$BV$806:$BV$863,0),MATCH(D987,$BW$805:$CA$805,0))))),0,IF($BN$796="4%",(INDEX($BP$806:$BT$863,MATCH($CB$796,$BO$806:$BO$863,0),MATCH(D987,$BP$805:$BT$805,0))),(INDEX($BW$806:$CA$863,MATCH($CB$796,$BV$806:$BV$863,0),MATCH(D987,$BW$805:$CA$805,0)))))</f>
        <v>740000</v>
      </c>
      <c r="S987" s="1663"/>
      <c r="T987" s="1663"/>
      <c r="U987" s="1663"/>
      <c r="V987" s="1663"/>
      <c r="W987" s="1663"/>
      <c r="X987" s="1663"/>
      <c r="Y987" s="1663"/>
      <c r="Z987" s="1663"/>
      <c r="AA987" s="1663"/>
      <c r="AB987" s="1740">
        <f>BX660</f>
        <v>18</v>
      </c>
      <c r="AC987" s="1741"/>
      <c r="AD987" s="1741"/>
      <c r="AE987" s="1741"/>
      <c r="AF987" s="1741"/>
      <c r="AG987" s="1741"/>
      <c r="AH987" s="1741"/>
      <c r="AI987" s="1742"/>
      <c r="AJ987" s="1621">
        <f>IF(ISERROR((R987*AB987)),0,(R987*AB987))</f>
        <v>13320000</v>
      </c>
      <c r="AK987" s="1622"/>
      <c r="AL987" s="1622"/>
      <c r="AM987" s="1622"/>
      <c r="AN987" s="1622"/>
      <c r="AO987" s="1622"/>
      <c r="AP987" s="1622"/>
      <c r="AQ987" s="1623"/>
      <c r="AR987" s="1057"/>
      <c r="AS987" s="1057"/>
      <c r="AT987" s="1057"/>
      <c r="AU987" s="1057"/>
      <c r="AV987" s="1057"/>
      <c r="AW987" s="1057"/>
      <c r="AX987" s="1057"/>
      <c r="AY987" s="105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 customHeight="1">
      <c r="A988" s="12"/>
      <c r="B988" s="44"/>
      <c r="C988" s="48"/>
      <c r="D988" s="1475" t="s">
        <v>1377</v>
      </c>
      <c r="E988" s="1476"/>
      <c r="F988" s="1476"/>
      <c r="G988" s="1476"/>
      <c r="H988" s="1476"/>
      <c r="I988" s="1476"/>
      <c r="J988" s="1476"/>
      <c r="K988" s="1476"/>
      <c r="L988" s="1476"/>
      <c r="M988" s="1476"/>
      <c r="N988" s="1476"/>
      <c r="O988" s="1476"/>
      <c r="P988" s="1476"/>
      <c r="Q988" s="1477"/>
      <c r="R988" s="1663">
        <f>IF(ISNA(IF($BN$796="4%",(INDEX($BP$806:$BT$863,MATCH($CB$796,$BO$806:$BO$863,0),MATCH(D988,$BP$805:$BT$805,0))),(INDEX($BW$806:$CA$863,MATCH($CB$796,$BV$806:$BV$863,0),MATCH(D988,$BW$805:$CA$805,0))))),0,IF($BN$796="4%",(INDEX($BP$806:$BT$863,MATCH($CB$796,$BO$806:$BO$863,0),MATCH(D988,$BP$805:$BT$805,0))),(INDEX($BW$806:$CA$863,MATCH($CB$796,$BV$806:$BV$863,0),MATCH(D988,$BW$805:$CA$805,0)))))</f>
        <v>947200</v>
      </c>
      <c r="S988" s="1663"/>
      <c r="T988" s="1663"/>
      <c r="U988" s="1663"/>
      <c r="V988" s="1663"/>
      <c r="W988" s="1663"/>
      <c r="X988" s="1663"/>
      <c r="Y988" s="1663"/>
      <c r="Z988" s="1663"/>
      <c r="AA988" s="1663"/>
      <c r="AB988" s="1740">
        <f>CC660</f>
        <v>17</v>
      </c>
      <c r="AC988" s="1741"/>
      <c r="AD988" s="1741"/>
      <c r="AE988" s="1741"/>
      <c r="AF988" s="1741"/>
      <c r="AG988" s="1741"/>
      <c r="AH988" s="1741"/>
      <c r="AI988" s="1742"/>
      <c r="AJ988" s="1621">
        <f>IF(ISERROR((R988*AB988)),0,(R988*AB988))</f>
        <v>16102400</v>
      </c>
      <c r="AK988" s="1622"/>
      <c r="AL988" s="1622"/>
      <c r="AM988" s="1622"/>
      <c r="AN988" s="1622"/>
      <c r="AO988" s="1622"/>
      <c r="AP988" s="1622"/>
      <c r="AQ988" s="1623"/>
      <c r="AR988" s="1057"/>
      <c r="AS988" s="1057"/>
      <c r="AT988" s="1057"/>
      <c r="AU988" s="1057"/>
      <c r="AV988" s="1057"/>
      <c r="AW988" s="1057"/>
      <c r="AX988" s="1057"/>
      <c r="AY988" s="105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 customHeight="1">
      <c r="A989" s="12"/>
      <c r="B989" s="32"/>
      <c r="C989" s="46"/>
      <c r="D989" s="1475" t="s">
        <v>1491</v>
      </c>
      <c r="E989" s="1476"/>
      <c r="F989" s="1476"/>
      <c r="G989" s="1476"/>
      <c r="H989" s="1476"/>
      <c r="I989" s="1476"/>
      <c r="J989" s="1476"/>
      <c r="K989" s="1476"/>
      <c r="L989" s="1476"/>
      <c r="M989" s="1476"/>
      <c r="N989" s="1476"/>
      <c r="O989" s="1476"/>
      <c r="P989" s="1476"/>
      <c r="Q989" s="1477"/>
      <c r="R989" s="1663">
        <f>IF(ISNA(IF($BN$796="4%",(INDEX($BP$806:$BT$863,MATCH($CB$796,$BO$806:$BO$863,0),MATCH(D989,$BP$805:$BT$805,0))),(INDEX($BW$806:$CA$863,MATCH($CB$796,$BV$806:$BV$863,0),MATCH(D989,$BW$805:$CA$805,0))))),0,IF($BN$796="4%",(INDEX($BP$806:$BT$863,MATCH($CB$796,$BO$806:$BO$863,0),MATCH(D989,$BP$805:$BT$805,0))),(INDEX($BW$806:$CA$863,MATCH($CB$796,$BV$806:$BV$863,0),MATCH(D989,$BW$805:$CA$805,0)))))</f>
        <v>1055240</v>
      </c>
      <c r="S989" s="1663"/>
      <c r="T989" s="1663"/>
      <c r="U989" s="1663"/>
      <c r="V989" s="1663"/>
      <c r="W989" s="1663"/>
      <c r="X989" s="1663"/>
      <c r="Y989" s="1663"/>
      <c r="Z989" s="1663"/>
      <c r="AA989" s="1663"/>
      <c r="AB989" s="1740">
        <f>CM660+CH660</f>
        <v>0</v>
      </c>
      <c r="AC989" s="1741"/>
      <c r="AD989" s="1741"/>
      <c r="AE989" s="1741"/>
      <c r="AF989" s="1741"/>
      <c r="AG989" s="1741"/>
      <c r="AH989" s="1741"/>
      <c r="AI989" s="1742"/>
      <c r="AJ989" s="1621">
        <f>IF(ISERROR((R989*AB989)),0,(R989*AB989))</f>
        <v>0</v>
      </c>
      <c r="AK989" s="1622"/>
      <c r="AL989" s="1622"/>
      <c r="AM989" s="1622"/>
      <c r="AN989" s="1622"/>
      <c r="AO989" s="1622"/>
      <c r="AP989" s="1622"/>
      <c r="AQ989" s="1623"/>
      <c r="AR989" s="1057"/>
      <c r="AS989" s="1057"/>
      <c r="AT989" s="1057"/>
      <c r="AU989" s="1057"/>
      <c r="AV989" s="1057"/>
      <c r="AW989" s="1057"/>
      <c r="AX989" s="1057"/>
      <c r="AY989" s="105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 customHeight="1">
      <c r="A990" s="12"/>
      <c r="B990" s="1724" t="s">
        <v>1735</v>
      </c>
      <c r="C990" s="1725"/>
      <c r="D990" s="1725"/>
      <c r="E990" s="1725"/>
      <c r="F990" s="1725"/>
      <c r="G990" s="1725"/>
      <c r="H990" s="1725"/>
      <c r="I990" s="1725"/>
      <c r="J990" s="1725"/>
      <c r="K990" s="1725"/>
      <c r="L990" s="1725"/>
      <c r="M990" s="1725"/>
      <c r="N990" s="1725"/>
      <c r="O990" s="1725"/>
      <c r="P990" s="1725"/>
      <c r="Q990" s="1725"/>
      <c r="R990" s="1725"/>
      <c r="S990" s="1725"/>
      <c r="T990" s="1725"/>
      <c r="U990" s="1725"/>
      <c r="V990" s="1725"/>
      <c r="W990" s="1725"/>
      <c r="X990" s="1725"/>
      <c r="Y990" s="1725"/>
      <c r="Z990" s="1725"/>
      <c r="AA990" s="1726"/>
      <c r="AB990" s="1740">
        <f>SUM(AB985:AI989)</f>
        <v>65</v>
      </c>
      <c r="AC990" s="1741"/>
      <c r="AD990" s="1741"/>
      <c r="AE990" s="1741"/>
      <c r="AF990" s="1741"/>
      <c r="AG990" s="1741"/>
      <c r="AH990" s="1741"/>
      <c r="AI990" s="1742"/>
      <c r="AJ990" s="1621"/>
      <c r="AK990" s="1622"/>
      <c r="AL990" s="1622"/>
      <c r="AM990" s="1622"/>
      <c r="AN990" s="1622"/>
      <c r="AO990" s="1622"/>
      <c r="AP990" s="1622"/>
      <c r="AQ990" s="1623"/>
      <c r="AR990" s="1057"/>
      <c r="AS990" s="1057"/>
      <c r="AT990" s="1057"/>
      <c r="AU990" s="1057"/>
      <c r="AV990" s="1057"/>
      <c r="AW990" s="1057"/>
      <c r="AX990" s="1057"/>
      <c r="AY990" s="105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 customHeight="1">
      <c r="A991" s="12"/>
      <c r="B991" s="1624" t="s">
        <v>1736</v>
      </c>
      <c r="C991" s="1625"/>
      <c r="D991" s="1625"/>
      <c r="E991" s="1625"/>
      <c r="F991" s="1625"/>
      <c r="G991" s="1625"/>
      <c r="H991" s="1625"/>
      <c r="I991" s="1625"/>
      <c r="J991" s="1625"/>
      <c r="K991" s="1625"/>
      <c r="L991" s="1625"/>
      <c r="M991" s="1625"/>
      <c r="N991" s="1625"/>
      <c r="O991" s="1625"/>
      <c r="P991" s="1625"/>
      <c r="Q991" s="1625"/>
      <c r="R991" s="1625"/>
      <c r="S991" s="1625"/>
      <c r="T991" s="1625"/>
      <c r="U991" s="1625"/>
      <c r="V991" s="1625"/>
      <c r="W991" s="1625"/>
      <c r="X991" s="1625"/>
      <c r="Y991" s="1625"/>
      <c r="Z991" s="1625"/>
      <c r="AA991" s="1625"/>
      <c r="AB991" s="1625"/>
      <c r="AC991" s="1625"/>
      <c r="AD991" s="1625"/>
      <c r="AE991" s="1625"/>
      <c r="AF991" s="1625"/>
      <c r="AG991" s="1625"/>
      <c r="AH991" s="1625"/>
      <c r="AI991" s="1626"/>
      <c r="AJ991" s="1621">
        <f>SUM(AJ985:AQ989)</f>
        <v>47826200</v>
      </c>
      <c r="AK991" s="1622"/>
      <c r="AL991" s="1622"/>
      <c r="AM991" s="1622"/>
      <c r="AN991" s="1622"/>
      <c r="AO991" s="1622"/>
      <c r="AP991" s="1622"/>
      <c r="AQ991" s="1623"/>
      <c r="AR991" s="1057"/>
      <c r="AS991" s="1057"/>
      <c r="AT991" s="1057"/>
      <c r="AU991" s="1057"/>
      <c r="AV991" s="1057"/>
      <c r="AW991" s="1057"/>
      <c r="AX991" s="1057"/>
      <c r="AY991" s="105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 customHeight="1">
      <c r="A992" s="12"/>
      <c r="B992" s="1716"/>
      <c r="C992" s="1717"/>
      <c r="D992" s="1717"/>
      <c r="E992" s="1717"/>
      <c r="F992" s="1717"/>
      <c r="G992" s="1717"/>
      <c r="H992" s="1717"/>
      <c r="I992" s="1717"/>
      <c r="J992" s="1717"/>
      <c r="K992" s="1717"/>
      <c r="L992" s="1717"/>
      <c r="M992" s="1717"/>
      <c r="N992" s="1717"/>
      <c r="O992" s="1717"/>
      <c r="P992" s="1717"/>
      <c r="Q992" s="1717"/>
      <c r="R992" s="1717"/>
      <c r="S992" s="1717"/>
      <c r="T992" s="1717"/>
      <c r="U992" s="1717"/>
      <c r="V992" s="1717"/>
      <c r="W992" s="1717"/>
      <c r="X992" s="1717"/>
      <c r="Y992" s="1717"/>
      <c r="Z992" s="1717"/>
      <c r="AA992" s="1717"/>
      <c r="AB992" s="1717"/>
      <c r="AC992" s="1717"/>
      <c r="AD992" s="1717"/>
      <c r="AE992" s="1718"/>
      <c r="AF992" s="1752" t="s">
        <v>1737</v>
      </c>
      <c r="AG992" s="1753"/>
      <c r="AH992" s="1753"/>
      <c r="AI992" s="1754"/>
      <c r="AJ992" s="1716"/>
      <c r="AK992" s="1717"/>
      <c r="AL992" s="1717"/>
      <c r="AM992" s="1717"/>
      <c r="AN992" s="1717"/>
      <c r="AO992" s="1717"/>
      <c r="AP992" s="1717"/>
      <c r="AQ992" s="1718"/>
      <c r="AR992" s="1057"/>
      <c r="AS992" s="1057"/>
      <c r="AT992" s="1057"/>
      <c r="AU992" s="1057"/>
      <c r="AV992" s="1057"/>
      <c r="AW992" s="1057"/>
      <c r="AX992" s="1057"/>
      <c r="AY992" s="105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 customHeight="1">
      <c r="A993" s="12"/>
      <c r="B993" s="44"/>
      <c r="C993" s="1060" t="s">
        <v>1738</v>
      </c>
      <c r="D993" s="1719" t="s">
        <v>1739</v>
      </c>
      <c r="E993" s="1720"/>
      <c r="F993" s="1720"/>
      <c r="G993" s="1720"/>
      <c r="H993" s="1720"/>
      <c r="I993" s="1720"/>
      <c r="J993" s="1720"/>
      <c r="K993" s="1720"/>
      <c r="L993" s="1720"/>
      <c r="M993" s="1720"/>
      <c r="N993" s="1720"/>
      <c r="O993" s="1720"/>
      <c r="P993" s="1720"/>
      <c r="Q993" s="1720"/>
      <c r="R993" s="1720"/>
      <c r="S993" s="1720"/>
      <c r="T993" s="1720"/>
      <c r="U993" s="1720"/>
      <c r="V993" s="1720"/>
      <c r="W993" s="1720"/>
      <c r="X993" s="1720"/>
      <c r="Y993" s="1720"/>
      <c r="Z993" s="1720"/>
      <c r="AA993" s="1720"/>
      <c r="AB993" s="1720"/>
      <c r="AC993" s="1720"/>
      <c r="AD993" s="1720"/>
      <c r="AE993" s="1721"/>
      <c r="AF993" s="47"/>
      <c r="AG993" s="1755" t="s">
        <v>837</v>
      </c>
      <c r="AH993" s="1756"/>
      <c r="AI993" s="50"/>
      <c r="AJ993" s="1693">
        <f>ROUND(IF(AND(AG993="yes",D999&gt;0),AJ991*0.2,0),0)</f>
        <v>9565240</v>
      </c>
      <c r="AK993" s="1694"/>
      <c r="AL993" s="1694"/>
      <c r="AM993" s="1694"/>
      <c r="AN993" s="1694"/>
      <c r="AO993" s="1694"/>
      <c r="AP993" s="1694"/>
      <c r="AQ993" s="1695"/>
      <c r="AR993" s="1057"/>
      <c r="AS993" s="1057"/>
      <c r="AT993" s="1057"/>
      <c r="AU993" s="1057"/>
      <c r="AV993" s="1057"/>
      <c r="AW993" s="1057"/>
      <c r="AX993" s="1057"/>
      <c r="AY993" s="105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 customHeight="1">
      <c r="A994" s="12"/>
      <c r="B994" s="1061"/>
      <c r="C994" s="1062"/>
      <c r="D994" s="1676" t="s">
        <v>1740</v>
      </c>
      <c r="E994" s="1677"/>
      <c r="F994" s="1677"/>
      <c r="G994" s="1677"/>
      <c r="H994" s="1677"/>
      <c r="I994" s="1677"/>
      <c r="J994" s="1677"/>
      <c r="K994" s="1677"/>
      <c r="L994" s="1677"/>
      <c r="M994" s="1677"/>
      <c r="N994" s="1677"/>
      <c r="O994" s="1677"/>
      <c r="P994" s="1677"/>
      <c r="Q994" s="1677"/>
      <c r="R994" s="1677"/>
      <c r="S994" s="1677"/>
      <c r="T994" s="1677"/>
      <c r="U994" s="1677"/>
      <c r="V994" s="1677"/>
      <c r="W994" s="1677"/>
      <c r="X994" s="1677"/>
      <c r="Y994" s="1677"/>
      <c r="Z994" s="1677"/>
      <c r="AA994" s="1677"/>
      <c r="AB994" s="1677"/>
      <c r="AC994" s="1677"/>
      <c r="AD994" s="1677"/>
      <c r="AE994" s="1678"/>
      <c r="AF994" s="44"/>
      <c r="AG994" s="12"/>
      <c r="AH994" s="12"/>
      <c r="AI994" s="48"/>
      <c r="AJ994" s="1696"/>
      <c r="AK994" s="1697"/>
      <c r="AL994" s="1697"/>
      <c r="AM994" s="1697"/>
      <c r="AN994" s="1697"/>
      <c r="AO994" s="1697"/>
      <c r="AP994" s="1697"/>
      <c r="AQ994" s="1698"/>
      <c r="AR994" s="1057"/>
      <c r="AS994" s="1057"/>
      <c r="AT994" s="1057"/>
      <c r="AU994" s="1057"/>
      <c r="AV994" s="1057"/>
      <c r="AW994" s="1057"/>
      <c r="AX994" s="1057"/>
      <c r="AY994" s="105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 customHeight="1">
      <c r="A995" s="12"/>
      <c r="B995" s="1061"/>
      <c r="C995" s="1062"/>
      <c r="D995" s="1676"/>
      <c r="E995" s="1677"/>
      <c r="F995" s="1677"/>
      <c r="G995" s="1677"/>
      <c r="H995" s="1677"/>
      <c r="I995" s="1677"/>
      <c r="J995" s="1677"/>
      <c r="K995" s="1677"/>
      <c r="L995" s="1677"/>
      <c r="M995" s="1677"/>
      <c r="N995" s="1677"/>
      <c r="O995" s="1677"/>
      <c r="P995" s="1677"/>
      <c r="Q995" s="1677"/>
      <c r="R995" s="1677"/>
      <c r="S995" s="1677"/>
      <c r="T995" s="1677"/>
      <c r="U995" s="1677"/>
      <c r="V995" s="1677"/>
      <c r="W995" s="1677"/>
      <c r="X995" s="1677"/>
      <c r="Y995" s="1677"/>
      <c r="Z995" s="1677"/>
      <c r="AA995" s="1677"/>
      <c r="AB995" s="1677"/>
      <c r="AC995" s="1677"/>
      <c r="AD995" s="1677"/>
      <c r="AE995" s="1678"/>
      <c r="AF995" s="44"/>
      <c r="AG995" s="12"/>
      <c r="AH995" s="12"/>
      <c r="AI995" s="48"/>
      <c r="AJ995" s="1696"/>
      <c r="AK995" s="1697"/>
      <c r="AL995" s="1697"/>
      <c r="AM995" s="1697"/>
      <c r="AN995" s="1697"/>
      <c r="AO995" s="1697"/>
      <c r="AP995" s="1697"/>
      <c r="AQ995" s="1698"/>
      <c r="AR995" s="1057"/>
      <c r="AS995" s="1057"/>
      <c r="AT995" s="1057"/>
      <c r="AU995" s="1057"/>
      <c r="AV995" s="1057"/>
      <c r="AW995" s="1057"/>
      <c r="AX995" s="1057"/>
      <c r="AY995" s="105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 customHeight="1">
      <c r="A996" s="12"/>
      <c r="B996" s="1061"/>
      <c r="C996" s="1062"/>
      <c r="D996" s="1676"/>
      <c r="E996" s="1677"/>
      <c r="F996" s="1677"/>
      <c r="G996" s="1677"/>
      <c r="H996" s="1677"/>
      <c r="I996" s="1677"/>
      <c r="J996" s="1677"/>
      <c r="K996" s="1677"/>
      <c r="L996" s="1677"/>
      <c r="M996" s="1677"/>
      <c r="N996" s="1677"/>
      <c r="O996" s="1677"/>
      <c r="P996" s="1677"/>
      <c r="Q996" s="1677"/>
      <c r="R996" s="1677"/>
      <c r="S996" s="1677"/>
      <c r="T996" s="1677"/>
      <c r="U996" s="1677"/>
      <c r="V996" s="1677"/>
      <c r="W996" s="1677"/>
      <c r="X996" s="1677"/>
      <c r="Y996" s="1677"/>
      <c r="Z996" s="1677"/>
      <c r="AA996" s="1677"/>
      <c r="AB996" s="1677"/>
      <c r="AC996" s="1677"/>
      <c r="AD996" s="1677"/>
      <c r="AE996" s="1678"/>
      <c r="AF996" s="44"/>
      <c r="AG996" s="12"/>
      <c r="AH996" s="12"/>
      <c r="AI996" s="48"/>
      <c r="AJ996" s="1696"/>
      <c r="AK996" s="1697"/>
      <c r="AL996" s="1697"/>
      <c r="AM996" s="1697"/>
      <c r="AN996" s="1697"/>
      <c r="AO996" s="1697"/>
      <c r="AP996" s="1697"/>
      <c r="AQ996" s="1698"/>
      <c r="AR996" s="1057"/>
      <c r="AS996" s="1057"/>
      <c r="AT996" s="1057"/>
      <c r="AU996" s="1057"/>
      <c r="AV996" s="1057"/>
      <c r="AW996" s="1057"/>
      <c r="AX996" s="1057"/>
      <c r="AY996" s="105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 customHeight="1">
      <c r="A997" s="12"/>
      <c r="B997" s="1061"/>
      <c r="C997" s="1062"/>
      <c r="D997" s="1676"/>
      <c r="E997" s="1677"/>
      <c r="F997" s="1677"/>
      <c r="G997" s="1677"/>
      <c r="H997" s="1677"/>
      <c r="I997" s="1677"/>
      <c r="J997" s="1677"/>
      <c r="K997" s="1677"/>
      <c r="L997" s="1677"/>
      <c r="M997" s="1677"/>
      <c r="N997" s="1677"/>
      <c r="O997" s="1677"/>
      <c r="P997" s="1677"/>
      <c r="Q997" s="1677"/>
      <c r="R997" s="1677"/>
      <c r="S997" s="1677"/>
      <c r="T997" s="1677"/>
      <c r="U997" s="1677"/>
      <c r="V997" s="1677"/>
      <c r="W997" s="1677"/>
      <c r="X997" s="1677"/>
      <c r="Y997" s="1677"/>
      <c r="Z997" s="1677"/>
      <c r="AA997" s="1677"/>
      <c r="AB997" s="1677"/>
      <c r="AC997" s="1677"/>
      <c r="AD997" s="1677"/>
      <c r="AE997" s="1678"/>
      <c r="AF997" s="44"/>
      <c r="AG997" s="12"/>
      <c r="AH997" s="12"/>
      <c r="AI997" s="48"/>
      <c r="AJ997" s="1696"/>
      <c r="AK997" s="1697"/>
      <c r="AL997" s="1697"/>
      <c r="AM997" s="1697"/>
      <c r="AN997" s="1697"/>
      <c r="AO997" s="1697"/>
      <c r="AP997" s="1697"/>
      <c r="AQ997" s="1698"/>
      <c r="AR997" s="1057"/>
      <c r="AS997" s="1057"/>
      <c r="AT997" s="1057"/>
      <c r="AU997" s="1057"/>
      <c r="AV997" s="1057"/>
      <c r="AW997" s="1057"/>
      <c r="AX997" s="1057"/>
      <c r="AY997" s="105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 customHeight="1">
      <c r="A998" s="12"/>
      <c r="B998" s="1061"/>
      <c r="C998" s="1062"/>
      <c r="D998" s="1679" t="s">
        <v>1741</v>
      </c>
      <c r="E998" s="1680"/>
      <c r="F998" s="1680"/>
      <c r="G998" s="1680"/>
      <c r="H998" s="1680"/>
      <c r="I998" s="1680"/>
      <c r="J998" s="1680"/>
      <c r="K998" s="1680"/>
      <c r="L998" s="1680"/>
      <c r="M998" s="1680"/>
      <c r="N998" s="1680"/>
      <c r="O998" s="1680"/>
      <c r="P998" s="1680"/>
      <c r="Q998" s="1680"/>
      <c r="R998" s="1680"/>
      <c r="S998" s="1680"/>
      <c r="T998" s="1680"/>
      <c r="U998" s="1680"/>
      <c r="V998" s="1680"/>
      <c r="W998" s="1680"/>
      <c r="X998" s="1680"/>
      <c r="Y998" s="1680"/>
      <c r="Z998" s="1680"/>
      <c r="AA998" s="1680"/>
      <c r="AB998" s="1680"/>
      <c r="AC998" s="1680"/>
      <c r="AD998" s="1680"/>
      <c r="AE998" s="1681"/>
      <c r="AF998" s="44"/>
      <c r="AG998" s="12"/>
      <c r="AH998" s="12"/>
      <c r="AI998" s="48"/>
      <c r="AJ998" s="1696"/>
      <c r="AK998" s="1697"/>
      <c r="AL998" s="1697"/>
      <c r="AM998" s="1697"/>
      <c r="AN998" s="1697"/>
      <c r="AO998" s="1697"/>
      <c r="AP998" s="1697"/>
      <c r="AQ998" s="1698"/>
      <c r="AR998" s="1057"/>
      <c r="AS998" s="1057"/>
      <c r="AT998" s="1057"/>
      <c r="AU998" s="1057"/>
      <c r="AV998" s="1057"/>
      <c r="AW998" s="1057"/>
      <c r="AX998" s="1057"/>
      <c r="AY998" s="105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 customHeight="1">
      <c r="A999" s="12"/>
      <c r="B999" s="1061"/>
      <c r="C999" s="1062"/>
      <c r="D999" s="1727" t="s">
        <v>1742</v>
      </c>
      <c r="E999" s="1728"/>
      <c r="F999" s="1728"/>
      <c r="G999" s="1728"/>
      <c r="H999" s="1728"/>
      <c r="I999" s="1728"/>
      <c r="J999" s="1728"/>
      <c r="K999" s="1728"/>
      <c r="L999" s="1728"/>
      <c r="M999" s="1728"/>
      <c r="N999" s="1728"/>
      <c r="O999" s="1728"/>
      <c r="P999" s="1728"/>
      <c r="Q999" s="1728"/>
      <c r="R999" s="1728"/>
      <c r="S999" s="1728"/>
      <c r="T999" s="1728"/>
      <c r="U999" s="1728"/>
      <c r="V999" s="1728"/>
      <c r="W999" s="1728"/>
      <c r="X999" s="1728"/>
      <c r="Y999" s="1728"/>
      <c r="Z999" s="1728"/>
      <c r="AA999" s="1728"/>
      <c r="AB999" s="1728"/>
      <c r="AC999" s="1728"/>
      <c r="AD999" s="1728"/>
      <c r="AE999" s="1729"/>
      <c r="AF999" s="45"/>
      <c r="AG999" s="6"/>
      <c r="AH999" s="6"/>
      <c r="AI999" s="46"/>
      <c r="AJ999" s="1699"/>
      <c r="AK999" s="1700"/>
      <c r="AL999" s="1700"/>
      <c r="AM999" s="1700"/>
      <c r="AN999" s="1700"/>
      <c r="AO999" s="1700"/>
      <c r="AP999" s="1700"/>
      <c r="AQ999" s="1701"/>
      <c r="AR999" s="1057"/>
      <c r="AS999" s="1057"/>
      <c r="AT999" s="1057"/>
      <c r="AU999" s="1057"/>
      <c r="AV999" s="1057"/>
      <c r="AW999" s="1057"/>
      <c r="AX999" s="1057"/>
      <c r="AY999" s="105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 customHeight="1">
      <c r="A1000" s="12"/>
      <c r="B1000" s="1063"/>
      <c r="C1000" s="1064"/>
      <c r="D1000" s="1673" t="s">
        <v>1743</v>
      </c>
      <c r="E1000" s="1674"/>
      <c r="F1000" s="1674"/>
      <c r="G1000" s="1674"/>
      <c r="H1000" s="1674"/>
      <c r="I1000" s="1674"/>
      <c r="J1000" s="1674"/>
      <c r="K1000" s="1674"/>
      <c r="L1000" s="1674"/>
      <c r="M1000" s="1674"/>
      <c r="N1000" s="1674"/>
      <c r="O1000" s="1674"/>
      <c r="P1000" s="1674"/>
      <c r="Q1000" s="1674"/>
      <c r="R1000" s="1674"/>
      <c r="S1000" s="1674"/>
      <c r="T1000" s="1674"/>
      <c r="U1000" s="1674"/>
      <c r="V1000" s="1674"/>
      <c r="W1000" s="1674"/>
      <c r="X1000" s="1674"/>
      <c r="Y1000" s="1674"/>
      <c r="Z1000" s="1674"/>
      <c r="AA1000" s="1674"/>
      <c r="AB1000" s="1674"/>
      <c r="AC1000" s="1674"/>
      <c r="AD1000" s="1674"/>
      <c r="AE1000" s="1675"/>
      <c r="AF1000" s="47"/>
      <c r="AG1000" s="1710" t="s">
        <v>893</v>
      </c>
      <c r="AH1000" s="1711"/>
      <c r="AI1000" s="50"/>
      <c r="AJ1000" s="1693">
        <f>ROUND(IF(AG1000="yes",AJ991*0.05,0),0)</f>
        <v>0</v>
      </c>
      <c r="AK1000" s="1694"/>
      <c r="AL1000" s="1694"/>
      <c r="AM1000" s="1694"/>
      <c r="AN1000" s="1694"/>
      <c r="AO1000" s="1694"/>
      <c r="AP1000" s="1694"/>
      <c r="AQ1000" s="1695"/>
      <c r="AR1000" s="1057"/>
      <c r="AS1000" s="1057"/>
      <c r="AT1000" s="1057"/>
      <c r="AU1000" s="1057"/>
      <c r="AV1000" s="1057"/>
      <c r="AW1000" s="1057"/>
      <c r="AX1000" s="1057"/>
      <c r="AY1000" s="105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 customHeight="1">
      <c r="A1001" s="12"/>
      <c r="B1001" s="1061"/>
      <c r="C1001" s="1065"/>
      <c r="D1001" s="1676" t="s">
        <v>1744</v>
      </c>
      <c r="E1001" s="1677"/>
      <c r="F1001" s="1677"/>
      <c r="G1001" s="1677"/>
      <c r="H1001" s="1677"/>
      <c r="I1001" s="1677"/>
      <c r="J1001" s="1677"/>
      <c r="K1001" s="1677"/>
      <c r="L1001" s="1677"/>
      <c r="M1001" s="1677"/>
      <c r="N1001" s="1677"/>
      <c r="O1001" s="1677"/>
      <c r="P1001" s="1677"/>
      <c r="Q1001" s="1677"/>
      <c r="R1001" s="1677"/>
      <c r="S1001" s="1677"/>
      <c r="T1001" s="1677"/>
      <c r="U1001" s="1677"/>
      <c r="V1001" s="1677"/>
      <c r="W1001" s="1677"/>
      <c r="X1001" s="1677"/>
      <c r="Y1001" s="1677"/>
      <c r="Z1001" s="1677"/>
      <c r="AA1001" s="1677"/>
      <c r="AB1001" s="1677"/>
      <c r="AC1001" s="1677"/>
      <c r="AD1001" s="1677"/>
      <c r="AE1001" s="1678"/>
      <c r="AF1001" s="44"/>
      <c r="AG1001" s="12"/>
      <c r="AH1001" s="12"/>
      <c r="AI1001" s="48"/>
      <c r="AJ1001" s="1696"/>
      <c r="AK1001" s="1697"/>
      <c r="AL1001" s="1697"/>
      <c r="AM1001" s="1697"/>
      <c r="AN1001" s="1697"/>
      <c r="AO1001" s="1697"/>
      <c r="AP1001" s="1697"/>
      <c r="AQ1001" s="1698"/>
      <c r="AR1001" s="1057"/>
      <c r="AS1001" s="1057"/>
      <c r="AT1001" s="1057"/>
      <c r="AU1001" s="1057"/>
      <c r="AV1001" s="1057"/>
      <c r="AW1001" s="1057"/>
      <c r="AX1001" s="105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 customHeight="1">
      <c r="A1002" s="12"/>
      <c r="B1002" s="1061"/>
      <c r="C1002" s="1065"/>
      <c r="D1002" s="1676"/>
      <c r="E1002" s="1677"/>
      <c r="F1002" s="1677"/>
      <c r="G1002" s="1677"/>
      <c r="H1002" s="1677"/>
      <c r="I1002" s="1677"/>
      <c r="J1002" s="1677"/>
      <c r="K1002" s="1677"/>
      <c r="L1002" s="1677"/>
      <c r="M1002" s="1677"/>
      <c r="N1002" s="1677"/>
      <c r="O1002" s="1677"/>
      <c r="P1002" s="1677"/>
      <c r="Q1002" s="1677"/>
      <c r="R1002" s="1677"/>
      <c r="S1002" s="1677"/>
      <c r="T1002" s="1677"/>
      <c r="U1002" s="1677"/>
      <c r="V1002" s="1677"/>
      <c r="W1002" s="1677"/>
      <c r="X1002" s="1677"/>
      <c r="Y1002" s="1677"/>
      <c r="Z1002" s="1677"/>
      <c r="AA1002" s="1677"/>
      <c r="AB1002" s="1677"/>
      <c r="AC1002" s="1677"/>
      <c r="AD1002" s="1677"/>
      <c r="AE1002" s="1678"/>
      <c r="AF1002" s="44"/>
      <c r="AG1002" s="12"/>
      <c r="AH1002" s="12"/>
      <c r="AI1002" s="48"/>
      <c r="AJ1002" s="1696"/>
      <c r="AK1002" s="1697"/>
      <c r="AL1002" s="1697"/>
      <c r="AM1002" s="1697"/>
      <c r="AN1002" s="1697"/>
      <c r="AO1002" s="1697"/>
      <c r="AP1002" s="1697"/>
      <c r="AQ1002" s="1698"/>
      <c r="AR1002" s="1057"/>
      <c r="AS1002" s="1057"/>
      <c r="AT1002" s="1057"/>
      <c r="AU1002" s="1057"/>
      <c r="AV1002" s="1057"/>
      <c r="AW1002" s="1057"/>
      <c r="AX1002" s="1057"/>
      <c r="AY1002" s="741">
        <f>G753+O797</f>
        <v>64</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 customHeight="1">
      <c r="A1003" s="12"/>
      <c r="B1003" s="1061"/>
      <c r="C1003" s="1065"/>
      <c r="D1003" s="1676"/>
      <c r="E1003" s="1677"/>
      <c r="F1003" s="1677"/>
      <c r="G1003" s="1677"/>
      <c r="H1003" s="1677"/>
      <c r="I1003" s="1677"/>
      <c r="J1003" s="1677"/>
      <c r="K1003" s="1677"/>
      <c r="L1003" s="1677"/>
      <c r="M1003" s="1677"/>
      <c r="N1003" s="1677"/>
      <c r="O1003" s="1677"/>
      <c r="P1003" s="1677"/>
      <c r="Q1003" s="1677"/>
      <c r="R1003" s="1677"/>
      <c r="S1003" s="1677"/>
      <c r="T1003" s="1677"/>
      <c r="U1003" s="1677"/>
      <c r="V1003" s="1677"/>
      <c r="W1003" s="1677"/>
      <c r="X1003" s="1677"/>
      <c r="Y1003" s="1677"/>
      <c r="Z1003" s="1677"/>
      <c r="AA1003" s="1677"/>
      <c r="AB1003" s="1677"/>
      <c r="AC1003" s="1677"/>
      <c r="AD1003" s="1677"/>
      <c r="AE1003" s="1678"/>
      <c r="AF1003" s="44"/>
      <c r="AG1003" s="12"/>
      <c r="AH1003" s="12"/>
      <c r="AI1003" s="48"/>
      <c r="AJ1003" s="1696"/>
      <c r="AK1003" s="1697"/>
      <c r="AL1003" s="1697"/>
      <c r="AM1003" s="1697"/>
      <c r="AN1003" s="1697"/>
      <c r="AO1003" s="1697"/>
      <c r="AP1003" s="1697"/>
      <c r="AQ1003" s="1698"/>
      <c r="AR1003" s="1057"/>
      <c r="AS1003" s="1057"/>
      <c r="AT1003" s="1057"/>
      <c r="AU1003" s="1057"/>
      <c r="AV1003" s="1057"/>
      <c r="AW1003" s="1057"/>
      <c r="AX1003" s="105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 customHeight="1">
      <c r="A1004" s="12"/>
      <c r="B1004" s="1061"/>
      <c r="C1004" s="1065"/>
      <c r="D1004" s="1676"/>
      <c r="E1004" s="1677"/>
      <c r="F1004" s="1677"/>
      <c r="G1004" s="1677"/>
      <c r="H1004" s="1677"/>
      <c r="I1004" s="1677"/>
      <c r="J1004" s="1677"/>
      <c r="K1004" s="1677"/>
      <c r="L1004" s="1677"/>
      <c r="M1004" s="1677"/>
      <c r="N1004" s="1677"/>
      <c r="O1004" s="1677"/>
      <c r="P1004" s="1677"/>
      <c r="Q1004" s="1677"/>
      <c r="R1004" s="1677"/>
      <c r="S1004" s="1677"/>
      <c r="T1004" s="1677"/>
      <c r="U1004" s="1677"/>
      <c r="V1004" s="1677"/>
      <c r="W1004" s="1677"/>
      <c r="X1004" s="1677"/>
      <c r="Y1004" s="1677"/>
      <c r="Z1004" s="1677"/>
      <c r="AA1004" s="1677"/>
      <c r="AB1004" s="1677"/>
      <c r="AC1004" s="1677"/>
      <c r="AD1004" s="1677"/>
      <c r="AE1004" s="1678"/>
      <c r="AF1004" s="44"/>
      <c r="AG1004" s="12"/>
      <c r="AH1004" s="12"/>
      <c r="AI1004" s="48"/>
      <c r="AJ1004" s="1696"/>
      <c r="AK1004" s="1697"/>
      <c r="AL1004" s="1697"/>
      <c r="AM1004" s="1697"/>
      <c r="AN1004" s="1697"/>
      <c r="AO1004" s="1697"/>
      <c r="AP1004" s="1697"/>
      <c r="AQ1004" s="1698"/>
      <c r="AR1004" s="1057"/>
      <c r="AS1004" s="1057"/>
      <c r="AT1004" s="1057"/>
      <c r="AU1004" s="1057"/>
      <c r="AV1004" s="1057"/>
      <c r="AW1004" s="1057"/>
      <c r="AX1004" s="1057"/>
      <c r="AY1004" s="740">
        <f>ROUNDDOWN(X1047/I1047,2)</f>
        <v>0.54</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 customHeight="1">
      <c r="A1005" s="12"/>
      <c r="B1005" s="1066"/>
      <c r="C1005" s="1067"/>
      <c r="D1005" s="1679"/>
      <c r="E1005" s="1680"/>
      <c r="F1005" s="1680"/>
      <c r="G1005" s="1680"/>
      <c r="H1005" s="1680"/>
      <c r="I1005" s="1680"/>
      <c r="J1005" s="1680"/>
      <c r="K1005" s="1680"/>
      <c r="L1005" s="1680"/>
      <c r="M1005" s="1680"/>
      <c r="N1005" s="1680"/>
      <c r="O1005" s="1680"/>
      <c r="P1005" s="1680"/>
      <c r="Q1005" s="1680"/>
      <c r="R1005" s="1680"/>
      <c r="S1005" s="1680"/>
      <c r="T1005" s="1680"/>
      <c r="U1005" s="1680"/>
      <c r="V1005" s="1680"/>
      <c r="W1005" s="1680"/>
      <c r="X1005" s="1680"/>
      <c r="Y1005" s="1680"/>
      <c r="Z1005" s="1680"/>
      <c r="AA1005" s="1680"/>
      <c r="AB1005" s="1680"/>
      <c r="AC1005" s="1680"/>
      <c r="AD1005" s="1680"/>
      <c r="AE1005" s="1681"/>
      <c r="AF1005" s="45"/>
      <c r="AG1005" s="6"/>
      <c r="AH1005" s="6"/>
      <c r="AI1005" s="46"/>
      <c r="AJ1005" s="1699"/>
      <c r="AK1005" s="1700"/>
      <c r="AL1005" s="1700"/>
      <c r="AM1005" s="1700"/>
      <c r="AN1005" s="1700"/>
      <c r="AO1005" s="1700"/>
      <c r="AP1005" s="1700"/>
      <c r="AQ1005" s="1701"/>
      <c r="AR1005" s="1057"/>
      <c r="AS1005" s="1057"/>
      <c r="AT1005" s="1057"/>
      <c r="AU1005" s="1057"/>
      <c r="AV1005" s="1057"/>
      <c r="AW1005" s="1057"/>
      <c r="AX1005" s="1057"/>
      <c r="AY1005" s="740">
        <f>ROUNDDOWN(X1051/I1051,2)</f>
        <v>0.26</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 customHeight="1">
      <c r="A1006" s="12"/>
      <c r="B1006" s="1063"/>
      <c r="C1006" s="231" t="s">
        <v>1745</v>
      </c>
      <c r="D1006" s="1673" t="s">
        <v>1746</v>
      </c>
      <c r="E1006" s="1674"/>
      <c r="F1006" s="1674"/>
      <c r="G1006" s="1674"/>
      <c r="H1006" s="1674"/>
      <c r="I1006" s="1674"/>
      <c r="J1006" s="1674"/>
      <c r="K1006" s="1674"/>
      <c r="L1006" s="1674"/>
      <c r="M1006" s="1674"/>
      <c r="N1006" s="1674"/>
      <c r="O1006" s="1674"/>
      <c r="P1006" s="1674"/>
      <c r="Q1006" s="1674"/>
      <c r="R1006" s="1674"/>
      <c r="S1006" s="1674"/>
      <c r="T1006" s="1674"/>
      <c r="U1006" s="1674"/>
      <c r="V1006" s="1674"/>
      <c r="W1006" s="1674"/>
      <c r="X1006" s="1674"/>
      <c r="Y1006" s="1674"/>
      <c r="Z1006" s="1674"/>
      <c r="AA1006" s="1674"/>
      <c r="AB1006" s="1674"/>
      <c r="AC1006" s="1674"/>
      <c r="AD1006" s="1674"/>
      <c r="AE1006" s="1675"/>
      <c r="AF1006" s="49"/>
      <c r="AG1006" s="1710" t="s">
        <v>893</v>
      </c>
      <c r="AH1006" s="1711"/>
      <c r="AI1006" s="50"/>
      <c r="AJ1006" s="1693">
        <f>ROUND(IF(AG1006="yes",AJ991*0.1,0),0)</f>
        <v>0</v>
      </c>
      <c r="AK1006" s="1694"/>
      <c r="AL1006" s="1694"/>
      <c r="AM1006" s="1694"/>
      <c r="AN1006" s="1694"/>
      <c r="AO1006" s="1694"/>
      <c r="AP1006" s="1694"/>
      <c r="AQ1006" s="1695"/>
      <c r="AR1006" s="1057"/>
      <c r="AS1006" s="1057"/>
      <c r="AT1006" s="1057"/>
      <c r="AU1006" s="1057"/>
      <c r="AV1006" s="1057"/>
      <c r="AW1006" s="1057"/>
      <c r="AX1006" s="1057"/>
      <c r="BB1006" s="2"/>
      <c r="BD1006" s="2"/>
      <c r="BE1006" s="2"/>
      <c r="BF1006" s="2"/>
    </row>
    <row r="1007" spans="1:157" ht="13" customHeight="1">
      <c r="A1007" s="12"/>
      <c r="B1007" s="44"/>
      <c r="C1007" s="1068"/>
      <c r="D1007" s="1690" t="s">
        <v>1747</v>
      </c>
      <c r="E1007" s="1691"/>
      <c r="F1007" s="1691"/>
      <c r="G1007" s="1691"/>
      <c r="H1007" s="1691"/>
      <c r="I1007" s="1691"/>
      <c r="J1007" s="1691"/>
      <c r="K1007" s="1691"/>
      <c r="L1007" s="1691"/>
      <c r="M1007" s="1691"/>
      <c r="N1007" s="1691"/>
      <c r="O1007" s="1691"/>
      <c r="P1007" s="1691"/>
      <c r="Q1007" s="1691"/>
      <c r="R1007" s="1691"/>
      <c r="S1007" s="1691"/>
      <c r="T1007" s="1691"/>
      <c r="U1007" s="1691"/>
      <c r="V1007" s="1691"/>
      <c r="W1007" s="1691"/>
      <c r="X1007" s="1691"/>
      <c r="Y1007" s="1691"/>
      <c r="Z1007" s="1691"/>
      <c r="AA1007" s="1691"/>
      <c r="AB1007" s="1691"/>
      <c r="AC1007" s="1691"/>
      <c r="AD1007" s="1691"/>
      <c r="AE1007" s="1692"/>
      <c r="AF1007" s="44"/>
      <c r="AI1007" s="48"/>
      <c r="AJ1007" s="1696"/>
      <c r="AK1007" s="1697"/>
      <c r="AL1007" s="1697"/>
      <c r="AM1007" s="1697"/>
      <c r="AN1007" s="1697"/>
      <c r="AO1007" s="1697"/>
      <c r="AP1007" s="1697"/>
      <c r="AQ1007" s="1698"/>
      <c r="AR1007" s="1057"/>
      <c r="AS1007" s="1057"/>
      <c r="AT1007" s="1057"/>
      <c r="AU1007" s="1057"/>
      <c r="AV1007" s="1057"/>
      <c r="AW1007" s="1057"/>
      <c r="AX1007" s="1057"/>
    </row>
    <row r="1008" spans="1:157" ht="13" customHeight="1">
      <c r="A1008" s="12"/>
      <c r="B1008" s="44"/>
      <c r="C1008" s="1068"/>
      <c r="D1008" s="1690"/>
      <c r="E1008" s="1691"/>
      <c r="F1008" s="1691"/>
      <c r="G1008" s="1691"/>
      <c r="H1008" s="1691"/>
      <c r="I1008" s="1691"/>
      <c r="J1008" s="1691"/>
      <c r="K1008" s="1691"/>
      <c r="L1008" s="1691"/>
      <c r="M1008" s="1691"/>
      <c r="N1008" s="1691"/>
      <c r="O1008" s="1691"/>
      <c r="P1008" s="1691"/>
      <c r="Q1008" s="1691"/>
      <c r="R1008" s="1691"/>
      <c r="S1008" s="1691"/>
      <c r="T1008" s="1691"/>
      <c r="U1008" s="1691"/>
      <c r="V1008" s="1691"/>
      <c r="W1008" s="1691"/>
      <c r="X1008" s="1691"/>
      <c r="Y1008" s="1691"/>
      <c r="Z1008" s="1691"/>
      <c r="AA1008" s="1691"/>
      <c r="AB1008" s="1691"/>
      <c r="AC1008" s="1691"/>
      <c r="AD1008" s="1691"/>
      <c r="AE1008" s="1692"/>
      <c r="AF1008" s="44"/>
      <c r="AG1008" s="12"/>
      <c r="AH1008" s="12"/>
      <c r="AI1008" s="48"/>
      <c r="AJ1008" s="1696"/>
      <c r="AK1008" s="1697"/>
      <c r="AL1008" s="1697"/>
      <c r="AM1008" s="1697"/>
      <c r="AN1008" s="1697"/>
      <c r="AO1008" s="1697"/>
      <c r="AP1008" s="1697"/>
      <c r="AQ1008" s="1698"/>
      <c r="AR1008" s="1057"/>
      <c r="AS1008" s="1057"/>
      <c r="AT1008" s="1057"/>
      <c r="AU1008" s="1057"/>
      <c r="AV1008" s="1057"/>
      <c r="AW1008" s="1057"/>
      <c r="AX1008" s="1057"/>
    </row>
    <row r="1009" spans="1:51" ht="13" customHeight="1">
      <c r="A1009" s="12"/>
      <c r="B1009" s="1069"/>
      <c r="C1009" s="1067"/>
      <c r="D1009" s="1682"/>
      <c r="E1009" s="1683"/>
      <c r="F1009" s="1683"/>
      <c r="G1009" s="1683"/>
      <c r="H1009" s="1683"/>
      <c r="I1009" s="1683"/>
      <c r="J1009" s="1683"/>
      <c r="K1009" s="1683"/>
      <c r="L1009" s="1683"/>
      <c r="M1009" s="1683"/>
      <c r="N1009" s="1683"/>
      <c r="O1009" s="1683"/>
      <c r="P1009" s="1683"/>
      <c r="Q1009" s="1683"/>
      <c r="R1009" s="1683"/>
      <c r="S1009" s="1683"/>
      <c r="T1009" s="1683"/>
      <c r="U1009" s="1683"/>
      <c r="V1009" s="1683"/>
      <c r="W1009" s="1683"/>
      <c r="X1009" s="1683"/>
      <c r="Y1009" s="1683"/>
      <c r="Z1009" s="1683"/>
      <c r="AA1009" s="1683"/>
      <c r="AB1009" s="1683"/>
      <c r="AC1009" s="1683"/>
      <c r="AD1009" s="1683"/>
      <c r="AE1009" s="1684"/>
      <c r="AF1009" s="45"/>
      <c r="AG1009" s="6"/>
      <c r="AH1009" s="6"/>
      <c r="AI1009" s="46"/>
      <c r="AJ1009" s="1699"/>
      <c r="AK1009" s="1700"/>
      <c r="AL1009" s="1700"/>
      <c r="AM1009" s="1700"/>
      <c r="AN1009" s="1700"/>
      <c r="AO1009" s="1700"/>
      <c r="AP1009" s="1700"/>
      <c r="AQ1009" s="1701"/>
      <c r="AR1009" s="1057"/>
      <c r="AS1009" s="1057"/>
      <c r="AT1009" s="1057"/>
      <c r="AU1009" s="1057"/>
      <c r="AV1009" s="1057"/>
      <c r="AW1009" s="1057"/>
      <c r="AX1009" s="1057"/>
    </row>
    <row r="1010" spans="1:51" ht="13" customHeight="1">
      <c r="A1010" s="12"/>
      <c r="B1010" s="47"/>
      <c r="C1010" s="231" t="s">
        <v>1748</v>
      </c>
      <c r="D1010" s="1673" t="s">
        <v>1749</v>
      </c>
      <c r="E1010" s="1674"/>
      <c r="F1010" s="1674"/>
      <c r="G1010" s="1674"/>
      <c r="H1010" s="1674"/>
      <c r="I1010" s="1674"/>
      <c r="J1010" s="1674"/>
      <c r="K1010" s="1674"/>
      <c r="L1010" s="1674"/>
      <c r="M1010" s="1674"/>
      <c r="N1010" s="1674"/>
      <c r="O1010" s="1674"/>
      <c r="P1010" s="1674"/>
      <c r="Q1010" s="1674"/>
      <c r="R1010" s="1674"/>
      <c r="S1010" s="1674"/>
      <c r="T1010" s="1674"/>
      <c r="U1010" s="1674"/>
      <c r="V1010" s="1674"/>
      <c r="W1010" s="1674"/>
      <c r="X1010" s="1674"/>
      <c r="Y1010" s="1674"/>
      <c r="Z1010" s="1674"/>
      <c r="AA1010" s="1674"/>
      <c r="AB1010" s="1674"/>
      <c r="AC1010" s="1674"/>
      <c r="AD1010" s="1674"/>
      <c r="AE1010" s="1675"/>
      <c r="AF1010" s="47"/>
      <c r="AG1010" s="1710" t="s">
        <v>893</v>
      </c>
      <c r="AH1010" s="1711"/>
      <c r="AI1010" s="50"/>
      <c r="AJ1010" s="1693">
        <f>ROUND(IF(AG1010="yes",AJ991*0.02,0),0)</f>
        <v>0</v>
      </c>
      <c r="AK1010" s="1694"/>
      <c r="AL1010" s="1694"/>
      <c r="AM1010" s="1694"/>
      <c r="AN1010" s="1694"/>
      <c r="AO1010" s="1694"/>
      <c r="AP1010" s="1694"/>
      <c r="AQ1010" s="1695"/>
      <c r="AR1010" s="1057"/>
      <c r="AS1010" s="1057"/>
      <c r="AT1010" s="1057"/>
      <c r="AU1010" s="1057"/>
      <c r="AV1010" s="1057"/>
      <c r="AW1010" s="1057"/>
      <c r="AX1010" s="1057"/>
      <c r="AY1010" s="1070">
        <f>IF(SUM(AY1012:AY1020)&lt;=0.1,SUM(AY1012:AY1020),0.1)</f>
        <v>0</v>
      </c>
    </row>
    <row r="1011" spans="1:51" ht="14.25" customHeight="1">
      <c r="A1011" s="12"/>
      <c r="B1011" s="44"/>
      <c r="C1011" s="1068"/>
      <c r="D1011" s="1682" t="s">
        <v>1750</v>
      </c>
      <c r="E1011" s="1683"/>
      <c r="F1011" s="1683"/>
      <c r="G1011" s="1683"/>
      <c r="H1011" s="1683"/>
      <c r="I1011" s="1683"/>
      <c r="J1011" s="1683"/>
      <c r="K1011" s="1683"/>
      <c r="L1011" s="1683"/>
      <c r="M1011" s="1683"/>
      <c r="N1011" s="1683"/>
      <c r="O1011" s="1683"/>
      <c r="P1011" s="1683"/>
      <c r="Q1011" s="1683"/>
      <c r="R1011" s="1683"/>
      <c r="S1011" s="1683"/>
      <c r="T1011" s="1683"/>
      <c r="U1011" s="1683"/>
      <c r="V1011" s="1683"/>
      <c r="W1011" s="1683"/>
      <c r="X1011" s="1683"/>
      <c r="Y1011" s="1683"/>
      <c r="Z1011" s="1683"/>
      <c r="AA1011" s="1683"/>
      <c r="AB1011" s="1683"/>
      <c r="AC1011" s="1683"/>
      <c r="AD1011" s="1683"/>
      <c r="AE1011" s="1684"/>
      <c r="AF1011" s="45"/>
      <c r="AG1011" s="6"/>
      <c r="AH1011" s="6"/>
      <c r="AI1011" s="46"/>
      <c r="AJ1011" s="1699"/>
      <c r="AK1011" s="1700"/>
      <c r="AL1011" s="1700"/>
      <c r="AM1011" s="1700"/>
      <c r="AN1011" s="1700"/>
      <c r="AO1011" s="1700"/>
      <c r="AP1011" s="1700"/>
      <c r="AQ1011" s="1701"/>
      <c r="AR1011" s="1057"/>
      <c r="AS1011" s="1057"/>
      <c r="AT1011" s="1057"/>
      <c r="AU1011" s="1057"/>
      <c r="AV1011" s="1057"/>
      <c r="AW1011" s="1057"/>
      <c r="AX1011" s="1057"/>
    </row>
    <row r="1012" spans="1:51" ht="13" customHeight="1">
      <c r="A1012" s="12"/>
      <c r="B1012" s="47"/>
      <c r="C1012" s="231" t="s">
        <v>1751</v>
      </c>
      <c r="D1012" s="1673" t="s">
        <v>1752</v>
      </c>
      <c r="E1012" s="1674"/>
      <c r="F1012" s="1674"/>
      <c r="G1012" s="1674"/>
      <c r="H1012" s="1674"/>
      <c r="I1012" s="1674"/>
      <c r="J1012" s="1674"/>
      <c r="K1012" s="1674"/>
      <c r="L1012" s="1674"/>
      <c r="M1012" s="1674"/>
      <c r="N1012" s="1674"/>
      <c r="O1012" s="1674"/>
      <c r="P1012" s="1674"/>
      <c r="Q1012" s="1674"/>
      <c r="R1012" s="1674"/>
      <c r="S1012" s="1674"/>
      <c r="T1012" s="1674"/>
      <c r="U1012" s="1674"/>
      <c r="V1012" s="1674"/>
      <c r="W1012" s="1674"/>
      <c r="X1012" s="1674"/>
      <c r="Y1012" s="1674"/>
      <c r="Z1012" s="1674"/>
      <c r="AA1012" s="1674"/>
      <c r="AB1012" s="1674"/>
      <c r="AC1012" s="1674"/>
      <c r="AD1012" s="1674"/>
      <c r="AE1012" s="1675"/>
      <c r="AF1012" s="47"/>
      <c r="AG1012" s="1710" t="s">
        <v>893</v>
      </c>
      <c r="AH1012" s="1711"/>
      <c r="AI1012" s="47"/>
      <c r="AJ1012" s="1693">
        <f>ROUND(IF(AG1012="yes",AJ991*0.02,0),0)</f>
        <v>0</v>
      </c>
      <c r="AK1012" s="1694"/>
      <c r="AL1012" s="1694"/>
      <c r="AM1012" s="1694"/>
      <c r="AN1012" s="1694"/>
      <c r="AO1012" s="1694"/>
      <c r="AP1012" s="1694"/>
      <c r="AQ1012" s="1695"/>
      <c r="AR1012" s="1057"/>
      <c r="AS1012" s="1057"/>
      <c r="AT1012" s="1057"/>
      <c r="AU1012" s="1057"/>
      <c r="AV1012" s="1057"/>
      <c r="AW1012" s="1057"/>
      <c r="AX1012" s="1057"/>
      <c r="AY1012" s="1071">
        <f>IF(A1064="Yes",0.05,0)</f>
        <v>0</v>
      </c>
    </row>
    <row r="1013" spans="1:51" ht="13" customHeight="1">
      <c r="A1013" s="12"/>
      <c r="B1013" s="44"/>
      <c r="C1013" s="1068"/>
      <c r="D1013" s="1690" t="s">
        <v>1753</v>
      </c>
      <c r="E1013" s="1691"/>
      <c r="F1013" s="1691"/>
      <c r="G1013" s="1691"/>
      <c r="H1013" s="1691"/>
      <c r="I1013" s="1691"/>
      <c r="J1013" s="1691"/>
      <c r="K1013" s="1691"/>
      <c r="L1013" s="1691"/>
      <c r="M1013" s="1691"/>
      <c r="N1013" s="1691"/>
      <c r="O1013" s="1691"/>
      <c r="P1013" s="1691"/>
      <c r="Q1013" s="1691"/>
      <c r="R1013" s="1691"/>
      <c r="S1013" s="1691"/>
      <c r="T1013" s="1691"/>
      <c r="U1013" s="1691"/>
      <c r="V1013" s="1691"/>
      <c r="W1013" s="1691"/>
      <c r="X1013" s="1691"/>
      <c r="Y1013" s="1691"/>
      <c r="Z1013" s="1691"/>
      <c r="AA1013" s="1691"/>
      <c r="AB1013" s="1691"/>
      <c r="AC1013" s="1691"/>
      <c r="AD1013" s="1691"/>
      <c r="AE1013" s="1692"/>
      <c r="AF1013" s="1784" t="str">
        <f>IF(AND(AG1012="yes",AB212&lt;&gt;1),"The project may not be eligible for this boost","")</f>
        <v/>
      </c>
      <c r="AG1013" s="1785"/>
      <c r="AH1013" s="1785"/>
      <c r="AI1013" s="1786"/>
      <c r="AJ1013" s="1696"/>
      <c r="AK1013" s="1697"/>
      <c r="AL1013" s="1697"/>
      <c r="AM1013" s="1697"/>
      <c r="AN1013" s="1697"/>
      <c r="AO1013" s="1697"/>
      <c r="AP1013" s="1697"/>
      <c r="AQ1013" s="1698"/>
      <c r="AR1013" s="1057"/>
      <c r="AS1013" s="1057"/>
      <c r="AT1013" s="1057"/>
      <c r="AU1013" s="1057"/>
      <c r="AV1013" s="1057"/>
      <c r="AW1013" s="1057"/>
      <c r="AX1013" s="1057"/>
      <c r="AY1013" s="1071">
        <f>IF(A1070="Yes",0.02,0)</f>
        <v>0</v>
      </c>
    </row>
    <row r="1014" spans="1:51" ht="13" customHeight="1">
      <c r="A1014" s="12"/>
      <c r="B1014" s="1066"/>
      <c r="C1014" s="1067"/>
      <c r="D1014" s="1682"/>
      <c r="E1014" s="1683"/>
      <c r="F1014" s="1683"/>
      <c r="G1014" s="1683"/>
      <c r="H1014" s="1683"/>
      <c r="I1014" s="1683"/>
      <c r="J1014" s="1683"/>
      <c r="K1014" s="1683"/>
      <c r="L1014" s="1683"/>
      <c r="M1014" s="1683"/>
      <c r="N1014" s="1683"/>
      <c r="O1014" s="1683"/>
      <c r="P1014" s="1683"/>
      <c r="Q1014" s="1683"/>
      <c r="R1014" s="1683"/>
      <c r="S1014" s="1683"/>
      <c r="T1014" s="1683"/>
      <c r="U1014" s="1683"/>
      <c r="V1014" s="1683"/>
      <c r="W1014" s="1683"/>
      <c r="X1014" s="1683"/>
      <c r="Y1014" s="1683"/>
      <c r="Z1014" s="1683"/>
      <c r="AA1014" s="1683"/>
      <c r="AB1014" s="1683"/>
      <c r="AC1014" s="1683"/>
      <c r="AD1014" s="1683"/>
      <c r="AE1014" s="1684"/>
      <c r="AF1014" s="1787"/>
      <c r="AG1014" s="1788"/>
      <c r="AH1014" s="1788"/>
      <c r="AI1014" s="1789"/>
      <c r="AJ1014" s="1699"/>
      <c r="AK1014" s="1700"/>
      <c r="AL1014" s="1700"/>
      <c r="AM1014" s="1700"/>
      <c r="AN1014" s="1700"/>
      <c r="AO1014" s="1700"/>
      <c r="AP1014" s="1700"/>
      <c r="AQ1014" s="1701"/>
      <c r="AR1014" s="1057"/>
      <c r="AS1014" s="1057"/>
      <c r="AT1014" s="1057"/>
      <c r="AU1014" s="1057"/>
      <c r="AV1014" s="1057"/>
      <c r="AW1014" s="1057"/>
      <c r="AX1014" s="1057"/>
      <c r="AY1014" s="1071">
        <f>IF(A1076="Yes",0.04,0)</f>
        <v>0</v>
      </c>
    </row>
    <row r="1015" spans="1:51" ht="13" customHeight="1">
      <c r="A1015" s="12"/>
      <c r="B1015" s="47"/>
      <c r="C1015" s="231" t="s">
        <v>1754</v>
      </c>
      <c r="D1015" s="1719" t="s">
        <v>1755</v>
      </c>
      <c r="E1015" s="1720"/>
      <c r="F1015" s="1720"/>
      <c r="G1015" s="1720"/>
      <c r="H1015" s="1720"/>
      <c r="I1015" s="1720"/>
      <c r="J1015" s="1720"/>
      <c r="K1015" s="1720"/>
      <c r="L1015" s="1720"/>
      <c r="M1015" s="1720"/>
      <c r="N1015" s="1720"/>
      <c r="O1015" s="1720"/>
      <c r="P1015" s="1720"/>
      <c r="Q1015" s="1720"/>
      <c r="R1015" s="1720"/>
      <c r="S1015" s="1720"/>
      <c r="T1015" s="1720"/>
      <c r="U1015" s="1720"/>
      <c r="V1015" s="1720"/>
      <c r="W1015" s="1720"/>
      <c r="X1015" s="1720"/>
      <c r="Y1015" s="1720"/>
      <c r="Z1015" s="1720"/>
      <c r="AA1015" s="1720"/>
      <c r="AB1015" s="1720"/>
      <c r="AC1015" s="1720"/>
      <c r="AD1015" s="1720"/>
      <c r="AE1015" s="1721"/>
      <c r="AF1015" s="47"/>
      <c r="AG1015" s="1710" t="s">
        <v>893</v>
      </c>
      <c r="AH1015" s="1711"/>
      <c r="AI1015" s="50"/>
      <c r="AJ1015" s="1693">
        <f>IF(AG1015="yes",AJ991*AY1010,0)</f>
        <v>0</v>
      </c>
      <c r="AK1015" s="1694"/>
      <c r="AL1015" s="1694"/>
      <c r="AM1015" s="1694"/>
      <c r="AN1015" s="1694"/>
      <c r="AO1015" s="1694"/>
      <c r="AP1015" s="1694"/>
      <c r="AQ1015" s="1695"/>
      <c r="AR1015" s="1057"/>
      <c r="AS1015" s="1057"/>
      <c r="AT1015" s="1057"/>
      <c r="AU1015" s="1057"/>
      <c r="AV1015" s="1057"/>
      <c r="AW1015" s="1057"/>
      <c r="AX1015" s="1057"/>
      <c r="AY1015" s="1071">
        <f>IF(A1083="Yes",0.04,0)</f>
        <v>0</v>
      </c>
    </row>
    <row r="1016" spans="1:51" ht="13" customHeight="1">
      <c r="A1016" s="12"/>
      <c r="B1016" s="44"/>
      <c r="C1016" s="1068"/>
      <c r="D1016" s="1690" t="s">
        <v>1756</v>
      </c>
      <c r="E1016" s="1691"/>
      <c r="F1016" s="1691"/>
      <c r="G1016" s="1691"/>
      <c r="H1016" s="1691"/>
      <c r="I1016" s="1691"/>
      <c r="J1016" s="1691"/>
      <c r="K1016" s="1691"/>
      <c r="L1016" s="1691"/>
      <c r="M1016" s="1691"/>
      <c r="N1016" s="1691"/>
      <c r="O1016" s="1691"/>
      <c r="P1016" s="1691"/>
      <c r="Q1016" s="1691"/>
      <c r="R1016" s="1691"/>
      <c r="S1016" s="1691"/>
      <c r="T1016" s="1691"/>
      <c r="U1016" s="1691"/>
      <c r="V1016" s="1691"/>
      <c r="W1016" s="1691"/>
      <c r="X1016" s="1691"/>
      <c r="Y1016" s="1691"/>
      <c r="Z1016" s="1691"/>
      <c r="AA1016" s="1691"/>
      <c r="AB1016" s="1691"/>
      <c r="AC1016" s="1691"/>
      <c r="AD1016" s="1691"/>
      <c r="AE1016" s="1692"/>
      <c r="AF1016" s="1778" t="str">
        <f>IF(AND(AG1015="Yes",AY1010=0),AY1022,"")</f>
        <v/>
      </c>
      <c r="AG1016" s="1779"/>
      <c r="AH1016" s="1779"/>
      <c r="AI1016" s="1780"/>
      <c r="AJ1016" s="1696"/>
      <c r="AK1016" s="1697"/>
      <c r="AL1016" s="1697"/>
      <c r="AM1016" s="1697"/>
      <c r="AN1016" s="1697"/>
      <c r="AO1016" s="1697"/>
      <c r="AP1016" s="1697"/>
      <c r="AQ1016" s="1698"/>
      <c r="AR1016" s="1057"/>
      <c r="AS1016" s="1057"/>
      <c r="AT1016" s="1057"/>
      <c r="AU1016" s="1057"/>
      <c r="AV1016" s="1057"/>
      <c r="AW1016" s="1057"/>
      <c r="AX1016" s="1057"/>
      <c r="AY1016" s="1071">
        <f>IF(A1086="Yes",0.01,0)</f>
        <v>0</v>
      </c>
    </row>
    <row r="1017" spans="1:51" ht="13" customHeight="1">
      <c r="A1017" s="12"/>
      <c r="B1017" s="44"/>
      <c r="C1017" s="1068"/>
      <c r="D1017" s="1690"/>
      <c r="E1017" s="1691"/>
      <c r="F1017" s="1691"/>
      <c r="G1017" s="1691"/>
      <c r="H1017" s="1691"/>
      <c r="I1017" s="1691"/>
      <c r="J1017" s="1691"/>
      <c r="K1017" s="1691"/>
      <c r="L1017" s="1691"/>
      <c r="M1017" s="1691"/>
      <c r="N1017" s="1691"/>
      <c r="O1017" s="1691"/>
      <c r="P1017" s="1691"/>
      <c r="Q1017" s="1691"/>
      <c r="R1017" s="1691"/>
      <c r="S1017" s="1691"/>
      <c r="T1017" s="1691"/>
      <c r="U1017" s="1691"/>
      <c r="V1017" s="1691"/>
      <c r="W1017" s="1691"/>
      <c r="X1017" s="1691"/>
      <c r="Y1017" s="1691"/>
      <c r="Z1017" s="1691"/>
      <c r="AA1017" s="1691"/>
      <c r="AB1017" s="1691"/>
      <c r="AC1017" s="1691"/>
      <c r="AD1017" s="1691"/>
      <c r="AE1017" s="1692"/>
      <c r="AF1017" s="1778"/>
      <c r="AG1017" s="1779"/>
      <c r="AH1017" s="1779"/>
      <c r="AI1017" s="1780"/>
      <c r="AJ1017" s="1696"/>
      <c r="AK1017" s="1697"/>
      <c r="AL1017" s="1697"/>
      <c r="AM1017" s="1697"/>
      <c r="AN1017" s="1697"/>
      <c r="AO1017" s="1697"/>
      <c r="AP1017" s="1697"/>
      <c r="AQ1017" s="1698"/>
      <c r="AR1017" s="1057"/>
      <c r="AS1017" s="1057"/>
      <c r="AT1017" s="1057"/>
      <c r="AU1017" s="1057"/>
      <c r="AV1017" s="1057"/>
      <c r="AW1017" s="1057"/>
      <c r="AX1017" s="1057"/>
      <c r="AY1017" s="1071">
        <f>IF(A1091="Yes",0.01,0)</f>
        <v>0</v>
      </c>
    </row>
    <row r="1018" spans="1:51" ht="13" customHeight="1">
      <c r="A1018" s="12"/>
      <c r="B1018" s="1072"/>
      <c r="C1018" s="1065"/>
      <c r="D1018" s="1682"/>
      <c r="E1018" s="1683"/>
      <c r="F1018" s="1683"/>
      <c r="G1018" s="1683"/>
      <c r="H1018" s="1683"/>
      <c r="I1018" s="1683"/>
      <c r="J1018" s="1683"/>
      <c r="K1018" s="1683"/>
      <c r="L1018" s="1683"/>
      <c r="M1018" s="1683"/>
      <c r="N1018" s="1683"/>
      <c r="O1018" s="1683"/>
      <c r="P1018" s="1683"/>
      <c r="Q1018" s="1683"/>
      <c r="R1018" s="1683"/>
      <c r="S1018" s="1683"/>
      <c r="T1018" s="1683"/>
      <c r="U1018" s="1683"/>
      <c r="V1018" s="1683"/>
      <c r="W1018" s="1683"/>
      <c r="X1018" s="1683"/>
      <c r="Y1018" s="1683"/>
      <c r="Z1018" s="1683"/>
      <c r="AA1018" s="1683"/>
      <c r="AB1018" s="1683"/>
      <c r="AC1018" s="1683"/>
      <c r="AD1018" s="1683"/>
      <c r="AE1018" s="1684"/>
      <c r="AF1018" s="1781"/>
      <c r="AG1018" s="1782"/>
      <c r="AH1018" s="1782"/>
      <c r="AI1018" s="1783"/>
      <c r="AJ1018" s="1699"/>
      <c r="AK1018" s="1700"/>
      <c r="AL1018" s="1700"/>
      <c r="AM1018" s="1700"/>
      <c r="AN1018" s="1700"/>
      <c r="AO1018" s="1700"/>
      <c r="AP1018" s="1700"/>
      <c r="AQ1018" s="1701"/>
      <c r="AR1018" s="1057"/>
      <c r="AS1018" s="1057"/>
      <c r="AT1018" s="1057"/>
      <c r="AU1018" s="1057"/>
      <c r="AV1018" s="1057"/>
      <c r="AW1018" s="1057"/>
      <c r="AX1018" s="1057"/>
      <c r="AY1018" s="1071">
        <f>IF(A1094="Yes",0.01,0)</f>
        <v>0</v>
      </c>
    </row>
    <row r="1019" spans="1:51" ht="13" customHeight="1">
      <c r="A1019" s="12"/>
      <c r="B1019" s="47"/>
      <c r="C1019" s="231" t="s">
        <v>1757</v>
      </c>
      <c r="D1019" s="1734" t="s">
        <v>1758</v>
      </c>
      <c r="E1019" s="1735"/>
      <c r="F1019" s="1735"/>
      <c r="G1019" s="1735"/>
      <c r="H1019" s="1735"/>
      <c r="I1019" s="1735"/>
      <c r="J1019" s="1735"/>
      <c r="K1019" s="1735"/>
      <c r="L1019" s="1735"/>
      <c r="M1019" s="1735"/>
      <c r="N1019" s="1735"/>
      <c r="O1019" s="1735"/>
      <c r="P1019" s="1735"/>
      <c r="Q1019" s="1735"/>
      <c r="R1019" s="1735"/>
      <c r="S1019" s="1735"/>
      <c r="T1019" s="1735"/>
      <c r="U1019" s="1735"/>
      <c r="V1019" s="1735"/>
      <c r="W1019" s="1735"/>
      <c r="X1019" s="1735"/>
      <c r="Y1019" s="1735"/>
      <c r="Z1019" s="1735"/>
      <c r="AA1019" s="1735"/>
      <c r="AB1019" s="1735"/>
      <c r="AC1019" s="1735"/>
      <c r="AD1019" s="1735"/>
      <c r="AE1019" s="1736"/>
      <c r="AF1019" s="47"/>
      <c r="AG1019" s="1710" t="s">
        <v>893</v>
      </c>
      <c r="AH1019" s="1711"/>
      <c r="AI1019" s="50"/>
      <c r="AJ1019" s="1693">
        <f>ROUND(IF(AND(AG1019="Yes",J1023&lt;&gt;"N/A",AF1022&lt;&gt;""),MIN(AF1022,(0.15*AJ991)),0),0)</f>
        <v>0</v>
      </c>
      <c r="AK1019" s="1694"/>
      <c r="AL1019" s="1694"/>
      <c r="AM1019" s="1694"/>
      <c r="AN1019" s="1694"/>
      <c r="AO1019" s="1694"/>
      <c r="AP1019" s="1694"/>
      <c r="AQ1019" s="1695"/>
      <c r="AR1019" s="1057"/>
      <c r="AS1019" s="1057"/>
      <c r="AT1019" s="1057"/>
      <c r="AU1019" s="1057"/>
      <c r="AV1019" s="1057"/>
      <c r="AW1019" s="1057"/>
      <c r="AX1019" s="1057"/>
      <c r="AY1019" s="1071">
        <f>IF(A1098="Yes",0.02,0)</f>
        <v>0</v>
      </c>
    </row>
    <row r="1020" spans="1:51" ht="13" customHeight="1">
      <c r="A1020" s="12"/>
      <c r="B1020" s="1072"/>
      <c r="C1020" s="1073"/>
      <c r="D1020" s="1737"/>
      <c r="E1020" s="1738"/>
      <c r="F1020" s="1738"/>
      <c r="G1020" s="1738"/>
      <c r="H1020" s="1738"/>
      <c r="I1020" s="1738"/>
      <c r="J1020" s="1738"/>
      <c r="K1020" s="1738"/>
      <c r="L1020" s="1738"/>
      <c r="M1020" s="1738"/>
      <c r="N1020" s="1738"/>
      <c r="O1020" s="1738"/>
      <c r="P1020" s="1738"/>
      <c r="Q1020" s="1738"/>
      <c r="R1020" s="1738"/>
      <c r="S1020" s="1738"/>
      <c r="T1020" s="1738"/>
      <c r="U1020" s="1738"/>
      <c r="V1020" s="1738"/>
      <c r="W1020" s="1738"/>
      <c r="X1020" s="1738"/>
      <c r="Y1020" s="1738"/>
      <c r="Z1020" s="1738"/>
      <c r="AA1020" s="1738"/>
      <c r="AB1020" s="1738"/>
      <c r="AC1020" s="1738"/>
      <c r="AD1020" s="1738"/>
      <c r="AE1020" s="1739"/>
      <c r="AF1020" s="1757" t="str">
        <f>IF(AG1019="yes","Please Select Type and Enter Amount:","")</f>
        <v/>
      </c>
      <c r="AG1020" s="1758"/>
      <c r="AH1020" s="1758"/>
      <c r="AI1020" s="1759"/>
      <c r="AJ1020" s="1696"/>
      <c r="AK1020" s="1697"/>
      <c r="AL1020" s="1697"/>
      <c r="AM1020" s="1697"/>
      <c r="AN1020" s="1697"/>
      <c r="AO1020" s="1697"/>
      <c r="AP1020" s="1697"/>
      <c r="AQ1020" s="1698"/>
      <c r="AR1020" s="1057"/>
      <c r="AS1020" s="1057"/>
      <c r="AT1020" s="1057"/>
      <c r="AU1020" s="1057"/>
      <c r="AV1020" s="1057"/>
      <c r="AW1020" s="1057"/>
      <c r="AX1020" s="1057"/>
      <c r="AY1020" s="703">
        <f>IF(A1103="Yes",0.02,0)</f>
        <v>0</v>
      </c>
    </row>
    <row r="1021" spans="1:51" ht="13" customHeight="1">
      <c r="A1021" s="12"/>
      <c r="B1021" s="1072"/>
      <c r="C1021" s="1073"/>
      <c r="D1021" s="1690" t="s">
        <v>1759</v>
      </c>
      <c r="E1021" s="1691"/>
      <c r="F1021" s="1691"/>
      <c r="G1021" s="1691"/>
      <c r="H1021" s="1691"/>
      <c r="I1021" s="1691"/>
      <c r="J1021" s="1691"/>
      <c r="K1021" s="1691"/>
      <c r="L1021" s="1691"/>
      <c r="M1021" s="1691"/>
      <c r="N1021" s="1691"/>
      <c r="O1021" s="1691"/>
      <c r="P1021" s="1691"/>
      <c r="Q1021" s="1691"/>
      <c r="R1021" s="1691"/>
      <c r="S1021" s="1691"/>
      <c r="T1021" s="1691"/>
      <c r="U1021" s="1691"/>
      <c r="V1021" s="1691"/>
      <c r="W1021" s="1691"/>
      <c r="X1021" s="1691"/>
      <c r="Y1021" s="1691"/>
      <c r="Z1021" s="1691"/>
      <c r="AA1021" s="1691"/>
      <c r="AB1021" s="1691"/>
      <c r="AC1021" s="1691"/>
      <c r="AD1021" s="1691"/>
      <c r="AE1021" s="1692"/>
      <c r="AF1021" s="1757"/>
      <c r="AG1021" s="1758"/>
      <c r="AH1021" s="1758"/>
      <c r="AI1021" s="1759"/>
      <c r="AJ1021" s="1696"/>
      <c r="AK1021" s="1697"/>
      <c r="AL1021" s="1697"/>
      <c r="AM1021" s="1697"/>
      <c r="AN1021" s="1697"/>
      <c r="AO1021" s="1697"/>
      <c r="AP1021" s="1697"/>
      <c r="AQ1021" s="1698"/>
      <c r="AR1021" s="1057"/>
      <c r="AS1021" s="1057"/>
      <c r="AT1021" s="1057"/>
      <c r="AU1021" s="1057"/>
      <c r="AV1021" s="1057"/>
      <c r="AW1021" s="1057"/>
      <c r="AX1021" s="1057"/>
      <c r="AY1021" s="1057"/>
    </row>
    <row r="1022" spans="1:51" ht="13" customHeight="1">
      <c r="A1022" s="12"/>
      <c r="B1022" s="1072"/>
      <c r="C1022" s="1073"/>
      <c r="D1022" s="1690"/>
      <c r="E1022" s="1691"/>
      <c r="F1022" s="1691"/>
      <c r="G1022" s="1691"/>
      <c r="H1022" s="1691"/>
      <c r="I1022" s="1691"/>
      <c r="J1022" s="1691"/>
      <c r="K1022" s="1691"/>
      <c r="L1022" s="1691"/>
      <c r="M1022" s="1691"/>
      <c r="N1022" s="1691"/>
      <c r="O1022" s="1691"/>
      <c r="P1022" s="1691"/>
      <c r="Q1022" s="1691"/>
      <c r="R1022" s="1691"/>
      <c r="S1022" s="1691"/>
      <c r="T1022" s="1691"/>
      <c r="U1022" s="1691"/>
      <c r="V1022" s="1691"/>
      <c r="W1022" s="1691"/>
      <c r="X1022" s="1691"/>
      <c r="Y1022" s="1691"/>
      <c r="Z1022" s="1691"/>
      <c r="AA1022" s="1691"/>
      <c r="AB1022" s="1691"/>
      <c r="AC1022" s="1691"/>
      <c r="AD1022" s="1691"/>
      <c r="AE1022" s="1692"/>
      <c r="AF1022" s="1685"/>
      <c r="AG1022" s="1685"/>
      <c r="AH1022" s="1685"/>
      <c r="AI1022" s="1685"/>
      <c r="AJ1022" s="1696"/>
      <c r="AK1022" s="1697"/>
      <c r="AL1022" s="1697"/>
      <c r="AM1022" s="1697"/>
      <c r="AN1022" s="1697"/>
      <c r="AO1022" s="1697"/>
      <c r="AP1022" s="1697"/>
      <c r="AQ1022" s="1698"/>
      <c r="AR1022" s="1057"/>
      <c r="AS1022" s="1057"/>
      <c r="AT1022" s="1057"/>
      <c r="AU1022" s="1057"/>
      <c r="AV1022" s="1057"/>
      <c r="AW1022" s="1057"/>
      <c r="AX1022" s="1057"/>
      <c r="AY1022" s="1057" t="str">
        <f>"Select items beginning on row #"&amp;TEXT(ROW(A1060),"#")&amp;" to claim this boost"</f>
        <v>Select items beginning on row #1060 to claim this boost</v>
      </c>
    </row>
    <row r="1023" spans="1:51" ht="13" customHeight="1">
      <c r="A1023" s="12"/>
      <c r="B1023" s="1072"/>
      <c r="C1023" s="1073"/>
      <c r="D1023" s="395" t="s">
        <v>1760</v>
      </c>
      <c r="E1023" s="51"/>
      <c r="F1023" s="51"/>
      <c r="G1023" s="729"/>
      <c r="H1023" s="729"/>
      <c r="I1023" s="34"/>
      <c r="J1023" s="1749" t="s">
        <v>299</v>
      </c>
      <c r="K1023" s="1750"/>
      <c r="L1023" s="1750"/>
      <c r="M1023" s="1750"/>
      <c r="N1023" s="1750"/>
      <c r="O1023" s="1750"/>
      <c r="P1023" s="1750"/>
      <c r="Q1023" s="1750"/>
      <c r="R1023" s="1750"/>
      <c r="S1023" s="1750"/>
      <c r="T1023" s="1750"/>
      <c r="U1023" s="1750"/>
      <c r="V1023" s="1750"/>
      <c r="W1023" s="1750"/>
      <c r="X1023" s="1750"/>
      <c r="Y1023" s="1750"/>
      <c r="Z1023" s="1750"/>
      <c r="AA1023" s="1750"/>
      <c r="AB1023" s="1750"/>
      <c r="AC1023" s="1750"/>
      <c r="AD1023" s="1750"/>
      <c r="AE1023" s="1751"/>
      <c r="AF1023" s="1685"/>
      <c r="AG1023" s="1685"/>
      <c r="AH1023" s="1685"/>
      <c r="AI1023" s="1685"/>
      <c r="AJ1023" s="1699"/>
      <c r="AK1023" s="1700"/>
      <c r="AL1023" s="1700"/>
      <c r="AM1023" s="1700"/>
      <c r="AN1023" s="1700"/>
      <c r="AO1023" s="1700"/>
      <c r="AP1023" s="1700"/>
      <c r="AQ1023" s="1701"/>
      <c r="AR1023" s="1057"/>
      <c r="AS1023" s="1057"/>
      <c r="AT1023" s="1057"/>
      <c r="AU1023" s="1057"/>
      <c r="AV1023" s="1057"/>
      <c r="AW1023" s="1057"/>
      <c r="AX1023" s="1057"/>
      <c r="AY1023" s="1057"/>
    </row>
    <row r="1024" spans="1:51" ht="13" customHeight="1">
      <c r="A1024" s="12"/>
      <c r="B1024" s="47"/>
      <c r="C1024" s="231" t="s">
        <v>1761</v>
      </c>
      <c r="D1024" s="1673" t="s">
        <v>1762</v>
      </c>
      <c r="E1024" s="1674"/>
      <c r="F1024" s="1674"/>
      <c r="G1024" s="1674"/>
      <c r="H1024" s="1674"/>
      <c r="I1024" s="1674"/>
      <c r="J1024" s="1674"/>
      <c r="K1024" s="1674"/>
      <c r="L1024" s="1674"/>
      <c r="M1024" s="1674"/>
      <c r="N1024" s="1674"/>
      <c r="O1024" s="1674"/>
      <c r="P1024" s="1674"/>
      <c r="Q1024" s="1674"/>
      <c r="R1024" s="1674"/>
      <c r="S1024" s="1674"/>
      <c r="T1024" s="1674"/>
      <c r="U1024" s="1674"/>
      <c r="V1024" s="1674"/>
      <c r="W1024" s="1674"/>
      <c r="X1024" s="1674"/>
      <c r="Y1024" s="1674"/>
      <c r="Z1024" s="1674"/>
      <c r="AA1024" s="1674"/>
      <c r="AB1024" s="1674"/>
      <c r="AC1024" s="1674"/>
      <c r="AD1024" s="1674"/>
      <c r="AE1024" s="1675"/>
      <c r="AF1024" s="47"/>
      <c r="AG1024" s="1710" t="s">
        <v>837</v>
      </c>
      <c r="AH1024" s="1711"/>
      <c r="AI1024" s="50"/>
      <c r="AJ1024" s="1693">
        <f>ROUND(IF(AG1024="Yes",AF1026,0),0)</f>
        <v>2195085</v>
      </c>
      <c r="AK1024" s="1694"/>
      <c r="AL1024" s="1694"/>
      <c r="AM1024" s="1694"/>
      <c r="AN1024" s="1694"/>
      <c r="AO1024" s="1694"/>
      <c r="AP1024" s="1694"/>
      <c r="AQ1024" s="1695"/>
      <c r="AR1024" s="1057"/>
      <c r="AS1024" s="1057"/>
      <c r="AT1024" s="1057"/>
      <c r="AU1024" s="1057"/>
      <c r="AV1024" s="1057"/>
      <c r="AW1024" s="1057"/>
      <c r="AX1024" s="1057"/>
      <c r="AY1024" s="1057"/>
    </row>
    <row r="1025" spans="1:51" ht="13" customHeight="1">
      <c r="A1025" s="12"/>
      <c r="B1025" s="44"/>
      <c r="C1025" s="1068"/>
      <c r="D1025" s="1690" t="s">
        <v>1763</v>
      </c>
      <c r="E1025" s="1691"/>
      <c r="F1025" s="1691"/>
      <c r="G1025" s="1691"/>
      <c r="H1025" s="1691"/>
      <c r="I1025" s="1691"/>
      <c r="J1025" s="1691"/>
      <c r="K1025" s="1691"/>
      <c r="L1025" s="1691"/>
      <c r="M1025" s="1691"/>
      <c r="N1025" s="1691"/>
      <c r="O1025" s="1691"/>
      <c r="P1025" s="1691"/>
      <c r="Q1025" s="1691"/>
      <c r="R1025" s="1691"/>
      <c r="S1025" s="1691"/>
      <c r="T1025" s="1691"/>
      <c r="U1025" s="1691"/>
      <c r="V1025" s="1691"/>
      <c r="W1025" s="1691"/>
      <c r="X1025" s="1691"/>
      <c r="Y1025" s="1691"/>
      <c r="Z1025" s="1691"/>
      <c r="AA1025" s="1691"/>
      <c r="AB1025" s="1691"/>
      <c r="AC1025" s="1691"/>
      <c r="AD1025" s="1691"/>
      <c r="AE1025" s="1692"/>
      <c r="AF1025" s="1743" t="str">
        <f>IF(AG1024="yes","Enter Amount:","")</f>
        <v>Enter Amount:</v>
      </c>
      <c r="AG1025" s="1744"/>
      <c r="AH1025" s="1744"/>
      <c r="AI1025" s="1745"/>
      <c r="AJ1025" s="1696"/>
      <c r="AK1025" s="1697"/>
      <c r="AL1025" s="1697"/>
      <c r="AM1025" s="1697"/>
      <c r="AN1025" s="1697"/>
      <c r="AO1025" s="1697"/>
      <c r="AP1025" s="1697"/>
      <c r="AQ1025" s="1698"/>
      <c r="AR1025" s="1057"/>
      <c r="AS1025" s="1057"/>
      <c r="AT1025" s="1057"/>
      <c r="AU1025" s="1057"/>
      <c r="AV1025" s="1057"/>
      <c r="AW1025" s="1057"/>
      <c r="AX1025" s="1057"/>
      <c r="AY1025" s="1057"/>
    </row>
    <row r="1026" spans="1:51" ht="13" customHeight="1">
      <c r="A1026" s="12"/>
      <c r="B1026" s="44"/>
      <c r="C1026" s="1068"/>
      <c r="D1026" s="1690"/>
      <c r="E1026" s="1691"/>
      <c r="F1026" s="1691"/>
      <c r="G1026" s="1691"/>
      <c r="H1026" s="1691"/>
      <c r="I1026" s="1691"/>
      <c r="J1026" s="1691"/>
      <c r="K1026" s="1691"/>
      <c r="L1026" s="1691"/>
      <c r="M1026" s="1691"/>
      <c r="N1026" s="1691"/>
      <c r="O1026" s="1691"/>
      <c r="P1026" s="1691"/>
      <c r="Q1026" s="1691"/>
      <c r="R1026" s="1691"/>
      <c r="S1026" s="1691"/>
      <c r="T1026" s="1691"/>
      <c r="U1026" s="1691"/>
      <c r="V1026" s="1691"/>
      <c r="W1026" s="1691"/>
      <c r="X1026" s="1691"/>
      <c r="Y1026" s="1691"/>
      <c r="Z1026" s="1691"/>
      <c r="AA1026" s="1691"/>
      <c r="AB1026" s="1691"/>
      <c r="AC1026" s="1691"/>
      <c r="AD1026" s="1691"/>
      <c r="AE1026" s="1692"/>
      <c r="AF1026" s="1685">
        <f>'Sources and Uses Budget'!C85</f>
        <v>2195085</v>
      </c>
      <c r="AG1026" s="1685"/>
      <c r="AH1026" s="1685"/>
      <c r="AI1026" s="1685"/>
      <c r="AJ1026" s="1696"/>
      <c r="AK1026" s="1697"/>
      <c r="AL1026" s="1697"/>
      <c r="AM1026" s="1697"/>
      <c r="AN1026" s="1697"/>
      <c r="AO1026" s="1697"/>
      <c r="AP1026" s="1697"/>
      <c r="AQ1026" s="1698"/>
      <c r="AR1026" s="1057"/>
      <c r="AS1026" s="1057"/>
      <c r="AT1026" s="1057"/>
      <c r="AU1026" s="1057"/>
      <c r="AV1026" s="1057"/>
      <c r="AW1026" s="1057"/>
      <c r="AX1026" s="1057"/>
      <c r="AY1026" s="1057"/>
    </row>
    <row r="1027" spans="1:51" ht="13" customHeight="1">
      <c r="A1027" s="12"/>
      <c r="B1027" s="1069"/>
      <c r="C1027" s="1073"/>
      <c r="D1027" s="1682"/>
      <c r="E1027" s="1683"/>
      <c r="F1027" s="1683"/>
      <c r="G1027" s="1683"/>
      <c r="H1027" s="1683"/>
      <c r="I1027" s="1683"/>
      <c r="J1027" s="1683"/>
      <c r="K1027" s="1683"/>
      <c r="L1027" s="1683"/>
      <c r="M1027" s="1683"/>
      <c r="N1027" s="1683"/>
      <c r="O1027" s="1683"/>
      <c r="P1027" s="1683"/>
      <c r="Q1027" s="1683"/>
      <c r="R1027" s="1683"/>
      <c r="S1027" s="1683"/>
      <c r="T1027" s="1683"/>
      <c r="U1027" s="1683"/>
      <c r="V1027" s="1683"/>
      <c r="W1027" s="1683"/>
      <c r="X1027" s="1683"/>
      <c r="Y1027" s="1683"/>
      <c r="Z1027" s="1683"/>
      <c r="AA1027" s="1683"/>
      <c r="AB1027" s="1683"/>
      <c r="AC1027" s="1683"/>
      <c r="AD1027" s="1683"/>
      <c r="AE1027" s="1684"/>
      <c r="AF1027" s="1685"/>
      <c r="AG1027" s="1685"/>
      <c r="AH1027" s="1685"/>
      <c r="AI1027" s="1685"/>
      <c r="AJ1027" s="1699"/>
      <c r="AK1027" s="1700"/>
      <c r="AL1027" s="1700"/>
      <c r="AM1027" s="1700"/>
      <c r="AN1027" s="1700"/>
      <c r="AO1027" s="1700"/>
      <c r="AP1027" s="1700"/>
      <c r="AQ1027" s="1701"/>
      <c r="AR1027" s="1057"/>
      <c r="AS1027" s="1057"/>
      <c r="AT1027" s="1057"/>
      <c r="AU1027" s="1057"/>
      <c r="AV1027" s="1057"/>
      <c r="AW1027" s="1057"/>
      <c r="AX1027" s="1057"/>
      <c r="AY1027" s="1057"/>
    </row>
    <row r="1028" spans="1:51" ht="13" customHeight="1">
      <c r="A1028" s="12"/>
      <c r="B1028" s="47"/>
      <c r="C1028" s="231" t="s">
        <v>1764</v>
      </c>
      <c r="D1028" s="1719" t="s">
        <v>1765</v>
      </c>
      <c r="E1028" s="1720"/>
      <c r="F1028" s="1720"/>
      <c r="G1028" s="1720"/>
      <c r="H1028" s="1720"/>
      <c r="I1028" s="1720"/>
      <c r="J1028" s="1720"/>
      <c r="K1028" s="1720"/>
      <c r="L1028" s="1720"/>
      <c r="M1028" s="1720"/>
      <c r="N1028" s="1720"/>
      <c r="O1028" s="1720"/>
      <c r="P1028" s="1720"/>
      <c r="Q1028" s="1720"/>
      <c r="R1028" s="1720"/>
      <c r="S1028" s="1720"/>
      <c r="T1028" s="1720"/>
      <c r="U1028" s="1720"/>
      <c r="V1028" s="1720"/>
      <c r="W1028" s="1720"/>
      <c r="X1028" s="1720"/>
      <c r="Y1028" s="1720"/>
      <c r="Z1028" s="1720"/>
      <c r="AA1028" s="1720"/>
      <c r="AB1028" s="1720"/>
      <c r="AC1028" s="1720"/>
      <c r="AD1028" s="1720"/>
      <c r="AE1028" s="1721"/>
      <c r="AF1028" s="47"/>
      <c r="AG1028" s="1710" t="s">
        <v>837</v>
      </c>
      <c r="AH1028" s="1711"/>
      <c r="AI1028" s="50"/>
      <c r="AJ1028" s="1693">
        <f>ROUND(IF(AG1028="yes",(AJ991*0.1),0),0)</f>
        <v>4782620</v>
      </c>
      <c r="AK1028" s="1694"/>
      <c r="AL1028" s="1694"/>
      <c r="AM1028" s="1694"/>
      <c r="AN1028" s="1694"/>
      <c r="AO1028" s="1694"/>
      <c r="AP1028" s="1694"/>
      <c r="AQ1028" s="1695"/>
      <c r="AR1028" s="1057"/>
      <c r="AS1028" s="1057"/>
      <c r="AT1028" s="1057"/>
      <c r="AU1028" s="1057"/>
      <c r="AV1028" s="1057"/>
      <c r="AW1028" s="1057"/>
      <c r="AX1028" s="1057"/>
      <c r="AY1028" s="1057"/>
    </row>
    <row r="1029" spans="1:51" ht="13" customHeight="1">
      <c r="A1029" s="12"/>
      <c r="B1029" s="44"/>
      <c r="C1029" s="1068"/>
      <c r="D1029" s="1690" t="s">
        <v>1766</v>
      </c>
      <c r="E1029" s="1691"/>
      <c r="F1029" s="1691"/>
      <c r="G1029" s="1691"/>
      <c r="H1029" s="1691"/>
      <c r="I1029" s="1691"/>
      <c r="J1029" s="1691"/>
      <c r="K1029" s="1691"/>
      <c r="L1029" s="1691"/>
      <c r="M1029" s="1691"/>
      <c r="N1029" s="1691"/>
      <c r="O1029" s="1691"/>
      <c r="P1029" s="1691"/>
      <c r="Q1029" s="1691"/>
      <c r="R1029" s="1691"/>
      <c r="S1029" s="1691"/>
      <c r="T1029" s="1691"/>
      <c r="U1029" s="1691"/>
      <c r="V1029" s="1691"/>
      <c r="W1029" s="1691"/>
      <c r="X1029" s="1691"/>
      <c r="Y1029" s="1691"/>
      <c r="Z1029" s="1691"/>
      <c r="AA1029" s="1691"/>
      <c r="AB1029" s="1691"/>
      <c r="AC1029" s="1691"/>
      <c r="AD1029" s="1691"/>
      <c r="AE1029" s="1692"/>
      <c r="AF1029" s="44"/>
      <c r="AG1029" s="12"/>
      <c r="AH1029" s="12"/>
      <c r="AI1029" s="48"/>
      <c r="AJ1029" s="1696"/>
      <c r="AK1029" s="1697"/>
      <c r="AL1029" s="1697"/>
      <c r="AM1029" s="1697"/>
      <c r="AN1029" s="1697"/>
      <c r="AO1029" s="1697"/>
      <c r="AP1029" s="1697"/>
      <c r="AQ1029" s="1698"/>
      <c r="AR1029" s="1057"/>
      <c r="AS1029" s="1057"/>
      <c r="AT1029" s="1057"/>
      <c r="AU1029" s="1057"/>
      <c r="AV1029" s="1057"/>
      <c r="AW1029" s="1057"/>
      <c r="AX1029" s="1057"/>
      <c r="AY1029" s="1057"/>
    </row>
    <row r="1030" spans="1:51" ht="13" customHeight="1">
      <c r="A1030" s="12"/>
      <c r="B1030" s="45"/>
      <c r="C1030" s="1068"/>
      <c r="D1030" s="1682"/>
      <c r="E1030" s="1683"/>
      <c r="F1030" s="1683"/>
      <c r="G1030" s="1683"/>
      <c r="H1030" s="1683"/>
      <c r="I1030" s="1683"/>
      <c r="J1030" s="1683"/>
      <c r="K1030" s="1683"/>
      <c r="L1030" s="1683"/>
      <c r="M1030" s="1683"/>
      <c r="N1030" s="1683"/>
      <c r="O1030" s="1683"/>
      <c r="P1030" s="1683"/>
      <c r="Q1030" s="1683"/>
      <c r="R1030" s="1683"/>
      <c r="S1030" s="1683"/>
      <c r="T1030" s="1683"/>
      <c r="U1030" s="1683"/>
      <c r="V1030" s="1683"/>
      <c r="W1030" s="1683"/>
      <c r="X1030" s="1683"/>
      <c r="Y1030" s="1683"/>
      <c r="Z1030" s="1683"/>
      <c r="AA1030" s="1683"/>
      <c r="AB1030" s="1683"/>
      <c r="AC1030" s="1683"/>
      <c r="AD1030" s="1683"/>
      <c r="AE1030" s="1684"/>
      <c r="AF1030" s="44"/>
      <c r="AG1030" s="12"/>
      <c r="AH1030" s="12"/>
      <c r="AI1030" s="48"/>
      <c r="AJ1030" s="1699"/>
      <c r="AK1030" s="1700"/>
      <c r="AL1030" s="1700"/>
      <c r="AM1030" s="1700"/>
      <c r="AN1030" s="1700"/>
      <c r="AO1030" s="1700"/>
      <c r="AP1030" s="1700"/>
      <c r="AQ1030" s="1701"/>
      <c r="AR1030" s="1057"/>
      <c r="AS1030" s="1057"/>
      <c r="AT1030" s="1057"/>
      <c r="AU1030" s="1057"/>
      <c r="AV1030" s="1057"/>
      <c r="AW1030" s="1057"/>
      <c r="AX1030" s="1057"/>
      <c r="AY1030" s="1057"/>
    </row>
    <row r="1031" spans="1:51" ht="13" customHeight="1">
      <c r="A1031" s="12"/>
      <c r="B1031" s="44"/>
      <c r="C1031" s="231" t="s">
        <v>21</v>
      </c>
      <c r="D1031" s="1673" t="s">
        <v>1767</v>
      </c>
      <c r="E1031" s="1674"/>
      <c r="F1031" s="1674"/>
      <c r="G1031" s="1674"/>
      <c r="H1031" s="1674"/>
      <c r="I1031" s="1674"/>
      <c r="J1031" s="1674"/>
      <c r="K1031" s="1674"/>
      <c r="L1031" s="1674"/>
      <c r="M1031" s="1674"/>
      <c r="N1031" s="1674"/>
      <c r="O1031" s="1674"/>
      <c r="P1031" s="1674"/>
      <c r="Q1031" s="1674"/>
      <c r="R1031" s="1674"/>
      <c r="S1031" s="1674"/>
      <c r="T1031" s="1674"/>
      <c r="U1031" s="1674"/>
      <c r="V1031" s="1674"/>
      <c r="W1031" s="1674"/>
      <c r="X1031" s="1674"/>
      <c r="Y1031" s="1674"/>
      <c r="Z1031" s="1674"/>
      <c r="AA1031" s="1674"/>
      <c r="AB1031" s="1674"/>
      <c r="AC1031" s="1674"/>
      <c r="AD1031" s="1674"/>
      <c r="AE1031" s="1675"/>
      <c r="AF1031" s="47"/>
      <c r="AG1031" s="1710" t="s">
        <v>893</v>
      </c>
      <c r="AH1031" s="1711"/>
      <c r="AI1031" s="50"/>
      <c r="AJ1031" s="1693">
        <f>ROUND(IF(AG1031="yes",(AJ991*0.15),0),0)</f>
        <v>0</v>
      </c>
      <c r="AK1031" s="1694"/>
      <c r="AL1031" s="1694"/>
      <c r="AM1031" s="1694"/>
      <c r="AN1031" s="1694"/>
      <c r="AO1031" s="1694"/>
      <c r="AP1031" s="1694"/>
      <c r="AQ1031" s="1695"/>
      <c r="AR1031" s="1057"/>
      <c r="AS1031" s="1057"/>
      <c r="AT1031" s="1057"/>
      <c r="AU1031" s="1057"/>
      <c r="AV1031" s="1057"/>
      <c r="AW1031" s="1057"/>
      <c r="AX1031" s="1057"/>
      <c r="AY1031" s="1057"/>
    </row>
    <row r="1032" spans="1:51" ht="13" customHeight="1">
      <c r="A1032" s="12"/>
      <c r="B1032" s="44"/>
      <c r="C1032" s="1068"/>
      <c r="D1032" s="1712" t="s">
        <v>1768</v>
      </c>
      <c r="E1032" s="1227"/>
      <c r="F1032" s="1227"/>
      <c r="G1032" s="1227"/>
      <c r="H1032" s="1227"/>
      <c r="I1032" s="1227"/>
      <c r="J1032" s="1227"/>
      <c r="K1032" s="1227"/>
      <c r="L1032" s="1227"/>
      <c r="M1032" s="1227"/>
      <c r="N1032" s="1227"/>
      <c r="O1032" s="1227"/>
      <c r="P1032" s="1227"/>
      <c r="Q1032" s="1227"/>
      <c r="R1032" s="1227"/>
      <c r="S1032" s="1227"/>
      <c r="T1032" s="1227"/>
      <c r="U1032" s="1227"/>
      <c r="V1032" s="1227"/>
      <c r="W1032" s="1227"/>
      <c r="X1032" s="1227"/>
      <c r="Y1032" s="1227"/>
      <c r="Z1032" s="1227"/>
      <c r="AA1032" s="1227"/>
      <c r="AB1032" s="1227"/>
      <c r="AC1032" s="1227"/>
      <c r="AD1032" s="1227"/>
      <c r="AE1032" s="1713"/>
      <c r="AF1032" s="742"/>
      <c r="AG1032" s="743"/>
      <c r="AH1032" s="743"/>
      <c r="AI1032" s="744"/>
      <c r="AJ1032" s="1696"/>
      <c r="AK1032" s="1697"/>
      <c r="AL1032" s="1697"/>
      <c r="AM1032" s="1697"/>
      <c r="AN1032" s="1697"/>
      <c r="AO1032" s="1697"/>
      <c r="AP1032" s="1697"/>
      <c r="AQ1032" s="1698"/>
      <c r="AR1032" s="1057"/>
      <c r="AS1032" s="1057"/>
      <c r="AT1032" s="1057"/>
      <c r="AU1032" s="1057"/>
      <c r="AV1032" s="1057"/>
      <c r="AW1032" s="1057"/>
      <c r="AX1032" s="1057"/>
      <c r="AY1032" s="1057"/>
    </row>
    <row r="1033" spans="1:51" ht="13" customHeight="1">
      <c r="A1033" s="12"/>
      <c r="B1033" s="44"/>
      <c r="C1033" s="1068"/>
      <c r="D1033" s="1712"/>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713"/>
      <c r="AF1033" s="742"/>
      <c r="AG1033" s="743"/>
      <c r="AH1033" s="743"/>
      <c r="AI1033" s="744"/>
      <c r="AJ1033" s="1696"/>
      <c r="AK1033" s="1697"/>
      <c r="AL1033" s="1697"/>
      <c r="AM1033" s="1697"/>
      <c r="AN1033" s="1697"/>
      <c r="AO1033" s="1697"/>
      <c r="AP1033" s="1697"/>
      <c r="AQ1033" s="1698"/>
      <c r="AR1033" s="1057"/>
      <c r="AS1033" s="1057"/>
      <c r="AT1033" s="1057"/>
      <c r="AU1033" s="1057"/>
      <c r="AV1033" s="1057"/>
      <c r="AW1033" s="1057"/>
      <c r="AX1033" s="1057"/>
      <c r="AY1033" s="1057"/>
    </row>
    <row r="1034" spans="1:51" ht="13" customHeight="1">
      <c r="A1034" s="12"/>
      <c r="B1034" s="44"/>
      <c r="C1034" s="1068"/>
      <c r="D1034" s="1714"/>
      <c r="E1034" s="1520"/>
      <c r="F1034" s="1520"/>
      <c r="G1034" s="1520"/>
      <c r="H1034" s="1520"/>
      <c r="I1034" s="1520"/>
      <c r="J1034" s="1520"/>
      <c r="K1034" s="1520"/>
      <c r="L1034" s="1520"/>
      <c r="M1034" s="1520"/>
      <c r="N1034" s="1520"/>
      <c r="O1034" s="1520"/>
      <c r="P1034" s="1520"/>
      <c r="Q1034" s="1520"/>
      <c r="R1034" s="1520"/>
      <c r="S1034" s="1520"/>
      <c r="T1034" s="1520"/>
      <c r="U1034" s="1520"/>
      <c r="V1034" s="1520"/>
      <c r="W1034" s="1520"/>
      <c r="X1034" s="1520"/>
      <c r="Y1034" s="1520"/>
      <c r="Z1034" s="1520"/>
      <c r="AA1034" s="1520"/>
      <c r="AB1034" s="1520"/>
      <c r="AC1034" s="1520"/>
      <c r="AD1034" s="1520"/>
      <c r="AE1034" s="1715"/>
      <c r="AF1034" s="745"/>
      <c r="AG1034" s="746"/>
      <c r="AH1034" s="746"/>
      <c r="AI1034" s="747"/>
      <c r="AJ1034" s="1699"/>
      <c r="AK1034" s="1700"/>
      <c r="AL1034" s="1700"/>
      <c r="AM1034" s="1700"/>
      <c r="AN1034" s="1700"/>
      <c r="AO1034" s="1700"/>
      <c r="AP1034" s="1700"/>
      <c r="AQ1034" s="1701"/>
      <c r="AR1034" s="1057"/>
      <c r="AS1034" s="1057"/>
      <c r="AT1034" s="1057"/>
      <c r="AU1034" s="1057"/>
      <c r="AV1034" s="1057"/>
      <c r="AW1034" s="1057"/>
      <c r="AX1034" s="1057"/>
      <c r="AY1034" s="1057"/>
    </row>
    <row r="1035" spans="1:51" ht="13" customHeight="1">
      <c r="A1035" s="12"/>
      <c r="B1035" s="44"/>
      <c r="C1035" s="231" t="s">
        <v>21</v>
      </c>
      <c r="D1035" s="1719" t="s">
        <v>1769</v>
      </c>
      <c r="E1035" s="1720"/>
      <c r="F1035" s="1720"/>
      <c r="G1035" s="1720"/>
      <c r="H1035" s="1720"/>
      <c r="I1035" s="1720"/>
      <c r="J1035" s="1720"/>
      <c r="K1035" s="1720"/>
      <c r="L1035" s="1720"/>
      <c r="M1035" s="1720"/>
      <c r="N1035" s="1720"/>
      <c r="O1035" s="1720"/>
      <c r="P1035" s="1720"/>
      <c r="Q1035" s="1720"/>
      <c r="R1035" s="1720"/>
      <c r="S1035" s="1720"/>
      <c r="T1035" s="1720"/>
      <c r="U1035" s="1720"/>
      <c r="V1035" s="1720"/>
      <c r="W1035" s="1720"/>
      <c r="X1035" s="1720"/>
      <c r="Y1035" s="1720"/>
      <c r="Z1035" s="1720"/>
      <c r="AA1035" s="1720"/>
      <c r="AB1035" s="1720"/>
      <c r="AC1035" s="1720"/>
      <c r="AD1035" s="1720"/>
      <c r="AE1035" s="1721"/>
      <c r="AF1035" s="44"/>
      <c r="AG1035" s="1671" t="s">
        <v>893</v>
      </c>
      <c r="AH1035" s="1672"/>
      <c r="AI1035" s="48"/>
      <c r="AJ1035" s="1693">
        <f>ROUND(IF(AND(AG1035="yes",AJ1031=0),(AJ991*0.1),0),0)</f>
        <v>0</v>
      </c>
      <c r="AK1035" s="1694"/>
      <c r="AL1035" s="1694"/>
      <c r="AM1035" s="1694"/>
      <c r="AN1035" s="1694"/>
      <c r="AO1035" s="1694"/>
      <c r="AP1035" s="1694"/>
      <c r="AQ1035" s="1695"/>
      <c r="AR1035" s="1057"/>
      <c r="AS1035" s="1057"/>
      <c r="AT1035" s="1057"/>
      <c r="AU1035" s="1057"/>
      <c r="AV1035" s="1057"/>
      <c r="AW1035" s="1057"/>
      <c r="AX1035" s="1057"/>
      <c r="AY1035" s="1057"/>
    </row>
    <row r="1036" spans="1:51" ht="13" customHeight="1">
      <c r="A1036" s="12"/>
      <c r="B1036" s="44"/>
      <c r="C1036" s="1068"/>
      <c r="D1036" s="1712" t="s">
        <v>1770</v>
      </c>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713"/>
      <c r="AF1036" s="44"/>
      <c r="AG1036" s="12"/>
      <c r="AH1036" s="12"/>
      <c r="AI1036" s="48"/>
      <c r="AJ1036" s="1696"/>
      <c r="AK1036" s="1697"/>
      <c r="AL1036" s="1697"/>
      <c r="AM1036" s="1697"/>
      <c r="AN1036" s="1697"/>
      <c r="AO1036" s="1697"/>
      <c r="AP1036" s="1697"/>
      <c r="AQ1036" s="1698"/>
      <c r="AR1036" s="1057"/>
      <c r="AS1036" s="1057"/>
      <c r="AT1036" s="1057"/>
      <c r="AU1036" s="1057"/>
      <c r="AV1036" s="1057"/>
      <c r="AW1036" s="1057"/>
      <c r="AX1036" s="1057"/>
      <c r="AY1036" s="1057"/>
    </row>
    <row r="1037" spans="1:51" ht="13" customHeight="1">
      <c r="A1037" s="12"/>
      <c r="B1037" s="44"/>
      <c r="C1037" s="1068"/>
      <c r="D1037" s="1712"/>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713"/>
      <c r="AF1037" s="44"/>
      <c r="AG1037" s="12"/>
      <c r="AH1037" s="12"/>
      <c r="AI1037" s="48"/>
      <c r="AJ1037" s="1696"/>
      <c r="AK1037" s="1697"/>
      <c r="AL1037" s="1697"/>
      <c r="AM1037" s="1697"/>
      <c r="AN1037" s="1697"/>
      <c r="AO1037" s="1697"/>
      <c r="AP1037" s="1697"/>
      <c r="AQ1037" s="1698"/>
      <c r="AR1037" s="1057"/>
      <c r="AS1037" s="1057"/>
      <c r="AT1037" s="1057"/>
      <c r="AU1037" s="1057"/>
      <c r="AV1037" s="1057"/>
      <c r="AW1037" s="1057"/>
      <c r="AX1037" s="1057"/>
      <c r="AY1037" s="1057"/>
    </row>
    <row r="1038" spans="1:51" ht="13" customHeight="1">
      <c r="A1038" s="12"/>
      <c r="B1038" s="44"/>
      <c r="C1038" s="1068"/>
      <c r="D1038" s="1712"/>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713"/>
      <c r="AF1038" s="44"/>
      <c r="AG1038" s="12"/>
      <c r="AH1038" s="12"/>
      <c r="AI1038" s="48"/>
      <c r="AJ1038" s="1696"/>
      <c r="AK1038" s="1697"/>
      <c r="AL1038" s="1697"/>
      <c r="AM1038" s="1697"/>
      <c r="AN1038" s="1697"/>
      <c r="AO1038" s="1697"/>
      <c r="AP1038" s="1697"/>
      <c r="AQ1038" s="1698"/>
      <c r="AR1038" s="1057"/>
      <c r="AS1038" s="1057"/>
      <c r="AT1038" s="1057"/>
      <c r="AU1038" s="1057"/>
      <c r="AV1038" s="1057"/>
      <c r="AW1038" s="1057"/>
      <c r="AX1038" s="1057"/>
      <c r="AY1038" s="1057"/>
    </row>
    <row r="1039" spans="1:51" ht="13" customHeight="1">
      <c r="A1039" s="12"/>
      <c r="B1039" s="44"/>
      <c r="C1039" s="1068"/>
      <c r="D1039" s="1714"/>
      <c r="E1039" s="1520"/>
      <c r="F1039" s="1520"/>
      <c r="G1039" s="1520"/>
      <c r="H1039" s="1520"/>
      <c r="I1039" s="1520"/>
      <c r="J1039" s="1520"/>
      <c r="K1039" s="1520"/>
      <c r="L1039" s="1520"/>
      <c r="M1039" s="1520"/>
      <c r="N1039" s="1520"/>
      <c r="O1039" s="1520"/>
      <c r="P1039" s="1520"/>
      <c r="Q1039" s="1520"/>
      <c r="R1039" s="1520"/>
      <c r="S1039" s="1520"/>
      <c r="T1039" s="1520"/>
      <c r="U1039" s="1520"/>
      <c r="V1039" s="1520"/>
      <c r="W1039" s="1520"/>
      <c r="X1039" s="1520"/>
      <c r="Y1039" s="1520"/>
      <c r="Z1039" s="1520"/>
      <c r="AA1039" s="1520"/>
      <c r="AB1039" s="1520"/>
      <c r="AC1039" s="1520"/>
      <c r="AD1039" s="1520"/>
      <c r="AE1039" s="1715"/>
      <c r="AF1039" s="44"/>
      <c r="AG1039" s="12"/>
      <c r="AH1039" s="12"/>
      <c r="AI1039" s="48"/>
      <c r="AJ1039" s="1696"/>
      <c r="AK1039" s="1697"/>
      <c r="AL1039" s="1697"/>
      <c r="AM1039" s="1697"/>
      <c r="AN1039" s="1697"/>
      <c r="AO1039" s="1697"/>
      <c r="AP1039" s="1697"/>
      <c r="AQ1039" s="1698"/>
      <c r="AR1039" s="1057"/>
      <c r="AS1039" s="1057"/>
      <c r="AT1039" s="1057"/>
      <c r="AU1039" s="1057"/>
      <c r="AV1039" s="1057"/>
      <c r="AW1039" s="1057"/>
      <c r="AX1039" s="1057"/>
      <c r="AY1039" s="1057"/>
    </row>
    <row r="1040" spans="1:51" ht="13" customHeight="1">
      <c r="A1040" s="12"/>
      <c r="B1040" s="47"/>
      <c r="C1040" s="1165" t="s">
        <v>1771</v>
      </c>
      <c r="D1040" s="1673" t="s">
        <v>1772</v>
      </c>
      <c r="E1040" s="1674"/>
      <c r="F1040" s="1674"/>
      <c r="G1040" s="1674"/>
      <c r="H1040" s="1674"/>
      <c r="I1040" s="1674"/>
      <c r="J1040" s="1674"/>
      <c r="K1040" s="1674"/>
      <c r="L1040" s="1674"/>
      <c r="M1040" s="1674"/>
      <c r="N1040" s="1674"/>
      <c r="O1040" s="1674"/>
      <c r="P1040" s="1674"/>
      <c r="Q1040" s="1674"/>
      <c r="R1040" s="1674"/>
      <c r="S1040" s="1674"/>
      <c r="T1040" s="1674"/>
      <c r="U1040" s="1674"/>
      <c r="V1040" s="1674"/>
      <c r="W1040" s="1674"/>
      <c r="X1040" s="1674"/>
      <c r="Y1040" s="1674"/>
      <c r="Z1040" s="1674"/>
      <c r="AA1040" s="1674"/>
      <c r="AB1040" s="1674"/>
      <c r="AC1040" s="1674"/>
      <c r="AD1040" s="1674"/>
      <c r="AE1040" s="1675"/>
      <c r="AF1040" s="47"/>
      <c r="AG1040" s="1710" t="s">
        <v>893</v>
      </c>
      <c r="AH1040" s="1711"/>
      <c r="AI1040" s="50"/>
      <c r="AJ1040" s="1693">
        <f>ROUND(IF(AG1040="yes",(AJ991*0.1),0),0)</f>
        <v>0</v>
      </c>
      <c r="AK1040" s="1694"/>
      <c r="AL1040" s="1694"/>
      <c r="AM1040" s="1694"/>
      <c r="AN1040" s="1694"/>
      <c r="AO1040" s="1694"/>
      <c r="AP1040" s="1694"/>
      <c r="AQ1040" s="1695"/>
      <c r="AR1040" s="1057"/>
      <c r="AS1040" s="1057"/>
      <c r="AT1040" s="1057"/>
      <c r="AU1040" s="1057"/>
      <c r="AV1040" s="1057"/>
      <c r="AW1040" s="1057"/>
      <c r="AX1040" s="1057"/>
      <c r="AY1040" s="1057"/>
    </row>
    <row r="1041" spans="1:51" ht="13" customHeight="1">
      <c r="A1041" s="12"/>
      <c r="B1041" s="44"/>
      <c r="C1041" s="1068"/>
      <c r="D1041" s="1690" t="s">
        <v>1773</v>
      </c>
      <c r="E1041" s="1691"/>
      <c r="F1041" s="1691"/>
      <c r="G1041" s="1691"/>
      <c r="H1041" s="1691"/>
      <c r="I1041" s="1691"/>
      <c r="J1041" s="1691"/>
      <c r="K1041" s="1691"/>
      <c r="L1041" s="1691"/>
      <c r="M1041" s="1691"/>
      <c r="N1041" s="1691"/>
      <c r="O1041" s="1691"/>
      <c r="P1041" s="1691"/>
      <c r="Q1041" s="1691"/>
      <c r="R1041" s="1691"/>
      <c r="S1041" s="1691"/>
      <c r="T1041" s="1691"/>
      <c r="U1041" s="1691"/>
      <c r="V1041" s="1691"/>
      <c r="W1041" s="1691"/>
      <c r="X1041" s="1691"/>
      <c r="Y1041" s="1691"/>
      <c r="Z1041" s="1691"/>
      <c r="AA1041" s="1691"/>
      <c r="AB1041" s="1691"/>
      <c r="AC1041" s="1691"/>
      <c r="AD1041" s="1691"/>
      <c r="AE1041" s="1692"/>
      <c r="AF1041" s="44"/>
      <c r="AG1041" s="12"/>
      <c r="AH1041" s="12"/>
      <c r="AI1041" s="48"/>
      <c r="AJ1041" s="1696"/>
      <c r="AK1041" s="1697"/>
      <c r="AL1041" s="1697"/>
      <c r="AM1041" s="1697"/>
      <c r="AN1041" s="1697"/>
      <c r="AO1041" s="1697"/>
      <c r="AP1041" s="1697"/>
      <c r="AQ1041" s="1698"/>
      <c r="AR1041" s="1057"/>
      <c r="AS1041" s="1057"/>
      <c r="AT1041" s="1057"/>
      <c r="AU1041" s="1057"/>
      <c r="AV1041" s="1057"/>
      <c r="AW1041" s="1057"/>
      <c r="AX1041" s="1057"/>
      <c r="AY1041" s="1057"/>
    </row>
    <row r="1042" spans="1:51" ht="13" customHeight="1">
      <c r="A1042" s="12"/>
      <c r="B1042" s="44"/>
      <c r="C1042" s="1068"/>
      <c r="D1042" s="1690"/>
      <c r="E1042" s="1691"/>
      <c r="F1042" s="1691"/>
      <c r="G1042" s="1691"/>
      <c r="H1042" s="1691"/>
      <c r="I1042" s="1691"/>
      <c r="J1042" s="1691"/>
      <c r="K1042" s="1691"/>
      <c r="L1042" s="1691"/>
      <c r="M1042" s="1691"/>
      <c r="N1042" s="1691"/>
      <c r="O1042" s="1691"/>
      <c r="P1042" s="1691"/>
      <c r="Q1042" s="1691"/>
      <c r="R1042" s="1691"/>
      <c r="S1042" s="1691"/>
      <c r="T1042" s="1691"/>
      <c r="U1042" s="1691"/>
      <c r="V1042" s="1691"/>
      <c r="W1042" s="1691"/>
      <c r="X1042" s="1691"/>
      <c r="Y1042" s="1691"/>
      <c r="Z1042" s="1691"/>
      <c r="AA1042" s="1691"/>
      <c r="AB1042" s="1691"/>
      <c r="AC1042" s="1691"/>
      <c r="AD1042" s="1691"/>
      <c r="AE1042" s="1692"/>
      <c r="AF1042" s="44"/>
      <c r="AG1042" s="12"/>
      <c r="AH1042" s="12"/>
      <c r="AI1042" s="48"/>
      <c r="AJ1042" s="1696"/>
      <c r="AK1042" s="1697"/>
      <c r="AL1042" s="1697"/>
      <c r="AM1042" s="1697"/>
      <c r="AN1042" s="1697"/>
      <c r="AO1042" s="1697"/>
      <c r="AP1042" s="1697"/>
      <c r="AQ1042" s="1698"/>
      <c r="AR1042" s="1057"/>
      <c r="AS1042" s="1057"/>
      <c r="AT1042" s="1057"/>
      <c r="AU1042" s="1057"/>
      <c r="AV1042" s="1057"/>
      <c r="AW1042" s="1057"/>
      <c r="AX1042" s="1057"/>
      <c r="AY1042" s="1057"/>
    </row>
    <row r="1043" spans="1:51" ht="13" customHeight="1">
      <c r="A1043" s="12"/>
      <c r="B1043" s="44"/>
      <c r="C1043" s="1068"/>
      <c r="D1043" s="1682"/>
      <c r="E1043" s="1683"/>
      <c r="F1043" s="1683"/>
      <c r="G1043" s="1683"/>
      <c r="H1043" s="1683"/>
      <c r="I1043" s="1683"/>
      <c r="J1043" s="1683"/>
      <c r="K1043" s="1683"/>
      <c r="L1043" s="1683"/>
      <c r="M1043" s="1683"/>
      <c r="N1043" s="1683"/>
      <c r="O1043" s="1683"/>
      <c r="P1043" s="1683"/>
      <c r="Q1043" s="1683"/>
      <c r="R1043" s="1683"/>
      <c r="S1043" s="1683"/>
      <c r="T1043" s="1683"/>
      <c r="U1043" s="1683"/>
      <c r="V1043" s="1683"/>
      <c r="W1043" s="1683"/>
      <c r="X1043" s="1683"/>
      <c r="Y1043" s="1683"/>
      <c r="Z1043" s="1683"/>
      <c r="AA1043" s="1683"/>
      <c r="AB1043" s="1683"/>
      <c r="AC1043" s="1683"/>
      <c r="AD1043" s="1683"/>
      <c r="AE1043" s="1684"/>
      <c r="AF1043" s="44"/>
      <c r="AG1043" s="12"/>
      <c r="AH1043" s="12"/>
      <c r="AI1043" s="48"/>
      <c r="AJ1043" s="1699"/>
      <c r="AK1043" s="1700"/>
      <c r="AL1043" s="1700"/>
      <c r="AM1043" s="1700"/>
      <c r="AN1043" s="1700"/>
      <c r="AO1043" s="1700"/>
      <c r="AP1043" s="1700"/>
      <c r="AQ1043" s="1701"/>
      <c r="AR1043" s="1057"/>
      <c r="AS1043" s="1057"/>
      <c r="AT1043" s="1057"/>
      <c r="AU1043" s="1057"/>
      <c r="AV1043" s="1057"/>
      <c r="AW1043" s="1057"/>
      <c r="AX1043" s="1057"/>
      <c r="AY1043" s="1057"/>
    </row>
    <row r="1044" spans="1:51" ht="13" customHeight="1">
      <c r="A1044" s="12"/>
      <c r="B1044" s="47"/>
      <c r="C1044" s="1165" t="s">
        <v>1774</v>
      </c>
      <c r="D1044" s="1719" t="s">
        <v>1775</v>
      </c>
      <c r="E1044" s="1720"/>
      <c r="F1044" s="1720"/>
      <c r="G1044" s="1720"/>
      <c r="H1044" s="1720"/>
      <c r="I1044" s="1720"/>
      <c r="J1044" s="1720"/>
      <c r="K1044" s="1720"/>
      <c r="L1044" s="1720"/>
      <c r="M1044" s="1720"/>
      <c r="N1044" s="1720"/>
      <c r="O1044" s="1720"/>
      <c r="P1044" s="1720"/>
      <c r="Q1044" s="1720"/>
      <c r="R1044" s="1720"/>
      <c r="S1044" s="1720"/>
      <c r="T1044" s="1720"/>
      <c r="U1044" s="1720"/>
      <c r="V1044" s="1720"/>
      <c r="W1044" s="1720"/>
      <c r="X1044" s="1720"/>
      <c r="Y1044" s="1720"/>
      <c r="Z1044" s="1720"/>
      <c r="AA1044" s="1720"/>
      <c r="AB1044" s="1720"/>
      <c r="AC1044" s="1720"/>
      <c r="AD1044" s="1720"/>
      <c r="AE1044" s="1721"/>
      <c r="AF1044" s="47"/>
      <c r="AG1044" s="1722" t="str">
        <f>IF(X1047&gt;0,"Yes","No")</f>
        <v>Yes</v>
      </c>
      <c r="AH1044" s="1723"/>
      <c r="AI1044" s="50"/>
      <c r="AJ1044" s="1693">
        <f>IF((X1047=0),0,AY1004*AJ991)</f>
        <v>25826148</v>
      </c>
      <c r="AK1044" s="1694"/>
      <c r="AL1044" s="1694"/>
      <c r="AM1044" s="1694"/>
      <c r="AN1044" s="1694"/>
      <c r="AO1044" s="1694"/>
      <c r="AP1044" s="1694"/>
      <c r="AQ1044" s="1695"/>
      <c r="AR1044" s="1057"/>
      <c r="AS1044" s="1057"/>
      <c r="AT1044" s="1057"/>
      <c r="AU1044" s="1057"/>
      <c r="AV1044" s="1057"/>
      <c r="AW1044" s="1057"/>
      <c r="AX1044" s="1057"/>
      <c r="AY1044" s="1057"/>
    </row>
    <row r="1045" spans="1:51" ht="13" customHeight="1">
      <c r="A1045" s="12"/>
      <c r="B1045" s="44"/>
      <c r="C1045" s="328"/>
      <c r="D1045" s="1690" t="s">
        <v>1776</v>
      </c>
      <c r="E1045" s="1691"/>
      <c r="F1045" s="1691"/>
      <c r="G1045" s="1691"/>
      <c r="H1045" s="1691"/>
      <c r="I1045" s="1691"/>
      <c r="J1045" s="1691"/>
      <c r="K1045" s="1691"/>
      <c r="L1045" s="1691"/>
      <c r="M1045" s="1691"/>
      <c r="N1045" s="1691"/>
      <c r="O1045" s="1691"/>
      <c r="P1045" s="1691"/>
      <c r="Q1045" s="1691"/>
      <c r="R1045" s="1691"/>
      <c r="S1045" s="1691"/>
      <c r="T1045" s="1691"/>
      <c r="U1045" s="1691"/>
      <c r="V1045" s="1691"/>
      <c r="W1045" s="1691"/>
      <c r="X1045" s="1691"/>
      <c r="Y1045" s="1691"/>
      <c r="Z1045" s="1691"/>
      <c r="AA1045" s="1691"/>
      <c r="AB1045" s="1691"/>
      <c r="AC1045" s="1691"/>
      <c r="AD1045" s="1691"/>
      <c r="AE1045" s="1692"/>
      <c r="AF1045" s="44"/>
      <c r="AG1045" s="1074"/>
      <c r="AH1045" s="1074"/>
      <c r="AI1045" s="48"/>
      <c r="AJ1045" s="1696"/>
      <c r="AK1045" s="1697"/>
      <c r="AL1045" s="1697"/>
      <c r="AM1045" s="1697"/>
      <c r="AN1045" s="1697"/>
      <c r="AO1045" s="1697"/>
      <c r="AP1045" s="1697"/>
      <c r="AQ1045" s="1698"/>
      <c r="AR1045" s="1057"/>
      <c r="AS1045" s="1057"/>
      <c r="AT1045" s="1057"/>
      <c r="AU1045" s="1118"/>
      <c r="AV1045" s="1057"/>
      <c r="AW1045" s="1057"/>
      <c r="AX1045" s="1057"/>
      <c r="AY1045" s="1057"/>
    </row>
    <row r="1046" spans="1:51" ht="13" customHeight="1">
      <c r="A1046" s="12"/>
      <c r="B1046" s="44"/>
      <c r="C1046" s="328"/>
      <c r="D1046" s="1690"/>
      <c r="E1046" s="1691"/>
      <c r="F1046" s="1691"/>
      <c r="G1046" s="1691"/>
      <c r="H1046" s="1691"/>
      <c r="I1046" s="1691"/>
      <c r="J1046" s="1691"/>
      <c r="K1046" s="1691"/>
      <c r="L1046" s="1691"/>
      <c r="M1046" s="1691"/>
      <c r="N1046" s="1691"/>
      <c r="O1046" s="1691"/>
      <c r="P1046" s="1691"/>
      <c r="Q1046" s="1691"/>
      <c r="R1046" s="1691"/>
      <c r="S1046" s="1691"/>
      <c r="T1046" s="1691"/>
      <c r="U1046" s="1691"/>
      <c r="V1046" s="1691"/>
      <c r="W1046" s="1691"/>
      <c r="X1046" s="1691"/>
      <c r="Y1046" s="1691"/>
      <c r="Z1046" s="1691"/>
      <c r="AA1046" s="1691"/>
      <c r="AB1046" s="1691"/>
      <c r="AC1046" s="1691"/>
      <c r="AD1046" s="1691"/>
      <c r="AE1046" s="1692"/>
      <c r="AF1046" s="44"/>
      <c r="AG1046" s="1074"/>
      <c r="AH1046" s="1074"/>
      <c r="AI1046" s="48"/>
      <c r="AJ1046" s="1696"/>
      <c r="AK1046" s="1697"/>
      <c r="AL1046" s="1697"/>
      <c r="AM1046" s="1697"/>
      <c r="AN1046" s="1697"/>
      <c r="AO1046" s="1697"/>
      <c r="AP1046" s="1697"/>
      <c r="AQ1046" s="1698"/>
      <c r="AR1046" s="1057"/>
      <c r="AS1046" s="1057"/>
      <c r="AT1046" s="1057"/>
      <c r="AU1046" s="1118"/>
      <c r="AV1046" s="1057"/>
      <c r="AW1046" s="1057"/>
      <c r="AX1046" s="1057"/>
      <c r="AY1046" s="1057"/>
    </row>
    <row r="1047" spans="1:51" ht="13" customHeight="1">
      <c r="A1047" s="12"/>
      <c r="B1047" s="45"/>
      <c r="C1047" s="46"/>
      <c r="D1047" s="76" t="s">
        <v>1777</v>
      </c>
      <c r="E1047" s="6"/>
      <c r="F1047" s="6"/>
      <c r="G1047" s="6"/>
      <c r="H1047" s="6"/>
      <c r="I1047" s="1732">
        <f>AY1002</f>
        <v>64</v>
      </c>
      <c r="J1047" s="1733"/>
      <c r="K1047" s="6"/>
      <c r="L1047" s="6"/>
      <c r="M1047" s="6"/>
      <c r="N1047" s="6"/>
      <c r="O1047" s="6"/>
      <c r="P1047" s="6"/>
      <c r="Q1047" s="6"/>
      <c r="R1047" s="6"/>
      <c r="S1047" s="6"/>
      <c r="T1047" s="6"/>
      <c r="U1047" s="6"/>
      <c r="V1047" s="77" t="s">
        <v>1778</v>
      </c>
      <c r="W1047" s="33"/>
      <c r="X1047" s="1722">
        <f>BG632</f>
        <v>35</v>
      </c>
      <c r="Y1047" s="1723"/>
      <c r="Z1047" s="33"/>
      <c r="AA1047" s="33"/>
      <c r="AB1047" s="33"/>
      <c r="AC1047" s="33"/>
      <c r="AD1047" s="33"/>
      <c r="AE1047" s="34"/>
      <c r="AF1047" s="751"/>
      <c r="AG1047" s="752"/>
      <c r="AH1047" s="752"/>
      <c r="AI1047" s="753"/>
      <c r="AJ1047" s="1699"/>
      <c r="AK1047" s="1700"/>
      <c r="AL1047" s="1700"/>
      <c r="AM1047" s="1700"/>
      <c r="AN1047" s="1700"/>
      <c r="AO1047" s="1700"/>
      <c r="AP1047" s="1700"/>
      <c r="AQ1047" s="1701"/>
      <c r="AR1047" s="1057"/>
      <c r="AS1047" s="1057"/>
      <c r="AT1047" s="1057"/>
      <c r="AU1047" s="12"/>
      <c r="AV1047" s="1057"/>
      <c r="AW1047" s="1057"/>
      <c r="AX1047" s="1057"/>
      <c r="AY1047" s="1057"/>
    </row>
    <row r="1048" spans="1:51" ht="13" customHeight="1">
      <c r="A1048" s="12"/>
      <c r="B1048" s="47"/>
      <c r="C1048" s="1165" t="s">
        <v>1779</v>
      </c>
      <c r="D1048" s="1673" t="s">
        <v>1780</v>
      </c>
      <c r="E1048" s="1674"/>
      <c r="F1048" s="1674"/>
      <c r="G1048" s="1674"/>
      <c r="H1048" s="1674"/>
      <c r="I1048" s="1674"/>
      <c r="J1048" s="1674"/>
      <c r="K1048" s="1674"/>
      <c r="L1048" s="1674"/>
      <c r="M1048" s="1674"/>
      <c r="N1048" s="1674"/>
      <c r="O1048" s="1674"/>
      <c r="P1048" s="1674"/>
      <c r="Q1048" s="1674"/>
      <c r="R1048" s="1674"/>
      <c r="S1048" s="1674"/>
      <c r="T1048" s="1674"/>
      <c r="U1048" s="1674"/>
      <c r="V1048" s="1674"/>
      <c r="W1048" s="1674"/>
      <c r="X1048" s="1674"/>
      <c r="Y1048" s="1674"/>
      <c r="Z1048" s="1674"/>
      <c r="AA1048" s="1674"/>
      <c r="AB1048" s="1674"/>
      <c r="AC1048" s="1674"/>
      <c r="AD1048" s="1674"/>
      <c r="AE1048" s="1675"/>
      <c r="AF1048" s="44"/>
      <c r="AG1048" s="1722" t="str">
        <f>IF(X1051&gt;0,"Yes","No")</f>
        <v>Yes</v>
      </c>
      <c r="AH1048" s="1723"/>
      <c r="AI1048" s="48"/>
      <c r="AJ1048" s="1693">
        <f>IF((X1051=0),0,(2*AY1005)*AJ991)</f>
        <v>24869624</v>
      </c>
      <c r="AK1048" s="1694"/>
      <c r="AL1048" s="1694"/>
      <c r="AM1048" s="1694"/>
      <c r="AN1048" s="1694"/>
      <c r="AO1048" s="1694"/>
      <c r="AP1048" s="1694"/>
      <c r="AQ1048" s="1695"/>
      <c r="AR1048" s="1057"/>
      <c r="AS1048" s="1057"/>
      <c r="AT1048" s="1057"/>
      <c r="AU1048" s="12"/>
      <c r="AV1048" s="1057"/>
      <c r="AW1048" s="1057"/>
      <c r="AX1048" s="1057"/>
      <c r="AY1048" s="1057"/>
    </row>
    <row r="1049" spans="1:51" ht="13" customHeight="1">
      <c r="A1049" s="12"/>
      <c r="B1049" s="44"/>
      <c r="C1049" s="328"/>
      <c r="D1049" s="1690" t="s">
        <v>1781</v>
      </c>
      <c r="E1049" s="1691"/>
      <c r="F1049" s="1691"/>
      <c r="G1049" s="1691"/>
      <c r="H1049" s="1691"/>
      <c r="I1049" s="1691"/>
      <c r="J1049" s="1691"/>
      <c r="K1049" s="1691"/>
      <c r="L1049" s="1691"/>
      <c r="M1049" s="1691"/>
      <c r="N1049" s="1691"/>
      <c r="O1049" s="1691"/>
      <c r="P1049" s="1691"/>
      <c r="Q1049" s="1691"/>
      <c r="R1049" s="1691"/>
      <c r="S1049" s="1691"/>
      <c r="T1049" s="1691"/>
      <c r="U1049" s="1691"/>
      <c r="V1049" s="1691"/>
      <c r="W1049" s="1691"/>
      <c r="X1049" s="1691"/>
      <c r="Y1049" s="1691"/>
      <c r="Z1049" s="1691"/>
      <c r="AA1049" s="1691"/>
      <c r="AB1049" s="1691"/>
      <c r="AC1049" s="1691"/>
      <c r="AD1049" s="1691"/>
      <c r="AE1049" s="1692"/>
      <c r="AF1049" s="44"/>
      <c r="AG1049" s="1074"/>
      <c r="AH1049" s="1074"/>
      <c r="AI1049" s="48"/>
      <c r="AJ1049" s="1696"/>
      <c r="AK1049" s="1697"/>
      <c r="AL1049" s="1697"/>
      <c r="AM1049" s="1697"/>
      <c r="AN1049" s="1697"/>
      <c r="AO1049" s="1697"/>
      <c r="AP1049" s="1697"/>
      <c r="AQ1049" s="1698"/>
      <c r="AR1049" s="1057"/>
      <c r="AS1049" s="1057"/>
      <c r="AT1049" s="1057"/>
      <c r="AU1049" s="1057"/>
      <c r="AV1049" s="1057"/>
      <c r="AW1049" s="1057"/>
      <c r="AX1049" s="1057"/>
      <c r="AY1049" s="1057"/>
    </row>
    <row r="1050" spans="1:51" ht="13" customHeight="1">
      <c r="A1050" s="12"/>
      <c r="B1050" s="44"/>
      <c r="C1050" s="48"/>
      <c r="D1050" s="1690"/>
      <c r="E1050" s="1691"/>
      <c r="F1050" s="1691"/>
      <c r="G1050" s="1691"/>
      <c r="H1050" s="1691"/>
      <c r="I1050" s="1691"/>
      <c r="J1050" s="1691"/>
      <c r="K1050" s="1691"/>
      <c r="L1050" s="1691"/>
      <c r="M1050" s="1691"/>
      <c r="N1050" s="1691"/>
      <c r="O1050" s="1691"/>
      <c r="P1050" s="1691"/>
      <c r="Q1050" s="1691"/>
      <c r="R1050" s="1691"/>
      <c r="S1050" s="1691"/>
      <c r="T1050" s="1691"/>
      <c r="U1050" s="1691"/>
      <c r="V1050" s="1691"/>
      <c r="W1050" s="1691"/>
      <c r="X1050" s="1691"/>
      <c r="Y1050" s="1691"/>
      <c r="Z1050" s="1691"/>
      <c r="AA1050" s="1691"/>
      <c r="AB1050" s="1691"/>
      <c r="AC1050" s="1691"/>
      <c r="AD1050" s="1691"/>
      <c r="AE1050" s="1692"/>
      <c r="AF1050" s="748"/>
      <c r="AG1050" s="749"/>
      <c r="AH1050" s="749"/>
      <c r="AI1050" s="750"/>
      <c r="AJ1050" s="1696"/>
      <c r="AK1050" s="1697"/>
      <c r="AL1050" s="1697"/>
      <c r="AM1050" s="1697"/>
      <c r="AN1050" s="1697"/>
      <c r="AO1050" s="1697"/>
      <c r="AP1050" s="1697"/>
      <c r="AQ1050" s="1698"/>
      <c r="AR1050" s="1057"/>
      <c r="AS1050" s="1057"/>
      <c r="AT1050" s="1057"/>
      <c r="AU1050" s="1057"/>
      <c r="AV1050" s="1057"/>
      <c r="AW1050" s="1057"/>
      <c r="AX1050" s="1057"/>
      <c r="AY1050" s="1057"/>
    </row>
    <row r="1051" spans="1:51" ht="13" customHeight="1">
      <c r="A1051" s="12"/>
      <c r="B1051" s="45"/>
      <c r="C1051" s="46"/>
      <c r="D1051" s="76" t="s">
        <v>1777</v>
      </c>
      <c r="E1051" s="6"/>
      <c r="F1051" s="6"/>
      <c r="G1051" s="6"/>
      <c r="H1051" s="6"/>
      <c r="I1051" s="1732">
        <f>AY1002</f>
        <v>64</v>
      </c>
      <c r="J1051" s="1733"/>
      <c r="K1051" s="12"/>
      <c r="L1051" s="6"/>
      <c r="M1051" s="6"/>
      <c r="N1051" s="6"/>
      <c r="O1051" s="6"/>
      <c r="P1051" s="6"/>
      <c r="Q1051" s="6"/>
      <c r="R1051" s="6"/>
      <c r="S1051" s="6"/>
      <c r="T1051" s="6"/>
      <c r="U1051" s="6"/>
      <c r="V1051" s="77" t="s">
        <v>1782</v>
      </c>
      <c r="X1051" s="1722">
        <f>BK632</f>
        <v>17</v>
      </c>
      <c r="Y1051" s="1723"/>
      <c r="AF1051" s="751"/>
      <c r="AG1051" s="752"/>
      <c r="AH1051" s="752"/>
      <c r="AI1051" s="753"/>
      <c r="AJ1051" s="1699"/>
      <c r="AK1051" s="1700"/>
      <c r="AL1051" s="1700"/>
      <c r="AM1051" s="1700"/>
      <c r="AN1051" s="1700"/>
      <c r="AO1051" s="1700"/>
      <c r="AP1051" s="1700"/>
      <c r="AQ1051" s="1701"/>
      <c r="AR1051" s="1057"/>
      <c r="AS1051" s="1057"/>
      <c r="AT1051" s="1057"/>
      <c r="AU1051" s="1057"/>
      <c r="AV1051" s="1057"/>
      <c r="AW1051" s="1057"/>
      <c r="AX1051" s="1057"/>
      <c r="AY1051" s="1057"/>
    </row>
    <row r="1052" spans="1:51" ht="13" customHeight="1">
      <c r="A1052" s="12"/>
      <c r="B1052" s="61"/>
      <c r="C1052" s="1075"/>
      <c r="D1052" s="1730" t="s">
        <v>1783</v>
      </c>
      <c r="E1052" s="1730"/>
      <c r="F1052" s="1730"/>
      <c r="G1052" s="1730"/>
      <c r="H1052" s="1730"/>
      <c r="I1052" s="1730"/>
      <c r="J1052" s="1730"/>
      <c r="K1052" s="1730"/>
      <c r="L1052" s="1730"/>
      <c r="M1052" s="1730"/>
      <c r="N1052" s="1730"/>
      <c r="O1052" s="1730"/>
      <c r="P1052" s="1730"/>
      <c r="Q1052" s="1730"/>
      <c r="R1052" s="1730"/>
      <c r="S1052" s="1730"/>
      <c r="T1052" s="1730"/>
      <c r="U1052" s="1730"/>
      <c r="V1052" s="1730"/>
      <c r="W1052" s="1730"/>
      <c r="X1052" s="1730"/>
      <c r="Y1052" s="1730"/>
      <c r="Z1052" s="1730"/>
      <c r="AA1052" s="1730"/>
      <c r="AB1052" s="1730"/>
      <c r="AC1052" s="1730"/>
      <c r="AD1052" s="1730"/>
      <c r="AE1052" s="1730"/>
      <c r="AF1052" s="1730"/>
      <c r="AG1052" s="1730"/>
      <c r="AH1052" s="1730"/>
      <c r="AI1052" s="1731"/>
      <c r="AJ1052" s="1707">
        <f>SUM(AJ991:AQ1051)</f>
        <v>115064917</v>
      </c>
      <c r="AK1052" s="1708"/>
      <c r="AL1052" s="1708"/>
      <c r="AM1052" s="1708"/>
      <c r="AN1052" s="1708"/>
      <c r="AO1052" s="1708"/>
      <c r="AP1052" s="1708"/>
      <c r="AQ1052" s="1709"/>
      <c r="AR1052" s="1057"/>
      <c r="AS1052" s="1057"/>
      <c r="AT1052" s="1057"/>
      <c r="AU1052" s="1057"/>
      <c r="AV1052" s="1057"/>
      <c r="AW1052" s="1057"/>
      <c r="AX1052" s="1057"/>
      <c r="AY1052" s="1057"/>
    </row>
    <row r="1053" spans="1:51" ht="13" customHeight="1">
      <c r="A1053" s="12"/>
      <c r="B1053" s="12"/>
      <c r="C1053" s="1076"/>
      <c r="D1053" s="1077"/>
      <c r="E1053" s="1077"/>
      <c r="F1053" s="1077"/>
      <c r="G1053" s="1077"/>
      <c r="H1053" s="1077"/>
      <c r="I1053" s="1077"/>
      <c r="J1053" s="1077"/>
      <c r="K1053" s="1077"/>
      <c r="L1053" s="1077"/>
      <c r="M1053" s="1077"/>
      <c r="N1053" s="1077"/>
      <c r="O1053" s="1077"/>
      <c r="P1053" s="1077"/>
      <c r="Q1053" s="1077"/>
      <c r="R1053" s="1077"/>
      <c r="S1053" s="1077"/>
      <c r="T1053" s="1078"/>
      <c r="U1053" s="1078"/>
      <c r="V1053" s="1078"/>
      <c r="W1053" s="1078"/>
      <c r="X1053" s="1078"/>
      <c r="Y1053" s="1078"/>
      <c r="Z1053" s="1078"/>
      <c r="AA1053" s="1078"/>
      <c r="AB1053" s="1078"/>
      <c r="AC1053" s="1078"/>
      <c r="AD1053" s="122"/>
      <c r="AE1053" s="122"/>
      <c r="AF1053" s="122"/>
      <c r="AG1053" s="122"/>
      <c r="AH1053" s="122"/>
      <c r="AI1053" s="122"/>
      <c r="AJ1053" s="122"/>
      <c r="AK1053" s="122"/>
      <c r="AL1053" s="1057"/>
      <c r="AM1053" s="1057"/>
      <c r="AN1053" s="1057"/>
      <c r="AO1053" s="1057"/>
      <c r="AP1053" s="1057"/>
      <c r="AQ1053" s="1057"/>
      <c r="AR1053" s="1057"/>
      <c r="AS1053" s="1057"/>
      <c r="AT1053" s="1057"/>
      <c r="AU1053" s="1057"/>
      <c r="AV1053" s="1057"/>
      <c r="AW1053" s="1057"/>
      <c r="AX1053" s="1057"/>
      <c r="AY1053" s="1057"/>
    </row>
    <row r="1054" spans="1:51" ht="13" customHeight="1">
      <c r="A1054" s="12"/>
      <c r="B1054" s="1057"/>
      <c r="C1054" s="1057"/>
      <c r="D1054" s="1057"/>
      <c r="E1054" s="1057"/>
      <c r="F1054" s="1057"/>
      <c r="G1054" s="1057"/>
      <c r="H1054" s="1057"/>
      <c r="I1054" s="1057"/>
      <c r="J1054" s="1057"/>
      <c r="K1054" s="1057"/>
      <c r="L1054" s="1057"/>
      <c r="M1054" s="1057"/>
      <c r="N1054" s="1057"/>
      <c r="O1054" s="1057"/>
      <c r="P1054" s="1057"/>
      <c r="Q1054" s="1057"/>
      <c r="R1054" s="1057"/>
      <c r="S1054" s="1057"/>
      <c r="T1054" s="1057"/>
      <c r="U1054" s="1057"/>
      <c r="V1054" s="1057"/>
      <c r="W1054" s="1057"/>
      <c r="X1054" s="1057"/>
      <c r="Y1054" s="1057"/>
      <c r="Z1054" s="1057"/>
      <c r="AA1054" s="1057"/>
      <c r="AB1054" s="1057"/>
      <c r="AC1054" s="1057"/>
      <c r="AD1054" s="1057"/>
      <c r="AE1054" s="1057"/>
      <c r="AF1054" s="1057"/>
      <c r="AG1054" s="1057"/>
      <c r="AH1054" s="1057"/>
      <c r="AI1054" s="1057"/>
      <c r="AJ1054" s="1057"/>
      <c r="AK1054" s="1057"/>
      <c r="AL1054" s="1057"/>
      <c r="AM1054" s="1057"/>
      <c r="AN1054" s="1057"/>
      <c r="AO1054" s="1057"/>
      <c r="AP1054" s="1057"/>
      <c r="AQ1054" s="1057"/>
      <c r="AR1054" s="1057"/>
      <c r="AS1054" s="1057"/>
      <c r="AT1054" s="1057"/>
      <c r="AU1054" s="1057"/>
      <c r="AV1054" s="1057"/>
      <c r="AW1054" s="1057"/>
      <c r="AX1054" s="1057"/>
      <c r="AY1054" s="1057"/>
    </row>
    <row r="1055" spans="1:51" ht="13" customHeight="1">
      <c r="A1055" s="12"/>
      <c r="B1055" s="1057"/>
      <c r="C1055" s="1057"/>
      <c r="D1055" s="1057"/>
      <c r="E1055" s="1057"/>
      <c r="F1055" s="1057"/>
      <c r="G1055" s="1057"/>
      <c r="H1055" s="1057"/>
      <c r="I1055" s="1057"/>
      <c r="J1055" s="1057"/>
      <c r="K1055" s="1057"/>
      <c r="L1055" s="1057"/>
      <c r="M1055" s="1057"/>
      <c r="N1055" s="1057"/>
      <c r="O1055" s="1057"/>
      <c r="P1055" s="1057"/>
      <c r="Q1055" s="1057"/>
      <c r="R1055" s="1057"/>
      <c r="S1055" s="1057"/>
      <c r="T1055" s="1057"/>
      <c r="U1055" s="1057"/>
      <c r="V1055" s="1057"/>
      <c r="W1055" s="1057"/>
      <c r="X1055" s="1057"/>
      <c r="Y1055" s="1057"/>
      <c r="Z1055" s="1057"/>
      <c r="AA1055" s="1057"/>
      <c r="AB1055" s="1057"/>
      <c r="AC1055" s="1057"/>
      <c r="AD1055" s="1057"/>
      <c r="AE1055" s="1057"/>
      <c r="AF1055" s="1057"/>
      <c r="AG1055" s="1057"/>
      <c r="AH1055" s="1057"/>
      <c r="AI1055" s="1057"/>
      <c r="AJ1055" s="1057"/>
      <c r="AK1055" s="1057"/>
      <c r="AL1055" s="1057"/>
      <c r="AM1055" s="1057"/>
      <c r="AN1055" s="1057"/>
      <c r="AO1055" s="1057"/>
      <c r="AP1055" s="1057"/>
      <c r="AQ1055" s="1057"/>
      <c r="AR1055" s="1057"/>
      <c r="AS1055" s="1057"/>
      <c r="AT1055" s="1057"/>
      <c r="AU1055" s="1057"/>
      <c r="AV1055" s="1118"/>
      <c r="AW1055" s="1118"/>
      <c r="AX1055" s="1118"/>
      <c r="AY1055" s="1118"/>
    </row>
    <row r="1056" spans="1:51" ht="13" customHeight="1">
      <c r="A1056" s="12"/>
      <c r="B1056" s="1057"/>
      <c r="C1056" s="1057"/>
      <c r="D1056" s="1057"/>
      <c r="E1056" s="1057"/>
      <c r="F1056" s="1057"/>
      <c r="G1056" s="1057"/>
      <c r="H1056" s="1057"/>
      <c r="I1056" s="1057"/>
      <c r="J1056" s="1057"/>
      <c r="K1056" s="1057"/>
      <c r="L1056" s="1057"/>
      <c r="M1056" s="1057"/>
      <c r="N1056" s="1057"/>
      <c r="O1056" s="1057"/>
      <c r="P1056" s="1057"/>
      <c r="Q1056" s="1057"/>
      <c r="R1056" s="1057"/>
      <c r="S1056" s="1057"/>
      <c r="T1056" s="1057"/>
      <c r="U1056" s="1057"/>
      <c r="V1056" s="1057"/>
      <c r="W1056" s="1057"/>
      <c r="X1056" s="1057"/>
      <c r="Y1056" s="1057"/>
      <c r="Z1056" s="1057"/>
      <c r="AA1056" s="1057"/>
      <c r="AB1056" s="1057"/>
      <c r="AC1056" s="1057"/>
      <c r="AD1056" s="1057"/>
      <c r="AE1056" s="1057"/>
      <c r="AF1056" s="1057"/>
      <c r="AG1056" s="1057"/>
      <c r="AH1056" s="1057"/>
      <c r="AI1056" s="1057"/>
      <c r="AJ1056" s="1057"/>
      <c r="AK1056" s="1057"/>
      <c r="AL1056" s="1057"/>
      <c r="AM1056" s="1057"/>
      <c r="AN1056" s="1057"/>
      <c r="AO1056" s="1057"/>
      <c r="AP1056" s="1057"/>
      <c r="AQ1056" s="1057"/>
      <c r="AR1056" s="1057"/>
      <c r="AS1056" s="1057"/>
      <c r="AT1056" s="1057"/>
      <c r="AU1056" s="1057"/>
      <c r="AV1056" s="1118"/>
      <c r="AW1056" s="1118"/>
      <c r="AX1056" s="1118"/>
      <c r="AY1056" s="1118"/>
    </row>
    <row r="1057" spans="1:51" ht="13" customHeight="1">
      <c r="A1057" s="12"/>
      <c r="B1057" s="1057"/>
      <c r="C1057" s="1057"/>
      <c r="D1057" s="1057"/>
      <c r="E1057" s="1057"/>
      <c r="F1057" s="1057"/>
      <c r="G1057" s="1057"/>
      <c r="H1057" s="1057"/>
      <c r="I1057" s="1057"/>
      <c r="J1057" s="1057"/>
      <c r="K1057" s="1057"/>
      <c r="L1057" s="1057"/>
      <c r="M1057" s="1057"/>
      <c r="N1057" s="1057"/>
      <c r="O1057" s="1057"/>
      <c r="P1057" s="1057"/>
      <c r="Q1057" s="1057"/>
      <c r="R1057" s="1057"/>
      <c r="S1057" s="1057"/>
      <c r="T1057" s="1057"/>
      <c r="U1057" s="1057"/>
      <c r="V1057" s="1057"/>
      <c r="W1057" s="1057"/>
      <c r="X1057" s="1057"/>
      <c r="Y1057" s="1057"/>
      <c r="Z1057" s="1057"/>
      <c r="AA1057" s="1057"/>
      <c r="AB1057" s="1057"/>
      <c r="AC1057" s="1057"/>
      <c r="AD1057" s="1057"/>
      <c r="AE1057" s="1057"/>
      <c r="AF1057" s="1057"/>
      <c r="AG1057" s="1057"/>
      <c r="AH1057" s="1057"/>
      <c r="AI1057" s="1057"/>
      <c r="AJ1057" s="1057"/>
      <c r="AK1057" s="1057"/>
      <c r="AL1057" s="1057"/>
      <c r="AM1057" s="1057"/>
      <c r="AN1057" s="1057"/>
      <c r="AO1057" s="1057"/>
      <c r="AP1057" s="1057"/>
      <c r="AQ1057" s="1057"/>
      <c r="AR1057" s="1057"/>
      <c r="AS1057" s="1057"/>
      <c r="AT1057" s="1057"/>
      <c r="AU1057" s="1057"/>
      <c r="AV1057" s="12"/>
      <c r="AW1057" s="12"/>
      <c r="AX1057" s="12"/>
      <c r="AY1057" s="12"/>
    </row>
    <row r="1058" spans="1:51" ht="13" customHeight="1">
      <c r="A1058" s="12"/>
      <c r="B1058" s="12"/>
      <c r="C1058" s="1076"/>
      <c r="D1058" s="1079"/>
      <c r="E1058" s="1079"/>
      <c r="F1058" s="1079"/>
      <c r="G1058" s="1079"/>
      <c r="H1058" s="1079"/>
      <c r="I1058" s="1079"/>
      <c r="J1058" s="1079"/>
      <c r="K1058" s="1079"/>
      <c r="L1058" s="1079"/>
      <c r="M1058" s="1079"/>
      <c r="N1058" s="1079"/>
      <c r="O1058" s="1079"/>
      <c r="P1058" s="1079"/>
      <c r="Q1058" s="1079"/>
      <c r="R1058" s="1079"/>
      <c r="S1058" s="1079"/>
      <c r="T1058" s="1079"/>
      <c r="U1058" s="1079"/>
      <c r="V1058" s="1079"/>
      <c r="W1058" s="1079"/>
      <c r="X1058" s="1079"/>
      <c r="Y1058" s="1079"/>
      <c r="Z1058" s="1079"/>
      <c r="AA1058" s="1079"/>
      <c r="AB1058" s="1079"/>
      <c r="AC1058" s="1079"/>
      <c r="AD1058" s="1079"/>
      <c r="AE1058" s="1079"/>
      <c r="AF1058" s="1079"/>
      <c r="AG1058" s="1079"/>
      <c r="AH1058" s="1079"/>
      <c r="AI1058" s="1079"/>
      <c r="AJ1058" s="1079"/>
      <c r="AK1058" s="1079"/>
      <c r="AL1058" s="1057"/>
      <c r="AM1058" s="1057"/>
      <c r="AN1058" s="1057"/>
      <c r="AO1058" s="1057"/>
      <c r="AP1058" s="1057"/>
      <c r="AQ1058" s="1057"/>
      <c r="AR1058" s="1057"/>
      <c r="AS1058" s="1057"/>
      <c r="AT1058" s="1057"/>
      <c r="AU1058" s="1057"/>
      <c r="AV1058" s="12"/>
      <c r="AW1058" s="12"/>
      <c r="AX1058" s="12"/>
      <c r="AY1058" s="12"/>
    </row>
    <row r="1059" spans="1:51" ht="13" customHeight="1">
      <c r="A1059" s="1080"/>
      <c r="B1059" s="1791">
        <f>IF(ISNA(IF((AJ1019&gt;(AJ991*0.15)),"(f) cannot be greater than 15% of unadjusted eligible basis.",0)),"",(IF((AJ1019&gt;(AJ991*0.15)),"(f) cannot be greater than 15% of unadjusted eligible basis.",0)))</f>
        <v>0</v>
      </c>
      <c r="C1059" s="1791"/>
      <c r="D1059" s="1791"/>
      <c r="E1059" s="1791"/>
      <c r="F1059" s="1791"/>
      <c r="G1059" s="1791"/>
      <c r="H1059" s="1791"/>
      <c r="I1059" s="1791"/>
      <c r="J1059" s="1791"/>
      <c r="K1059" s="1791"/>
      <c r="L1059" s="1791"/>
      <c r="M1059" s="1791"/>
      <c r="N1059" s="1791"/>
      <c r="O1059" s="1791"/>
      <c r="P1059" s="1791"/>
      <c r="Q1059" s="1791"/>
      <c r="R1059" s="1791"/>
      <c r="S1059" s="1791"/>
      <c r="T1059" s="1791"/>
      <c r="U1059" s="1791"/>
      <c r="V1059" s="1791"/>
      <c r="W1059" s="1791"/>
      <c r="X1059" s="1791"/>
      <c r="Y1059" s="1791"/>
      <c r="Z1059" s="1791"/>
      <c r="AA1059" s="1791"/>
      <c r="AB1059" s="1791"/>
      <c r="AC1059" s="1791"/>
      <c r="AD1059" s="1791"/>
      <c r="AE1059" s="1791"/>
      <c r="AF1059" s="1791"/>
      <c r="AG1059" s="1791"/>
      <c r="AH1059" s="1791"/>
      <c r="AI1059" s="1791"/>
      <c r="AJ1059" s="1791"/>
      <c r="AK1059" s="1791"/>
      <c r="AL1059" s="1791"/>
      <c r="AM1059" s="1791"/>
      <c r="AN1059" s="1791"/>
      <c r="AO1059" s="1791"/>
      <c r="AP1059" s="1791"/>
      <c r="AQ1059" s="1057"/>
      <c r="AR1059" s="1057"/>
      <c r="AS1059" s="1057"/>
      <c r="AT1059" s="1057"/>
      <c r="AU1059" s="1057"/>
      <c r="AV1059" s="1057"/>
      <c r="AW1059" s="1057"/>
      <c r="AX1059" s="1057"/>
      <c r="AY1059" s="1057"/>
    </row>
    <row r="1060" spans="1:51" ht="13" customHeight="1">
      <c r="A1060" s="1259" t="s">
        <v>1784</v>
      </c>
      <c r="B1060" s="1259"/>
      <c r="C1060" s="1259"/>
      <c r="D1060" s="1259"/>
      <c r="E1060" s="1259"/>
      <c r="F1060" s="1259"/>
      <c r="G1060" s="1259"/>
      <c r="H1060" s="1259"/>
      <c r="I1060" s="1259"/>
      <c r="J1060" s="1259"/>
      <c r="K1060" s="1259"/>
      <c r="L1060" s="1259"/>
      <c r="M1060" s="1259"/>
      <c r="N1060" s="1259"/>
      <c r="O1060" s="1259"/>
      <c r="P1060" s="1259"/>
      <c r="Q1060" s="1259"/>
      <c r="R1060" s="1259"/>
      <c r="S1060" s="1259"/>
      <c r="T1060" s="1259"/>
      <c r="U1060" s="1259"/>
      <c r="V1060" s="1259"/>
      <c r="W1060" s="1259"/>
      <c r="X1060" s="1259"/>
      <c r="Y1060" s="1259"/>
      <c r="Z1060" s="1259"/>
      <c r="AA1060" s="1259"/>
      <c r="AB1060" s="1259"/>
      <c r="AC1060" s="1259"/>
      <c r="AD1060" s="1259"/>
      <c r="AE1060" s="1259"/>
      <c r="AF1060" s="1259"/>
      <c r="AG1060" s="1259"/>
      <c r="AH1060" s="1259"/>
      <c r="AI1060" s="1259"/>
      <c r="AJ1060" s="1259"/>
      <c r="AK1060" s="1259"/>
      <c r="AL1060" s="1259"/>
      <c r="AM1060" s="1259"/>
      <c r="AN1060" s="1259"/>
      <c r="AO1060" s="1259"/>
      <c r="AP1060" s="1259"/>
      <c r="AQ1060" s="1259"/>
      <c r="AR1060" s="1118"/>
      <c r="AS1060" s="1118"/>
      <c r="AT1060" s="1118"/>
      <c r="AV1060" s="1057"/>
      <c r="AW1060" s="1057"/>
      <c r="AX1060" s="1057"/>
      <c r="AY1060" s="1057"/>
    </row>
    <row r="1061" spans="1:51" ht="13" customHeight="1">
      <c r="A1061" s="12"/>
      <c r="B1061" s="12"/>
      <c r="C1061" s="12"/>
      <c r="D1061" s="12"/>
      <c r="E1061" s="12"/>
      <c r="F1061" s="12"/>
      <c r="G1061" s="12"/>
      <c r="H1061" s="12"/>
      <c r="I1061" s="12"/>
      <c r="J1061" s="12"/>
      <c r="K1061" s="12"/>
      <c r="L1061" s="12"/>
      <c r="M1061" s="12"/>
      <c r="N1061" s="12"/>
      <c r="O1061" s="12"/>
      <c r="P1061" s="12"/>
      <c r="Q1061" s="1118"/>
      <c r="R1061" s="1118"/>
      <c r="S1061" s="1118"/>
      <c r="T1061" s="1118"/>
      <c r="U1061" s="1118"/>
      <c r="V1061" s="1118"/>
      <c r="W1061" s="1118"/>
      <c r="X1061" s="1118"/>
      <c r="Y1061" s="1118"/>
      <c r="Z1061" s="1118"/>
      <c r="AA1061" s="1118"/>
      <c r="AB1061" s="1118"/>
      <c r="AC1061" s="1118"/>
      <c r="AD1061" s="1118"/>
      <c r="AE1061" s="1118"/>
      <c r="AF1061" s="1118"/>
      <c r="AG1061" s="1118"/>
      <c r="AH1061" s="1118"/>
      <c r="AI1061" s="1118"/>
      <c r="AJ1061" s="1118"/>
      <c r="AK1061" s="1118"/>
      <c r="AL1061" s="1118"/>
      <c r="AM1061" s="1118"/>
      <c r="AN1061" s="1118"/>
      <c r="AO1061" s="1118"/>
      <c r="AP1061" s="1118"/>
      <c r="AQ1061" s="1118"/>
      <c r="AR1061" s="1118"/>
      <c r="AS1061" s="1118"/>
      <c r="AT1061" s="1118"/>
      <c r="AV1061" s="1057"/>
      <c r="AW1061" s="1057"/>
      <c r="AX1061" s="1057"/>
      <c r="AY1061" s="1057"/>
    </row>
    <row r="1062" spans="1:51" ht="13" customHeight="1">
      <c r="A1062" s="1109" t="s">
        <v>1785</v>
      </c>
      <c r="B1062" s="1118"/>
      <c r="C1062" s="1118"/>
      <c r="D1062" s="1118"/>
      <c r="E1062" s="1118"/>
      <c r="F1062" s="1118"/>
      <c r="G1062" s="1118"/>
      <c r="H1062" s="1118"/>
      <c r="I1062" s="1118"/>
      <c r="J1062" s="1118"/>
      <c r="K1062" s="1118"/>
      <c r="L1062" s="1118"/>
      <c r="M1062" s="1118"/>
      <c r="N1062" s="1118"/>
      <c r="O1062" s="1118"/>
      <c r="P1062" s="1118"/>
      <c r="Q1062" s="1118"/>
      <c r="R1062" s="1118"/>
      <c r="S1062" s="1118"/>
      <c r="T1062" s="1118"/>
      <c r="U1062" s="1118"/>
      <c r="V1062" s="1118"/>
      <c r="W1062" s="1118"/>
      <c r="X1062" s="1118"/>
      <c r="AJ1062" s="12"/>
      <c r="AK1062" s="12"/>
      <c r="AL1062" s="12"/>
      <c r="AM1062" s="12"/>
      <c r="AN1062" s="12"/>
      <c r="AO1062" s="12"/>
      <c r="AP1062" s="12"/>
      <c r="AQ1062" s="12"/>
      <c r="AR1062" s="12"/>
      <c r="AS1062" s="12"/>
      <c r="AT1062" s="12"/>
      <c r="AV1062" s="1057"/>
      <c r="AW1062" s="1057"/>
      <c r="AX1062" s="1057"/>
      <c r="AY1062" s="1057"/>
    </row>
    <row r="1063" spans="1:51" ht="13" customHeight="1">
      <c r="A1063" s="115" t="s">
        <v>1786</v>
      </c>
      <c r="B1063" s="12"/>
      <c r="C1063" s="12"/>
      <c r="D1063" s="12"/>
      <c r="E1063" s="12"/>
      <c r="F1063" s="12"/>
      <c r="G1063" s="12"/>
      <c r="H1063" s="12"/>
      <c r="I1063" s="12"/>
      <c r="J1063" s="12"/>
      <c r="K1063" s="12"/>
      <c r="L1063" s="12"/>
      <c r="M1063" s="12"/>
      <c r="N1063" s="12"/>
      <c r="O1063" s="12"/>
      <c r="P1063" s="12"/>
      <c r="Q1063" s="1118"/>
      <c r="R1063" s="1118"/>
      <c r="S1063" s="1118"/>
      <c r="T1063" s="1118"/>
      <c r="U1063" s="1118"/>
      <c r="V1063" s="1118"/>
      <c r="W1063" s="1118"/>
      <c r="X1063" s="1118"/>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057"/>
      <c r="AW1063" s="1057"/>
      <c r="AX1063" s="1057"/>
      <c r="AY1063" s="1057"/>
    </row>
    <row r="1064" spans="1:51" ht="13" customHeight="1">
      <c r="A1064" s="1361" t="s">
        <v>299</v>
      </c>
      <c r="B1064" s="1361"/>
      <c r="C1064" s="7">
        <v>1</v>
      </c>
      <c r="D1064" s="1221" t="s">
        <v>1787</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057"/>
      <c r="AM1064" s="1057"/>
      <c r="AN1064" s="1057"/>
      <c r="AO1064" s="1057"/>
      <c r="AP1064" s="1057"/>
      <c r="AQ1064" s="1057"/>
      <c r="AR1064" s="1057"/>
      <c r="AS1064" s="1057"/>
      <c r="AT1064" s="1057"/>
      <c r="AV1064" s="1057"/>
      <c r="AW1064" s="1057"/>
      <c r="AX1064" s="1057"/>
      <c r="AY1064" s="1057"/>
    </row>
    <row r="1065" spans="1:51" ht="13" customHeight="1">
      <c r="A1065" s="1117"/>
      <c r="B1065" s="1117"/>
      <c r="C1065" s="7"/>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057"/>
      <c r="AM1065" s="1057"/>
      <c r="AN1065" s="1057"/>
      <c r="AO1065" s="1057"/>
      <c r="AP1065" s="1057"/>
      <c r="AQ1065" s="1057"/>
      <c r="AR1065" s="1057"/>
      <c r="AS1065" s="1057"/>
      <c r="AT1065" s="1057"/>
      <c r="AV1065" s="1057"/>
      <c r="AW1065" s="1057"/>
      <c r="AX1065" s="1057"/>
      <c r="AY1065" s="1057"/>
    </row>
    <row r="1066" spans="1:51" ht="13" customHeight="1">
      <c r="A1066" s="1117"/>
      <c r="B1066" s="1117"/>
      <c r="C1066" s="7"/>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057"/>
      <c r="AM1066" s="1057"/>
      <c r="AN1066" s="1057"/>
      <c r="AO1066" s="1057"/>
      <c r="AP1066" s="1057"/>
      <c r="AQ1066" s="1057"/>
      <c r="AR1066" s="1057"/>
      <c r="AS1066" s="1057"/>
      <c r="AT1066" s="1057"/>
      <c r="AV1066" s="1057"/>
      <c r="AW1066" s="1057"/>
      <c r="AX1066" s="1057"/>
      <c r="AY1066" s="1057"/>
    </row>
    <row r="1067" spans="1:51" ht="13" customHeight="1">
      <c r="A1067" s="1117"/>
      <c r="B1067" s="1117"/>
      <c r="C1067" s="7"/>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057"/>
      <c r="AM1067" s="1057"/>
      <c r="AN1067" s="1057"/>
      <c r="AO1067" s="1057"/>
      <c r="AP1067" s="1057"/>
      <c r="AQ1067" s="1057"/>
      <c r="AR1067" s="1057"/>
      <c r="AS1067" s="1057"/>
      <c r="AT1067" s="1057"/>
      <c r="AV1067" s="1057"/>
      <c r="AW1067" s="1057"/>
      <c r="AX1067" s="1057"/>
      <c r="AY1067" s="1057"/>
    </row>
    <row r="1068" spans="1:51" ht="13" customHeight="1">
      <c r="A1068" s="1117"/>
      <c r="B1068" s="1117"/>
      <c r="C1068" s="7"/>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057"/>
      <c r="AM1068" s="1057"/>
      <c r="AN1068" s="1057"/>
      <c r="AO1068" s="1057"/>
      <c r="AP1068" s="1057"/>
      <c r="AQ1068" s="1057"/>
      <c r="AR1068" s="1057"/>
      <c r="AS1068" s="1057"/>
      <c r="AT1068" s="1057"/>
      <c r="AV1068" s="1057"/>
      <c r="AW1068" s="1057"/>
      <c r="AX1068" s="1057"/>
      <c r="AY1068" s="1057"/>
    </row>
    <row r="1069" spans="1:51" ht="13" customHeight="1">
      <c r="A1069" s="1"/>
      <c r="B1069" s="20"/>
      <c r="C1069" s="7"/>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057"/>
      <c r="AM1069" s="1057"/>
      <c r="AN1069" s="1057"/>
      <c r="AO1069" s="1057"/>
      <c r="AP1069" s="1057"/>
      <c r="AQ1069" s="1057"/>
      <c r="AR1069" s="1057"/>
      <c r="AS1069" s="1057"/>
      <c r="AT1069" s="1057"/>
      <c r="AV1069" s="1057"/>
      <c r="AW1069" s="1057"/>
      <c r="AX1069" s="1057"/>
      <c r="AY1069" s="1057"/>
    </row>
    <row r="1070" spans="1:51" ht="13" customHeight="1">
      <c r="A1070" s="1361" t="s">
        <v>299</v>
      </c>
      <c r="B1070" s="1361"/>
      <c r="C1070" s="7">
        <v>2</v>
      </c>
      <c r="D1070" s="1221" t="s">
        <v>1788</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057"/>
      <c r="AM1070" s="1057"/>
      <c r="AN1070" s="1057"/>
      <c r="AO1070" s="1057"/>
      <c r="AP1070" s="1057"/>
      <c r="AQ1070" s="1057"/>
      <c r="AR1070" s="1057"/>
      <c r="AS1070" s="1057"/>
      <c r="AT1070" s="1057"/>
    </row>
    <row r="1071" spans="1:51" ht="13" customHeight="1">
      <c r="A1071" s="1117"/>
      <c r="B1071" s="1117"/>
      <c r="C1071" s="7"/>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057"/>
      <c r="AM1071" s="1057"/>
      <c r="AN1071" s="1057"/>
      <c r="AO1071" s="1057"/>
      <c r="AP1071" s="1057"/>
      <c r="AQ1071" s="1057"/>
      <c r="AR1071" s="1057"/>
      <c r="AS1071" s="1057"/>
      <c r="AT1071" s="1057"/>
    </row>
    <row r="1072" spans="1:51" ht="13" customHeight="1">
      <c r="A1072" s="1117"/>
      <c r="B1072" s="1117"/>
      <c r="C1072" s="7"/>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057"/>
      <c r="AM1072" s="1057"/>
      <c r="AN1072" s="1057"/>
      <c r="AO1072" s="1057"/>
      <c r="AP1072" s="1057"/>
      <c r="AQ1072" s="1057"/>
      <c r="AR1072" s="1057"/>
      <c r="AS1072" s="1057"/>
      <c r="AT1072" s="1057"/>
    </row>
    <row r="1073" spans="1:46" ht="13" customHeight="1">
      <c r="A1073" s="1117"/>
      <c r="B1073" s="1117"/>
      <c r="C1073" s="7"/>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057"/>
      <c r="AM1073" s="1057"/>
      <c r="AN1073" s="1057"/>
      <c r="AO1073" s="1057"/>
      <c r="AP1073" s="1057"/>
      <c r="AQ1073" s="1057"/>
      <c r="AR1073" s="1057"/>
      <c r="AS1073" s="1057"/>
      <c r="AT1073" s="1057"/>
    </row>
    <row r="1074" spans="1:46" ht="13" hidden="1" customHeight="1">
      <c r="A1074" s="1117"/>
      <c r="B1074" s="1117"/>
      <c r="C1074" s="7"/>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057"/>
      <c r="AM1074" s="1057"/>
      <c r="AN1074" s="1057"/>
      <c r="AO1074" s="1057"/>
      <c r="AP1074" s="1057"/>
      <c r="AQ1074" s="1057"/>
      <c r="AR1074" s="1057"/>
      <c r="AS1074" s="1057"/>
      <c r="AT1074" s="1057"/>
    </row>
    <row r="1075" spans="1:46" ht="13" customHeight="1">
      <c r="A1075" s="1117"/>
      <c r="B1075" s="1117"/>
      <c r="C1075" s="7"/>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 customHeight="1">
      <c r="A1076" s="1361" t="s">
        <v>299</v>
      </c>
      <c r="B1076" s="1361"/>
      <c r="C1076" s="7">
        <v>3</v>
      </c>
      <c r="D1076" s="1221" t="s">
        <v>1789</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 customHeight="1">
      <c r="A1077" s="2"/>
      <c r="B1077" s="2"/>
      <c r="C1077" s="7"/>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 customHeight="1">
      <c r="A1078" s="2"/>
      <c r="B1078" s="2"/>
      <c r="C1078" s="7"/>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 customHeight="1">
      <c r="A1079" s="68"/>
      <c r="B1079" s="20"/>
      <c r="C1079" s="7"/>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 customHeight="1">
      <c r="A1080" s="68"/>
      <c r="B1080" s="20"/>
      <c r="C1080" s="7"/>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 customHeight="1">
      <c r="A1081" s="68"/>
      <c r="B1081" s="20"/>
      <c r="C1081" s="7"/>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 customHeight="1">
      <c r="A1082" s="68"/>
      <c r="B1082" s="20"/>
      <c r="C1082" s="7"/>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 customHeight="1">
      <c r="A1083" s="1361" t="s">
        <v>299</v>
      </c>
      <c r="B1083" s="1361"/>
      <c r="C1083" s="7">
        <v>4</v>
      </c>
      <c r="D1083" s="1221" t="s">
        <v>1790</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 customHeight="1">
      <c r="A1084" s="1117"/>
      <c r="B1084" s="1117"/>
      <c r="C1084" s="7"/>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 customHeight="1">
      <c r="A1085" s="68"/>
      <c r="B1085" s="20"/>
      <c r="C1085" s="7"/>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 customHeight="1">
      <c r="A1086" s="1361" t="s">
        <v>299</v>
      </c>
      <c r="B1086" s="1361"/>
      <c r="C1086" s="7">
        <v>5</v>
      </c>
      <c r="D1086" s="1221" t="s">
        <v>1791</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 customHeight="1">
      <c r="A1087" s="1117"/>
      <c r="B1087" s="1117"/>
      <c r="C1087" s="7"/>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 customHeight="1">
      <c r="A1088" s="1117"/>
      <c r="B1088" s="1117"/>
      <c r="C1088" s="7"/>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 hidden="1" customHeight="1">
      <c r="A1089" s="1117"/>
      <c r="B1089" s="1117"/>
      <c r="C1089" s="7"/>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 customHeight="1">
      <c r="A1090" s="68"/>
      <c r="B1090" s="20"/>
      <c r="C1090" s="7"/>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 customHeight="1">
      <c r="A1091" s="1361" t="s">
        <v>299</v>
      </c>
      <c r="B1091" s="1361"/>
      <c r="C1091" s="7">
        <v>6</v>
      </c>
      <c r="D1091" s="1221" t="s">
        <v>1792</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 customHeight="1">
      <c r="A1092" s="68"/>
      <c r="B1092" s="20"/>
      <c r="C1092" s="7"/>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 customHeight="1">
      <c r="A1093" s="68"/>
      <c r="B1093" s="20"/>
      <c r="C1093" s="7"/>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 customHeight="1">
      <c r="A1094" s="1361" t="s">
        <v>299</v>
      </c>
      <c r="B1094" s="1361"/>
      <c r="C1094" s="1081">
        <v>7</v>
      </c>
      <c r="D1094" s="1221" t="s">
        <v>1793</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 customHeight="1">
      <c r="A1095" s="1117"/>
      <c r="B1095" s="1117"/>
      <c r="C1095" s="1081"/>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 customHeight="1">
      <c r="A1096" s="1117"/>
      <c r="B1096" s="1117"/>
      <c r="C1096" s="1081"/>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 customHeight="1">
      <c r="A1097" s="68"/>
      <c r="B1097" s="20"/>
      <c r="C1097" s="1081"/>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 customHeight="1">
      <c r="A1098" s="1361" t="s">
        <v>299</v>
      </c>
      <c r="B1098" s="1361"/>
      <c r="C1098" s="1081">
        <v>8</v>
      </c>
      <c r="D1098" s="1303" t="s">
        <v>1794</v>
      </c>
      <c r="E1098" s="1303"/>
      <c r="F1098" s="1303"/>
      <c r="G1098" s="1303"/>
      <c r="H1098" s="1303"/>
      <c r="I1098" s="1303"/>
      <c r="J1098" s="1303"/>
      <c r="K1098" s="1303"/>
      <c r="L1098" s="1303"/>
      <c r="M1098" s="1303"/>
      <c r="N1098" s="1303"/>
      <c r="O1098" s="1303"/>
      <c r="P1098" s="1303"/>
      <c r="Q1098" s="1303"/>
      <c r="R1098" s="1303"/>
      <c r="S1098" s="1303"/>
      <c r="T1098" s="1303"/>
      <c r="U1098" s="1303"/>
      <c r="V1098" s="1303"/>
      <c r="W1098" s="1303"/>
      <c r="X1098" s="1303"/>
      <c r="Y1098" s="1303"/>
      <c r="Z1098" s="1303"/>
      <c r="AA1098" s="1303"/>
      <c r="AB1098" s="1303"/>
      <c r="AC1098" s="1303"/>
      <c r="AD1098" s="1303"/>
      <c r="AE1098" s="1303"/>
      <c r="AF1098" s="1303"/>
      <c r="AG1098" s="1303"/>
      <c r="AH1098" s="1303"/>
      <c r="AI1098" s="1303"/>
      <c r="AJ1098" s="1303"/>
      <c r="AK1098" s="1303"/>
    </row>
    <row r="1099" spans="1:37" ht="13" customHeight="1">
      <c r="A1099" s="1117"/>
      <c r="B1099" s="1117"/>
      <c r="C1099" s="1081"/>
      <c r="D1099" s="1303"/>
      <c r="E1099" s="1303"/>
      <c r="F1099" s="1303"/>
      <c r="G1099" s="1303"/>
      <c r="H1099" s="1303"/>
      <c r="I1099" s="1303"/>
      <c r="J1099" s="1303"/>
      <c r="K1099" s="1303"/>
      <c r="L1099" s="1303"/>
      <c r="M1099" s="1303"/>
      <c r="N1099" s="1303"/>
      <c r="O1099" s="1303"/>
      <c r="P1099" s="1303"/>
      <c r="Q1099" s="1303"/>
      <c r="R1099" s="1303"/>
      <c r="S1099" s="1303"/>
      <c r="T1099" s="1303"/>
      <c r="U1099" s="1303"/>
      <c r="V1099" s="1303"/>
      <c r="W1099" s="1303"/>
      <c r="X1099" s="1303"/>
      <c r="Y1099" s="1303"/>
      <c r="Z1099" s="1303"/>
      <c r="AA1099" s="1303"/>
      <c r="AB1099" s="1303"/>
      <c r="AC1099" s="1303"/>
      <c r="AD1099" s="1303"/>
      <c r="AE1099" s="1303"/>
      <c r="AF1099" s="1303"/>
      <c r="AG1099" s="1303"/>
      <c r="AH1099" s="1303"/>
      <c r="AI1099" s="1303"/>
      <c r="AJ1099" s="1303"/>
      <c r="AK1099" s="1303"/>
    </row>
    <row r="1100" spans="1:37" ht="13" customHeight="1">
      <c r="A1100" s="1117"/>
      <c r="B1100" s="1117"/>
      <c r="C1100" s="1081"/>
      <c r="D1100" s="1303"/>
      <c r="E1100" s="1303"/>
      <c r="F1100" s="1303"/>
      <c r="G1100" s="1303"/>
      <c r="H1100" s="1303"/>
      <c r="I1100" s="1303"/>
      <c r="J1100" s="1303"/>
      <c r="K1100" s="1303"/>
      <c r="L1100" s="1303"/>
      <c r="M1100" s="1303"/>
      <c r="N1100" s="1303"/>
      <c r="O1100" s="1303"/>
      <c r="P1100" s="1303"/>
      <c r="Q1100" s="1303"/>
      <c r="R1100" s="1303"/>
      <c r="S1100" s="1303"/>
      <c r="T1100" s="1303"/>
      <c r="U1100" s="1303"/>
      <c r="V1100" s="1303"/>
      <c r="W1100" s="1303"/>
      <c r="X1100" s="1303"/>
      <c r="Y1100" s="1303"/>
      <c r="Z1100" s="1303"/>
      <c r="AA1100" s="1303"/>
      <c r="AB1100" s="1303"/>
      <c r="AC1100" s="1303"/>
      <c r="AD1100" s="1303"/>
      <c r="AE1100" s="1303"/>
      <c r="AF1100" s="1303"/>
      <c r="AG1100" s="1303"/>
      <c r="AH1100" s="1303"/>
      <c r="AI1100" s="1303"/>
      <c r="AJ1100" s="1303"/>
      <c r="AK1100" s="1303"/>
    </row>
    <row r="1101" spans="1:37" ht="0" hidden="1" customHeight="1">
      <c r="A1101" s="1117"/>
      <c r="B1101" s="1117"/>
      <c r="C1101" s="1081"/>
      <c r="D1101" s="1303"/>
      <c r="E1101" s="1303"/>
      <c r="F1101" s="1303"/>
      <c r="G1101" s="1303"/>
      <c r="H1101" s="1303"/>
      <c r="I1101" s="1303"/>
      <c r="J1101" s="1303"/>
      <c r="K1101" s="1303"/>
      <c r="L1101" s="1303"/>
      <c r="M1101" s="1303"/>
      <c r="N1101" s="1303"/>
      <c r="O1101" s="1303"/>
      <c r="P1101" s="1303"/>
      <c r="Q1101" s="1303"/>
      <c r="R1101" s="1303"/>
      <c r="S1101" s="1303"/>
      <c r="T1101" s="1303"/>
      <c r="U1101" s="1303"/>
      <c r="V1101" s="1303"/>
      <c r="W1101" s="1303"/>
      <c r="X1101" s="1303"/>
      <c r="Y1101" s="1303"/>
      <c r="Z1101" s="1303"/>
      <c r="AA1101" s="1303"/>
      <c r="AB1101" s="1303"/>
      <c r="AC1101" s="1303"/>
      <c r="AD1101" s="1303"/>
      <c r="AE1101" s="1303"/>
      <c r="AF1101" s="1303"/>
      <c r="AG1101" s="1303"/>
      <c r="AH1101" s="1303"/>
      <c r="AI1101" s="1303"/>
      <c r="AJ1101" s="1303"/>
      <c r="AK1101" s="1303"/>
    </row>
    <row r="1102" spans="1:37" ht="0" hidden="1" customHeight="1">
      <c r="A1102" s="68"/>
      <c r="B1102" s="20"/>
      <c r="C1102" s="1081"/>
      <c r="D1102" s="1303"/>
      <c r="E1102" s="1303"/>
      <c r="F1102" s="1303"/>
      <c r="G1102" s="1303"/>
      <c r="H1102" s="1303"/>
      <c r="I1102" s="1303"/>
      <c r="J1102" s="1303"/>
      <c r="K1102" s="1303"/>
      <c r="L1102" s="1303"/>
      <c r="M1102" s="1303"/>
      <c r="N1102" s="1303"/>
      <c r="O1102" s="1303"/>
      <c r="P1102" s="1303"/>
      <c r="Q1102" s="1303"/>
      <c r="R1102" s="1303"/>
      <c r="S1102" s="1303"/>
      <c r="T1102" s="1303"/>
      <c r="U1102" s="1303"/>
      <c r="V1102" s="1303"/>
      <c r="W1102" s="1303"/>
      <c r="X1102" s="1303"/>
      <c r="Y1102" s="1303"/>
      <c r="Z1102" s="1303"/>
      <c r="AA1102" s="1303"/>
      <c r="AB1102" s="1303"/>
      <c r="AC1102" s="1303"/>
      <c r="AD1102" s="1303"/>
      <c r="AE1102" s="1303"/>
      <c r="AF1102" s="1303"/>
      <c r="AG1102" s="1303"/>
      <c r="AH1102" s="1303"/>
      <c r="AI1102" s="1303"/>
      <c r="AJ1102" s="1303"/>
      <c r="AK1102" s="1303"/>
    </row>
    <row r="1103" spans="1:37" ht="0" hidden="1" customHeight="1">
      <c r="A1103" s="1361" t="s">
        <v>299</v>
      </c>
      <c r="B1103" s="1361"/>
      <c r="C1103" s="1081">
        <v>9</v>
      </c>
      <c r="D1103" s="1221" t="s">
        <v>1795</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68"/>
      <c r="B1104" s="20"/>
      <c r="C1104" s="1081"/>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O718:S718"/>
    <mergeCell ref="O720:S720"/>
    <mergeCell ref="G714:J717"/>
    <mergeCell ref="G722:J722"/>
    <mergeCell ref="W700:AK700"/>
    <mergeCell ref="Z683:AK683"/>
    <mergeCell ref="AA688:AK688"/>
    <mergeCell ref="AC719:AG719"/>
    <mergeCell ref="G677:R677"/>
    <mergeCell ref="Z678:AK678"/>
    <mergeCell ref="G685:R685"/>
    <mergeCell ref="G679:L679"/>
    <mergeCell ref="H664:R664"/>
    <mergeCell ref="K725:N725"/>
    <mergeCell ref="K728:N728"/>
    <mergeCell ref="AC714:AG717"/>
    <mergeCell ref="AC720:AG720"/>
    <mergeCell ref="X719:AB719"/>
    <mergeCell ref="AG673:AH673"/>
    <mergeCell ref="AC721:AG721"/>
    <mergeCell ref="AC722:AG722"/>
    <mergeCell ref="AH720:AJ720"/>
    <mergeCell ref="X718:AB718"/>
    <mergeCell ref="AK726:AO726"/>
    <mergeCell ref="AK722:AO722"/>
    <mergeCell ref="AA680:AK680"/>
    <mergeCell ref="O727:S727"/>
    <mergeCell ref="N681:O681"/>
    <mergeCell ref="AG665:AH665"/>
    <mergeCell ref="T724:W724"/>
    <mergeCell ref="B719:F719"/>
    <mergeCell ref="AA656:AK656"/>
    <mergeCell ref="B737:F737"/>
    <mergeCell ref="B735:F735"/>
    <mergeCell ref="B738:F738"/>
    <mergeCell ref="O733:S733"/>
    <mergeCell ref="T728:W728"/>
    <mergeCell ref="G670:R670"/>
    <mergeCell ref="B726:F726"/>
    <mergeCell ref="Z652:AK652"/>
    <mergeCell ref="G654:R654"/>
    <mergeCell ref="AC745:AG745"/>
    <mergeCell ref="AC746:AG746"/>
    <mergeCell ref="AC637:AE637"/>
    <mergeCell ref="AC638:AE638"/>
    <mergeCell ref="Q638:S638"/>
    <mergeCell ref="H648:R648"/>
    <mergeCell ref="Z647:AE647"/>
    <mergeCell ref="P647:R647"/>
    <mergeCell ref="AI647:AK647"/>
    <mergeCell ref="H656:R656"/>
    <mergeCell ref="N673:O673"/>
    <mergeCell ref="G687:L687"/>
    <mergeCell ref="T722:W722"/>
    <mergeCell ref="AH733:AJ733"/>
    <mergeCell ref="G723:J723"/>
    <mergeCell ref="O725:S725"/>
    <mergeCell ref="O726:S726"/>
    <mergeCell ref="AI663:AK663"/>
    <mergeCell ref="K718:N718"/>
    <mergeCell ref="T737:W737"/>
    <mergeCell ref="G719:J719"/>
    <mergeCell ref="C763:AR765"/>
    <mergeCell ref="C766:AR768"/>
    <mergeCell ref="X791:AB791"/>
    <mergeCell ref="O732:S732"/>
    <mergeCell ref="G737:J737"/>
    <mergeCell ref="G735:J735"/>
    <mergeCell ref="K726:N726"/>
    <mergeCell ref="AK731:AO731"/>
    <mergeCell ref="Z686:AK686"/>
    <mergeCell ref="X730:AB730"/>
    <mergeCell ref="X731:AB731"/>
    <mergeCell ref="H688:R688"/>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AE702:AF702"/>
    <mergeCell ref="T733:W733"/>
    <mergeCell ref="O734:S734"/>
    <mergeCell ref="B714:F717"/>
    <mergeCell ref="AE693:AF693"/>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A930:AF930"/>
    <mergeCell ref="U921:Z921"/>
    <mergeCell ref="AA923:AF923"/>
    <mergeCell ref="AA924:AF924"/>
    <mergeCell ref="T775:W775"/>
    <mergeCell ref="Q636:S636"/>
    <mergeCell ref="Q637:S637"/>
    <mergeCell ref="Z646:AK646"/>
    <mergeCell ref="G580:R580"/>
    <mergeCell ref="W631:Y631"/>
    <mergeCell ref="AG615:AH615"/>
    <mergeCell ref="G612:R612"/>
    <mergeCell ref="G611:R611"/>
    <mergeCell ref="AA337:AK337"/>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A69:AT70"/>
    <mergeCell ref="A72:AT73"/>
    <mergeCell ref="C637:L637"/>
    <mergeCell ref="C638:L638"/>
    <mergeCell ref="O33:P33"/>
    <mergeCell ref="Z612:AK612"/>
    <mergeCell ref="A222:AT223"/>
    <mergeCell ref="A169:AT170"/>
    <mergeCell ref="Q627:S627"/>
    <mergeCell ref="Q628:S628"/>
    <mergeCell ref="Q629:S629"/>
    <mergeCell ref="Q630:S630"/>
    <mergeCell ref="Q631:S631"/>
    <mergeCell ref="Q632:S632"/>
    <mergeCell ref="Q633:S633"/>
    <mergeCell ref="Q634:S634"/>
    <mergeCell ref="AK633:AN633"/>
    <mergeCell ref="P613:R613"/>
    <mergeCell ref="G577:R577"/>
    <mergeCell ref="G594:R594"/>
    <mergeCell ref="N615:O615"/>
    <mergeCell ref="AC633:AE633"/>
    <mergeCell ref="AC634:AE634"/>
    <mergeCell ref="AA573:AK573"/>
    <mergeCell ref="Z594:AK594"/>
    <mergeCell ref="G601:R601"/>
    <mergeCell ref="I392:N392"/>
    <mergeCell ref="M357:N357"/>
    <mergeCell ref="J385:U385"/>
    <mergeCell ref="V381:W381"/>
    <mergeCell ref="T555:V555"/>
    <mergeCell ref="W634:Y634"/>
    <mergeCell ref="H590:R590"/>
    <mergeCell ref="AI331:AK331"/>
    <mergeCell ref="P339:R339"/>
    <mergeCell ref="Z609:AK609"/>
    <mergeCell ref="G609:R609"/>
    <mergeCell ref="AF636:AJ636"/>
    <mergeCell ref="AK740:AO740"/>
    <mergeCell ref="AK741:AO741"/>
    <mergeCell ref="AH732:AJ732"/>
    <mergeCell ref="O740:S740"/>
    <mergeCell ref="K741:N741"/>
    <mergeCell ref="AK748:AO748"/>
    <mergeCell ref="AH731:AJ731"/>
    <mergeCell ref="X739:AB739"/>
    <mergeCell ref="G740:J740"/>
    <mergeCell ref="Z675:AK675"/>
    <mergeCell ref="AC734:AG734"/>
    <mergeCell ref="AC735:AG735"/>
    <mergeCell ref="X732:AB732"/>
    <mergeCell ref="K734:N734"/>
    <mergeCell ref="AC733:AG733"/>
    <mergeCell ref="AH734:AJ734"/>
    <mergeCell ref="X737:AB737"/>
    <mergeCell ref="X723:AB723"/>
    <mergeCell ref="T719:W719"/>
    <mergeCell ref="O724:S724"/>
    <mergeCell ref="T725:W725"/>
    <mergeCell ref="G724:J724"/>
    <mergeCell ref="G610:R610"/>
    <mergeCell ref="AF637:AJ637"/>
    <mergeCell ref="AF638:AJ638"/>
    <mergeCell ref="C636:L636"/>
    <mergeCell ref="N665:O665"/>
    <mergeCell ref="W637:Y637"/>
    <mergeCell ref="W632:Y632"/>
    <mergeCell ref="K746:N746"/>
    <mergeCell ref="W562:Y562"/>
    <mergeCell ref="W563:Y563"/>
    <mergeCell ref="W564:Y564"/>
    <mergeCell ref="T560:V560"/>
    <mergeCell ref="G570:R570"/>
    <mergeCell ref="Z561:AD561"/>
    <mergeCell ref="M562:P562"/>
    <mergeCell ref="AC630:AE630"/>
    <mergeCell ref="T565:V565"/>
    <mergeCell ref="AF635:AJ635"/>
    <mergeCell ref="AF627:AJ627"/>
    <mergeCell ref="T563:V563"/>
    <mergeCell ref="N363:O363"/>
    <mergeCell ref="Z593:AK593"/>
    <mergeCell ref="AC627:AE627"/>
    <mergeCell ref="AK629:AN629"/>
    <mergeCell ref="Z564:AD564"/>
    <mergeCell ref="Z565:AD565"/>
    <mergeCell ref="Z572:AE572"/>
    <mergeCell ref="AM562:AS562"/>
    <mergeCell ref="Z432:AA432"/>
    <mergeCell ref="Q487:AK487"/>
    <mergeCell ref="Q486:AK486"/>
    <mergeCell ref="AC635:AE635"/>
    <mergeCell ref="Q635:S635"/>
    <mergeCell ref="AK624:AN626"/>
    <mergeCell ref="AK627:AN627"/>
    <mergeCell ref="Z635:AB635"/>
    <mergeCell ref="AI562:AL562"/>
    <mergeCell ref="B503:H508"/>
    <mergeCell ref="C554:L554"/>
    <mergeCell ref="G586:R586"/>
    <mergeCell ref="O746:S746"/>
    <mergeCell ref="T746:W746"/>
    <mergeCell ref="K747:N747"/>
    <mergeCell ref="G729:J729"/>
    <mergeCell ref="AK749:AO749"/>
    <mergeCell ref="G741:J741"/>
    <mergeCell ref="AK637:AN637"/>
    <mergeCell ref="AK638:AN638"/>
    <mergeCell ref="G653:R653"/>
    <mergeCell ref="Z662:AK662"/>
    <mergeCell ref="G668:R668"/>
    <mergeCell ref="P671:R671"/>
    <mergeCell ref="P687:R687"/>
    <mergeCell ref="J705:O705"/>
    <mergeCell ref="J704:X704"/>
    <mergeCell ref="K720:N720"/>
    <mergeCell ref="W703:AK703"/>
    <mergeCell ref="G678:R678"/>
    <mergeCell ref="P679:R679"/>
    <mergeCell ref="Z676:AK676"/>
    <mergeCell ref="K748:N748"/>
    <mergeCell ref="O748:S748"/>
    <mergeCell ref="H672:R672"/>
    <mergeCell ref="G676:R676"/>
    <mergeCell ref="O747:S747"/>
    <mergeCell ref="T747:W747"/>
    <mergeCell ref="AC747:AG747"/>
    <mergeCell ref="K727:N727"/>
    <mergeCell ref="O731:S731"/>
    <mergeCell ref="AK724:AO724"/>
    <mergeCell ref="G728:J728"/>
    <mergeCell ref="X733:AB733"/>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AK750:AO750"/>
    <mergeCell ref="AK751:AO751"/>
    <mergeCell ref="AK738:AO738"/>
    <mergeCell ref="K739:N739"/>
    <mergeCell ref="O730:S730"/>
    <mergeCell ref="AK744:AO744"/>
    <mergeCell ref="X743:AB743"/>
    <mergeCell ref="X744:AB744"/>
    <mergeCell ref="AH746:AJ746"/>
    <mergeCell ref="AH747:AJ747"/>
    <mergeCell ref="AH748:AJ748"/>
    <mergeCell ref="AH721:AJ721"/>
    <mergeCell ref="EM670:EQ670"/>
    <mergeCell ref="AK730:AO730"/>
    <mergeCell ref="AH727:AJ727"/>
    <mergeCell ref="AC724:AG724"/>
    <mergeCell ref="AC730:AG730"/>
    <mergeCell ref="AG681:AH681"/>
    <mergeCell ref="AH724:AJ724"/>
    <mergeCell ref="AK728:AO728"/>
    <mergeCell ref="AK729:AO729"/>
    <mergeCell ref="X728:AB728"/>
    <mergeCell ref="AE694:AF694"/>
    <mergeCell ref="AK727:AO727"/>
    <mergeCell ref="AK720:AO720"/>
    <mergeCell ref="AK721:AO721"/>
    <mergeCell ref="AK725:AO725"/>
    <mergeCell ref="AI687:AK687"/>
    <mergeCell ref="AE696:AI696"/>
    <mergeCell ref="CM660:CQ660"/>
    <mergeCell ref="CX652:DB652"/>
    <mergeCell ref="DC652:DG652"/>
    <mergeCell ref="DC650:DG650"/>
    <mergeCell ref="DR654:DV654"/>
    <mergeCell ref="DR653:DV653"/>
    <mergeCell ref="BX652:CB652"/>
    <mergeCell ref="DH652:DL652"/>
    <mergeCell ref="DM652:DQ652"/>
    <mergeCell ref="CS653:CW653"/>
    <mergeCell ref="CX653:DB653"/>
    <mergeCell ref="DR649:DV649"/>
    <mergeCell ref="DR652:DV652"/>
    <mergeCell ref="BN649:BR649"/>
    <mergeCell ref="BN648:BR648"/>
    <mergeCell ref="BS649:BW649"/>
    <mergeCell ref="CX651:DB651"/>
    <mergeCell ref="BS651:BW651"/>
    <mergeCell ref="DR650:DV650"/>
    <mergeCell ref="CM649:CQ649"/>
    <mergeCell ref="DH649:DL649"/>
    <mergeCell ref="DM649:DQ649"/>
    <mergeCell ref="CS651:CW651"/>
    <mergeCell ref="DR651:DV651"/>
    <mergeCell ref="CX650:DB650"/>
    <mergeCell ref="CC651:CG651"/>
    <mergeCell ref="BX649:CB649"/>
    <mergeCell ref="DC651:DG651"/>
    <mergeCell ref="CS652:CW652"/>
    <mergeCell ref="DR657:DV657"/>
    <mergeCell ref="CH660:CL660"/>
    <mergeCell ref="DH650:DL650"/>
    <mergeCell ref="DM647:DQ647"/>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CS655:CW655"/>
    <mergeCell ref="CS654:CW654"/>
    <mergeCell ref="CX654:DB654"/>
    <mergeCell ref="DC654:DG654"/>
    <mergeCell ref="BS653:BW653"/>
    <mergeCell ref="DC653:DG653"/>
    <mergeCell ref="CS650:CW650"/>
    <mergeCell ref="BX654:CB654"/>
    <mergeCell ref="CH652:CL652"/>
    <mergeCell ref="CH653:CL653"/>
    <mergeCell ref="CH654:CL654"/>
    <mergeCell ref="CM652:CQ652"/>
    <mergeCell ref="CM653:CQ653"/>
    <mergeCell ref="CM654:CQ654"/>
    <mergeCell ref="CX655:DB655"/>
    <mergeCell ref="DC655:DG655"/>
    <mergeCell ref="BS654:BW654"/>
    <mergeCell ref="BS646:BW646"/>
    <mergeCell ref="DR655:DV655"/>
    <mergeCell ref="CC655:CG655"/>
    <mergeCell ref="CH655:CL655"/>
    <mergeCell ref="CM655:CQ655"/>
    <mergeCell ref="DH651:DL651"/>
    <mergeCell ref="DM651:DQ651"/>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45:DQ645"/>
    <mergeCell ref="DR645:DV645"/>
    <mergeCell ref="DC649:DG649"/>
    <mergeCell ref="CC647:CG647"/>
    <mergeCell ref="BX650:CB650"/>
    <mergeCell ref="CH648:CL648"/>
    <mergeCell ref="CC648:CG648"/>
    <mergeCell ref="BS652:BW652"/>
    <mergeCell ref="CH651:CL651"/>
    <mergeCell ref="DH646:DL646"/>
    <mergeCell ref="DM653:DQ653"/>
    <mergeCell ref="DH654:DL654"/>
    <mergeCell ref="CH638:CL638"/>
    <mergeCell ref="CM646:CQ646"/>
    <mergeCell ref="BX647:CB647"/>
    <mergeCell ref="BX646:CB646"/>
    <mergeCell ref="CM632:CQ632"/>
    <mergeCell ref="CM637:CQ637"/>
    <mergeCell ref="CH630:CL630"/>
    <mergeCell ref="CC645:CG645"/>
    <mergeCell ref="CM650:CQ650"/>
    <mergeCell ref="CS649:CW649"/>
    <mergeCell ref="CC649:CG649"/>
    <mergeCell ref="CH649:CL649"/>
    <mergeCell ref="CS648:CW648"/>
    <mergeCell ref="BX648:CB648"/>
    <mergeCell ref="CM630:CQ630"/>
    <mergeCell ref="CM631:CQ631"/>
    <mergeCell ref="CH647:CL647"/>
    <mergeCell ref="CS647:CW647"/>
    <mergeCell ref="CX646:DB646"/>
    <mergeCell ref="CH646:CL646"/>
    <mergeCell ref="DH647:DL647"/>
    <mergeCell ref="DH631:DL631"/>
    <mergeCell ref="CC630:CG630"/>
    <mergeCell ref="BX632:CB632"/>
    <mergeCell ref="CM645:CQ645"/>
    <mergeCell ref="CH639:CL639"/>
    <mergeCell ref="DH645:DL645"/>
    <mergeCell ref="DH628:DL628"/>
    <mergeCell ref="DM628:DQ628"/>
    <mergeCell ref="BX628:CB628"/>
    <mergeCell ref="CC628:CG628"/>
    <mergeCell ref="CH628:CL628"/>
    <mergeCell ref="CM628:CQ628"/>
    <mergeCell ref="CC640:CG640"/>
    <mergeCell ref="BX624:CB624"/>
    <mergeCell ref="CH624:CL624"/>
    <mergeCell ref="CM624:CQ624"/>
    <mergeCell ref="BX627:CB627"/>
    <mergeCell ref="CC627:CG627"/>
    <mergeCell ref="CH627:CL627"/>
    <mergeCell ref="CM627:CQ627"/>
    <mergeCell ref="DH626:DL626"/>
    <mergeCell ref="CC625:CG625"/>
    <mergeCell ref="CS632:CW632"/>
    <mergeCell ref="CX632:DB632"/>
    <mergeCell ref="CM625:CQ625"/>
    <mergeCell ref="BX625:CB625"/>
    <mergeCell ref="CS626:CW626"/>
    <mergeCell ref="CX626:DB626"/>
    <mergeCell ref="CM647:CQ647"/>
    <mergeCell ref="CC623:CG623"/>
    <mergeCell ref="CC629:CG629"/>
    <mergeCell ref="CH629:CL629"/>
    <mergeCell ref="CM638:CQ638"/>
    <mergeCell ref="CC621:CG621"/>
    <mergeCell ref="BX637:CB637"/>
    <mergeCell ref="DM619:DQ619"/>
    <mergeCell ref="DR647:DV647"/>
    <mergeCell ref="DM646:DQ646"/>
    <mergeCell ref="DR646:DV646"/>
    <mergeCell ref="DR630:DV630"/>
    <mergeCell ref="CM629:CQ629"/>
    <mergeCell ref="DC623:DG623"/>
    <mergeCell ref="DH623:DL623"/>
    <mergeCell ref="DM623:DQ623"/>
    <mergeCell ref="DR623:DV623"/>
    <mergeCell ref="DC620:DG620"/>
    <mergeCell ref="DH620:DL620"/>
    <mergeCell ref="DM620:DQ620"/>
    <mergeCell ref="CX647:DB647"/>
    <mergeCell ref="DC647:DG647"/>
    <mergeCell ref="BX631:CB631"/>
    <mergeCell ref="DR632:DV632"/>
    <mergeCell ref="CC646:CG646"/>
    <mergeCell ref="DC645:DG645"/>
    <mergeCell ref="CS646:CW646"/>
    <mergeCell ref="DC624:DG624"/>
    <mergeCell ref="DH624:DL624"/>
    <mergeCell ref="DR620:DV620"/>
    <mergeCell ref="CS621:CW621"/>
    <mergeCell ref="CX621:DB621"/>
    <mergeCell ref="DC621:DG621"/>
    <mergeCell ref="DH648:DL648"/>
    <mergeCell ref="DM648:DQ648"/>
    <mergeCell ref="DR648:DV648"/>
    <mergeCell ref="BN617:BR617"/>
    <mergeCell ref="DR619:DV619"/>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DM626:DQ626"/>
    <mergeCell ref="DR626:DV626"/>
    <mergeCell ref="CS627:CW627"/>
    <mergeCell ref="CX627:DB627"/>
    <mergeCell ref="DC627:DG627"/>
    <mergeCell ref="DH627:DL627"/>
    <mergeCell ref="DM627:DQ627"/>
    <mergeCell ref="DR627:DV627"/>
    <mergeCell ref="CH622:CL622"/>
    <mergeCell ref="DR628:DV628"/>
    <mergeCell ref="BN647:BR647"/>
    <mergeCell ref="CM648:CQ648"/>
    <mergeCell ref="CC617:CG617"/>
    <mergeCell ref="AC631:AE631"/>
    <mergeCell ref="AC632:AE632"/>
    <mergeCell ref="CS620:CW620"/>
    <mergeCell ref="CX620:DB620"/>
    <mergeCell ref="CM626:CQ626"/>
    <mergeCell ref="BN627:BR627"/>
    <mergeCell ref="BS627:BW627"/>
    <mergeCell ref="BK629:BL629"/>
    <mergeCell ref="BE626:BF626"/>
    <mergeCell ref="BG626:BH626"/>
    <mergeCell ref="CS618:CW618"/>
    <mergeCell ref="CX618:DB618"/>
    <mergeCell ref="DC618:DG618"/>
    <mergeCell ref="BN641:BR641"/>
    <mergeCell ref="BN637:BR637"/>
    <mergeCell ref="BS631:BW631"/>
    <mergeCell ref="AO636:AS636"/>
    <mergeCell ref="AO627:AS627"/>
    <mergeCell ref="DC619:DG619"/>
    <mergeCell ref="CH621:CL621"/>
    <mergeCell ref="CM621:CQ621"/>
    <mergeCell ref="CH620:CL620"/>
    <mergeCell ref="CM620:CQ620"/>
    <mergeCell ref="CM633:CQ633"/>
    <mergeCell ref="DC631:DG631"/>
    <mergeCell ref="BE631:BF631"/>
    <mergeCell ref="CS619:CW619"/>
    <mergeCell ref="CX619:DB619"/>
    <mergeCell ref="DC626:DG626"/>
    <mergeCell ref="CC619:CG619"/>
    <mergeCell ref="BE623:BF623"/>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CM622:CQ622"/>
    <mergeCell ref="CS624:CW624"/>
    <mergeCell ref="CX624:DB624"/>
    <mergeCell ref="CM623:CQ623"/>
    <mergeCell ref="CH625:CL625"/>
    <mergeCell ref="DM624:DQ624"/>
    <mergeCell ref="CS628:CW628"/>
    <mergeCell ref="CX628:DB628"/>
    <mergeCell ref="DC628:DG628"/>
    <mergeCell ref="CM619:CQ619"/>
    <mergeCell ref="CH619:CL619"/>
    <mergeCell ref="CM616:CQ616"/>
    <mergeCell ref="DM617:DQ617"/>
    <mergeCell ref="ER649:EV649"/>
    <mergeCell ref="DX652:EB652"/>
    <mergeCell ref="EC652:EG652"/>
    <mergeCell ref="EH652:EL652"/>
    <mergeCell ref="ER650:EV650"/>
    <mergeCell ref="ER655:EV655"/>
    <mergeCell ref="EC637:EG637"/>
    <mergeCell ref="EH637:EL637"/>
    <mergeCell ref="DX643:EB643"/>
    <mergeCell ref="EM645:EQ645"/>
    <mergeCell ref="EH640:EL640"/>
    <mergeCell ref="EM640:EQ640"/>
    <mergeCell ref="DX639:EB639"/>
    <mergeCell ref="ER640:EV640"/>
    <mergeCell ref="ER639:EV639"/>
    <mergeCell ref="EH655:EL655"/>
    <mergeCell ref="ER641:EV641"/>
    <mergeCell ref="ER646:EV646"/>
    <mergeCell ref="DX638:EB638"/>
    <mergeCell ref="EC638:EG638"/>
    <mergeCell ref="EH638:EL638"/>
    <mergeCell ref="EM638:EQ638"/>
    <mergeCell ref="ER638:EV638"/>
    <mergeCell ref="ER670:EV670"/>
    <mergeCell ref="DX669:EB669"/>
    <mergeCell ref="EC670:EG670"/>
    <mergeCell ref="EH670:EL670"/>
    <mergeCell ref="EC669:EG669"/>
    <mergeCell ref="EH669:EL669"/>
    <mergeCell ref="EM669:EQ669"/>
    <mergeCell ref="ER665:EV665"/>
    <mergeCell ref="EH648:EL648"/>
    <mergeCell ref="EH651:EL651"/>
    <mergeCell ref="EH650:EL650"/>
    <mergeCell ref="EM650:EQ650"/>
    <mergeCell ref="DX653:EB653"/>
    <mergeCell ref="EC653:EG653"/>
    <mergeCell ref="DX654:EB654"/>
    <mergeCell ref="EC654:EG654"/>
    <mergeCell ref="EH654:EL654"/>
    <mergeCell ref="EM649:EQ649"/>
    <mergeCell ref="EH653:EL653"/>
    <mergeCell ref="EM653:EQ653"/>
    <mergeCell ref="ER653:EV653"/>
    <mergeCell ref="DX668:EB668"/>
    <mergeCell ref="EC668:EG668"/>
    <mergeCell ref="EH668:EL668"/>
    <mergeCell ref="EM668:EQ668"/>
    <mergeCell ref="ER656:EV656"/>
    <mergeCell ref="ER669:EV669"/>
    <mergeCell ref="ER668:EV668"/>
    <mergeCell ref="DX656:EB656"/>
    <mergeCell ref="DX666:EB666"/>
    <mergeCell ref="EM655:EQ655"/>
    <mergeCell ref="DX648:EB648"/>
    <mergeCell ref="DX661:EB661"/>
    <mergeCell ref="EC661:EG661"/>
    <mergeCell ref="EH661:EL661"/>
    <mergeCell ref="EW653:FA653"/>
    <mergeCell ref="DX649:EB649"/>
    <mergeCell ref="EH649:EL649"/>
    <mergeCell ref="DX655:EB655"/>
    <mergeCell ref="EW654:FA654"/>
    <mergeCell ref="ER661:EV661"/>
    <mergeCell ref="EW661:FA661"/>
    <mergeCell ref="EM662:EQ662"/>
    <mergeCell ref="ER662:EV662"/>
    <mergeCell ref="DX658:EB658"/>
    <mergeCell ref="EH641:EL641"/>
    <mergeCell ref="EM641:EQ641"/>
    <mergeCell ref="ER643:EV643"/>
    <mergeCell ref="EC656:EG656"/>
    <mergeCell ref="EH656:EL656"/>
    <mergeCell ref="EM656:EQ656"/>
    <mergeCell ref="ER645:EV645"/>
    <mergeCell ref="EW645:FA645"/>
    <mergeCell ref="DX646:EB646"/>
    <mergeCell ref="EC646:EG646"/>
    <mergeCell ref="EH646:EL646"/>
    <mergeCell ref="EM648:EQ648"/>
    <mergeCell ref="EM646:EQ646"/>
    <mergeCell ref="EW642:FA642"/>
    <mergeCell ref="EW643:FA643"/>
    <mergeCell ref="DX644:EB644"/>
    <mergeCell ref="EC644:EG644"/>
    <mergeCell ref="EH644:EL644"/>
    <mergeCell ref="EH647:EL647"/>
    <mergeCell ref="EW669:FA669"/>
    <mergeCell ref="EM667:EQ667"/>
    <mergeCell ref="ER667:EV667"/>
    <mergeCell ref="EW667:FA667"/>
    <mergeCell ref="EM661:EQ661"/>
    <mergeCell ref="EW657:FA657"/>
    <mergeCell ref="EW668:FA668"/>
    <mergeCell ref="EW665:FA665"/>
    <mergeCell ref="EW662:FA662"/>
    <mergeCell ref="EW663:FA663"/>
    <mergeCell ref="EC666:EG666"/>
    <mergeCell ref="EH666:EL666"/>
    <mergeCell ref="EW655:FA655"/>
    <mergeCell ref="EW650:FA650"/>
    <mergeCell ref="EW651:FA651"/>
    <mergeCell ref="EW649:FA649"/>
    <mergeCell ref="EW652:FA652"/>
    <mergeCell ref="ER664:EV664"/>
    <mergeCell ref="EW664:FA664"/>
    <mergeCell ref="EC658:EG658"/>
    <mergeCell ref="EH658:EL658"/>
    <mergeCell ref="EM658:EQ658"/>
    <mergeCell ref="ER658:EV658"/>
    <mergeCell ref="EW658:FA658"/>
    <mergeCell ref="EC663:EG663"/>
    <mergeCell ref="EH663:EL663"/>
    <mergeCell ref="EM663:EQ663"/>
    <mergeCell ref="ER663:EV663"/>
    <mergeCell ref="EW660:FA660"/>
    <mergeCell ref="ER651:EV651"/>
    <mergeCell ref="ER652:EV652"/>
    <mergeCell ref="EM651:EQ651"/>
    <mergeCell ref="EW670:FA670"/>
    <mergeCell ref="EW656:FA656"/>
    <mergeCell ref="DX657:EB657"/>
    <mergeCell ref="EC657:EG657"/>
    <mergeCell ref="EH657:EL657"/>
    <mergeCell ref="EM657:EQ657"/>
    <mergeCell ref="ER657:EV657"/>
    <mergeCell ref="EM654:EQ654"/>
    <mergeCell ref="ER654:EV654"/>
    <mergeCell ref="EM652:EQ652"/>
    <mergeCell ref="DX650:EB650"/>
    <mergeCell ref="EC650:EG650"/>
    <mergeCell ref="EC655:EG655"/>
    <mergeCell ref="DX651:EB651"/>
    <mergeCell ref="EC651:EG651"/>
    <mergeCell ref="DX665:EB665"/>
    <mergeCell ref="EC665:EG665"/>
    <mergeCell ref="EH665:EL665"/>
    <mergeCell ref="EM665:EQ665"/>
    <mergeCell ref="DX670:EB670"/>
    <mergeCell ref="EM664:EQ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48:FA648"/>
    <mergeCell ref="DX647:EB647"/>
    <mergeCell ref="EC647:EG647"/>
    <mergeCell ref="EC648:EG648"/>
    <mergeCell ref="EW619:FA619"/>
    <mergeCell ref="EC630:EG630"/>
    <mergeCell ref="EH630:EL630"/>
    <mergeCell ref="EM630:EQ630"/>
    <mergeCell ref="ER630:EV630"/>
    <mergeCell ref="EW630:FA630"/>
    <mergeCell ref="DX631:EB631"/>
    <mergeCell ref="EC631:EG631"/>
    <mergeCell ref="EH631:EL631"/>
    <mergeCell ref="EM631:EQ631"/>
    <mergeCell ref="ER631:EV631"/>
    <mergeCell ref="EW644:FA644"/>
    <mergeCell ref="EC641:EG641"/>
    <mergeCell ref="EC643:EG643"/>
    <mergeCell ref="EH643:EL643"/>
    <mergeCell ref="EM643:EQ643"/>
    <mergeCell ref="ER642:EV642"/>
    <mergeCell ref="DX641:EB641"/>
    <mergeCell ref="EM636:EQ636"/>
    <mergeCell ref="DX637:EB637"/>
    <mergeCell ref="EM647:EQ647"/>
    <mergeCell ref="ER619:EV619"/>
    <mergeCell ref="DX627:EB627"/>
    <mergeCell ref="EC627:EG627"/>
    <mergeCell ref="ER625:EV625"/>
    <mergeCell ref="EW625:FA625"/>
    <mergeCell ref="DX626:EB626"/>
    <mergeCell ref="EC626:EG626"/>
    <mergeCell ref="EH615:EL615"/>
    <mergeCell ref="EC621:EG621"/>
    <mergeCell ref="DX623:EB623"/>
    <mergeCell ref="EC623:EG623"/>
    <mergeCell ref="DX622:EB622"/>
    <mergeCell ref="EC622:EG622"/>
    <mergeCell ref="EH623:EL623"/>
    <mergeCell ref="EM623:EQ623"/>
    <mergeCell ref="ER623:EV623"/>
    <mergeCell ref="EW646:FA646"/>
    <mergeCell ref="DX645:EB645"/>
    <mergeCell ref="EW641:FA641"/>
    <mergeCell ref="DX642:EB642"/>
    <mergeCell ref="EC642:EG642"/>
    <mergeCell ref="EH642:EL642"/>
    <mergeCell ref="EM642:EQ642"/>
    <mergeCell ref="ER647:EV647"/>
    <mergeCell ref="EH645:EL645"/>
    <mergeCell ref="EW647:FA647"/>
    <mergeCell ref="DX618:EB618"/>
    <mergeCell ref="EC618:EG618"/>
    <mergeCell ref="EH618:EL618"/>
    <mergeCell ref="EM618:EQ618"/>
    <mergeCell ref="ER618:EV618"/>
    <mergeCell ref="EH616:EL616"/>
    <mergeCell ref="EM616:EQ616"/>
    <mergeCell ref="ER626:EV626"/>
    <mergeCell ref="EW626:FA626"/>
    <mergeCell ref="EW622:FA622"/>
    <mergeCell ref="EW623:FA623"/>
    <mergeCell ref="DX624:EB624"/>
    <mergeCell ref="EM625:EQ625"/>
    <mergeCell ref="EH613:EL613"/>
    <mergeCell ref="EM613:EQ613"/>
    <mergeCell ref="ER613:EV613"/>
    <mergeCell ref="EW613:FA613"/>
    <mergeCell ref="DX614:EB614"/>
    <mergeCell ref="EC614:EG614"/>
    <mergeCell ref="EM619:EQ619"/>
    <mergeCell ref="DX619:EB619"/>
    <mergeCell ref="EC619:EG619"/>
    <mergeCell ref="EC624:EG624"/>
    <mergeCell ref="EH624:EL624"/>
    <mergeCell ref="EM624:EQ624"/>
    <mergeCell ref="ER624:EV624"/>
    <mergeCell ref="DX620:EB620"/>
    <mergeCell ref="EC620:EG620"/>
    <mergeCell ref="EH620:EL620"/>
    <mergeCell ref="EM620:EQ620"/>
    <mergeCell ref="ER620:EV620"/>
    <mergeCell ref="EW620:FA620"/>
    <mergeCell ref="DX621:EB621"/>
    <mergeCell ref="EW618:FA618"/>
    <mergeCell ref="DX613:EB613"/>
    <mergeCell ref="EC613:EG613"/>
    <mergeCell ref="EH614:EL614"/>
    <mergeCell ref="EM614:EQ614"/>
    <mergeCell ref="EH621:EL621"/>
    <mergeCell ref="EM621:EQ621"/>
    <mergeCell ref="ER621:EV621"/>
    <mergeCell ref="EW621:FA621"/>
    <mergeCell ref="EH622:EL622"/>
    <mergeCell ref="EM622:EQ622"/>
    <mergeCell ref="ER622:EV622"/>
    <mergeCell ref="EM607:EQ607"/>
    <mergeCell ref="ER607:EV607"/>
    <mergeCell ref="EW607:FA607"/>
    <mergeCell ref="DX608:EB608"/>
    <mergeCell ref="EC608:EG608"/>
    <mergeCell ref="EH608:EL608"/>
    <mergeCell ref="EM608:EQ608"/>
    <mergeCell ref="ER608:EV608"/>
    <mergeCell ref="EW608:FA608"/>
    <mergeCell ref="EW616:FA616"/>
    <mergeCell ref="EH612:EL612"/>
    <mergeCell ref="EM612:EQ612"/>
    <mergeCell ref="DX609:EB609"/>
    <mergeCell ref="EC609:EG609"/>
    <mergeCell ref="EH609:EL609"/>
    <mergeCell ref="EM609:EQ609"/>
    <mergeCell ref="ER609:EV609"/>
    <mergeCell ref="ER611:EV611"/>
    <mergeCell ref="EW611:FA611"/>
    <mergeCell ref="EW612:FA612"/>
    <mergeCell ref="DX612:EB612"/>
    <mergeCell ref="EC612:EG612"/>
    <mergeCell ref="EM615:EQ615"/>
    <mergeCell ref="ER615:EV615"/>
    <mergeCell ref="EW615:FA615"/>
    <mergeCell ref="DX616:EB616"/>
    <mergeCell ref="EC616:EG616"/>
    <mergeCell ref="ER616:EV616"/>
    <mergeCell ref="ER614:EV614"/>
    <mergeCell ref="EW614:FA614"/>
    <mergeCell ref="DX615:EB615"/>
    <mergeCell ref="EC615:EG615"/>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W600:FA600"/>
    <mergeCell ref="DX601:EB601"/>
    <mergeCell ref="EC601:EG601"/>
    <mergeCell ref="EM601:EQ601"/>
    <mergeCell ref="ER601:EV601"/>
    <mergeCell ref="EW601:FA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R984:AA984"/>
    <mergeCell ref="A978:AT980"/>
    <mergeCell ref="R988:AA988"/>
    <mergeCell ref="AB987:AI987"/>
    <mergeCell ref="D987:Q987"/>
    <mergeCell ref="AC894:AH894"/>
    <mergeCell ref="AA932:AF932"/>
    <mergeCell ref="M974:S974"/>
    <mergeCell ref="D984:Q984"/>
    <mergeCell ref="DX599:EB599"/>
    <mergeCell ref="EC599:EG599"/>
    <mergeCell ref="EH599:EL599"/>
    <mergeCell ref="EH601:EL601"/>
    <mergeCell ref="DX604:EB604"/>
    <mergeCell ref="EC604:EG604"/>
    <mergeCell ref="EH604:EL604"/>
    <mergeCell ref="DX664:EB664"/>
    <mergeCell ref="EC664:EG664"/>
    <mergeCell ref="EH664:EL664"/>
    <mergeCell ref="BE624:BF624"/>
    <mergeCell ref="BG624:BH624"/>
    <mergeCell ref="BI624:BJ624"/>
    <mergeCell ref="CC660:CG660"/>
    <mergeCell ref="BS660:BW660"/>
    <mergeCell ref="DM616:DQ616"/>
    <mergeCell ref="CS616:CW616"/>
    <mergeCell ref="DX607:EB607"/>
    <mergeCell ref="EC607:EG607"/>
    <mergeCell ref="EH607:EL607"/>
    <mergeCell ref="DM618:DQ618"/>
    <mergeCell ref="DR618:DV618"/>
    <mergeCell ref="CH637:CL637"/>
    <mergeCell ref="CH641:CL641"/>
    <mergeCell ref="DX602:EB602"/>
    <mergeCell ref="EC602:EG602"/>
    <mergeCell ref="EH602:EL602"/>
    <mergeCell ref="EC645:EG645"/>
    <mergeCell ref="DX663:EB663"/>
    <mergeCell ref="DR616:DV616"/>
    <mergeCell ref="CX616:DB616"/>
    <mergeCell ref="DC632:DG632"/>
    <mergeCell ref="X1047:Y1047"/>
    <mergeCell ref="X1051:Y1051"/>
    <mergeCell ref="I1047:J1047"/>
    <mergeCell ref="I1051:J1051"/>
    <mergeCell ref="AG1048:AH1048"/>
    <mergeCell ref="AG1040:AH1040"/>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AG1024:AH1024"/>
    <mergeCell ref="AJ984:AQ984"/>
    <mergeCell ref="J956:S956"/>
    <mergeCell ref="D986:Q986"/>
    <mergeCell ref="D985:Q985"/>
    <mergeCell ref="AJ1012:AQ1014"/>
    <mergeCell ref="AJ1015:AQ1018"/>
    <mergeCell ref="AJ1024:AQ1027"/>
    <mergeCell ref="AB986:AI986"/>
    <mergeCell ref="AB984:AI984"/>
    <mergeCell ref="AB985:AI985"/>
    <mergeCell ref="D1031:AE1031"/>
    <mergeCell ref="D1032:AE1034"/>
    <mergeCell ref="G732:J732"/>
    <mergeCell ref="K733:N733"/>
    <mergeCell ref="J774:N774"/>
    <mergeCell ref="O756:R756"/>
    <mergeCell ref="AG756:AJ75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AJ1028:AQ1030"/>
    <mergeCell ref="AJ1031:AQ1034"/>
    <mergeCell ref="AJ993:AQ999"/>
    <mergeCell ref="AJ1006:AQ1009"/>
    <mergeCell ref="B748:F748"/>
    <mergeCell ref="B749:F749"/>
    <mergeCell ref="B750:F750"/>
    <mergeCell ref="T736:W736"/>
    <mergeCell ref="G731:J731"/>
    <mergeCell ref="J788:N788"/>
    <mergeCell ref="T776:W776"/>
    <mergeCell ref="T774:W774"/>
    <mergeCell ref="J779:K779"/>
    <mergeCell ref="J787:N787"/>
    <mergeCell ref="K743:N743"/>
    <mergeCell ref="O743:S743"/>
    <mergeCell ref="B754:AH755"/>
    <mergeCell ref="AC748:AG748"/>
    <mergeCell ref="G738:J738"/>
    <mergeCell ref="O750:S750"/>
    <mergeCell ref="K752:N752"/>
    <mergeCell ref="O736:S736"/>
    <mergeCell ref="O744:S744"/>
    <mergeCell ref="AC742:AG742"/>
    <mergeCell ref="AC743:AG743"/>
    <mergeCell ref="AC744:AG744"/>
    <mergeCell ref="K731:N731"/>
    <mergeCell ref="T740:W740"/>
    <mergeCell ref="AH735:AJ735"/>
    <mergeCell ref="X734:AB734"/>
    <mergeCell ref="AA974:AG974"/>
    <mergeCell ref="AA944:AF944"/>
    <mergeCell ref="U917:Z917"/>
    <mergeCell ref="T972:Z972"/>
    <mergeCell ref="I946:T946"/>
    <mergeCell ref="D1000:AE1000"/>
    <mergeCell ref="D1001:AE1005"/>
    <mergeCell ref="D1010:AE1010"/>
    <mergeCell ref="D1011:AE1011"/>
    <mergeCell ref="AF1026:AI1027"/>
    <mergeCell ref="U931:Z931"/>
    <mergeCell ref="AA931:AF931"/>
    <mergeCell ref="F937:T937"/>
    <mergeCell ref="F938:T938"/>
    <mergeCell ref="F939:T939"/>
    <mergeCell ref="D988:Q988"/>
    <mergeCell ref="R987:AA987"/>
    <mergeCell ref="M968:S968"/>
    <mergeCell ref="M961:S961"/>
    <mergeCell ref="AA970:AG970"/>
    <mergeCell ref="AE957:AK957"/>
    <mergeCell ref="AA935:AF935"/>
    <mergeCell ref="U942:Z942"/>
    <mergeCell ref="AA948:AF948"/>
    <mergeCell ref="AA942:AF942"/>
    <mergeCell ref="D1025:AE1027"/>
    <mergeCell ref="R986:AA986"/>
    <mergeCell ref="U928:Z928"/>
    <mergeCell ref="AA928:AF928"/>
    <mergeCell ref="U929:Z929"/>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M633:P633"/>
    <mergeCell ref="M634:P634"/>
    <mergeCell ref="AM566:AS566"/>
    <mergeCell ref="Z613:AE613"/>
    <mergeCell ref="AA614:AK614"/>
    <mergeCell ref="G613:L613"/>
    <mergeCell ref="C627:L627"/>
    <mergeCell ref="M561:P561"/>
    <mergeCell ref="AI563:AL563"/>
    <mergeCell ref="Z562:AD562"/>
    <mergeCell ref="Z563:AD563"/>
    <mergeCell ref="AI564:AL564"/>
    <mergeCell ref="P605:R605"/>
    <mergeCell ref="AI561:AL561"/>
    <mergeCell ref="K736:N736"/>
    <mergeCell ref="O776:S776"/>
    <mergeCell ref="O769:S772"/>
    <mergeCell ref="U940:Z940"/>
    <mergeCell ref="Z899:AE899"/>
    <mergeCell ref="Z636:AB6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AG1035:AH1035"/>
    <mergeCell ref="U914:Z916"/>
    <mergeCell ref="U949:Z949"/>
    <mergeCell ref="AH739:AJ739"/>
    <mergeCell ref="AH740:AJ740"/>
    <mergeCell ref="M831:P831"/>
    <mergeCell ref="B734:F734"/>
    <mergeCell ref="O722:S722"/>
    <mergeCell ref="AC893:AH893"/>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T793:W793"/>
    <mergeCell ref="G739:J739"/>
    <mergeCell ref="T745:W745"/>
    <mergeCell ref="K735:N735"/>
    <mergeCell ref="Y823:AB824"/>
    <mergeCell ref="M829:P829"/>
    <mergeCell ref="Z815:AE815"/>
    <mergeCell ref="B739:F739"/>
    <mergeCell ref="B746:F746"/>
    <mergeCell ref="B747:F747"/>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W878:AC878"/>
    <mergeCell ref="C830:H830"/>
    <mergeCell ref="K737:N737"/>
    <mergeCell ref="F831:L831"/>
    <mergeCell ref="A1103:B1103"/>
    <mergeCell ref="G725:J725"/>
    <mergeCell ref="B732:F732"/>
    <mergeCell ref="J794:N794"/>
    <mergeCell ref="AC792:AG792"/>
    <mergeCell ref="BG848:BL848"/>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T752:W752"/>
    <mergeCell ref="J776:N776"/>
    <mergeCell ref="M874:V874"/>
    <mergeCell ref="R985:AA985"/>
    <mergeCell ref="M958:S958"/>
    <mergeCell ref="AE958:AK958"/>
    <mergeCell ref="W973:AG973"/>
    <mergeCell ref="M972:S972"/>
    <mergeCell ref="M971:S971"/>
    <mergeCell ref="M960:S960"/>
    <mergeCell ref="E885:AB885"/>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46:V846"/>
    <mergeCell ref="Z818:AE818"/>
    <mergeCell ref="J792:N792"/>
    <mergeCell ref="W871:AC871"/>
    <mergeCell ref="J793:N793"/>
    <mergeCell ref="C832:L832"/>
    <mergeCell ref="AE955:AK955"/>
    <mergeCell ref="AA946:AF946"/>
    <mergeCell ref="BS647:BW647"/>
    <mergeCell ref="AG830:AJ830"/>
    <mergeCell ref="AH749:AJ749"/>
    <mergeCell ref="AD759:AF759"/>
    <mergeCell ref="AH726:AJ726"/>
    <mergeCell ref="AK723:AO723"/>
    <mergeCell ref="X738:AB738"/>
    <mergeCell ref="X729:AB729"/>
    <mergeCell ref="BN651:BR651"/>
    <mergeCell ref="BN650:BR650"/>
    <mergeCell ref="AK752:AO752"/>
    <mergeCell ref="AH737:AJ737"/>
    <mergeCell ref="AH738:AJ738"/>
    <mergeCell ref="AH736:AJ736"/>
    <mergeCell ref="AC831:AF831"/>
    <mergeCell ref="X783:AB786"/>
    <mergeCell ref="X787:AB787"/>
    <mergeCell ref="X796:AB796"/>
    <mergeCell ref="Y829:AB829"/>
    <mergeCell ref="AC829:AF829"/>
    <mergeCell ref="C837:AJ837"/>
    <mergeCell ref="U830:X830"/>
    <mergeCell ref="J796:N796"/>
    <mergeCell ref="J777:N777"/>
    <mergeCell ref="G683:R683"/>
    <mergeCell ref="BI615:BJ615"/>
    <mergeCell ref="AC729:AG729"/>
    <mergeCell ref="AO637:AS637"/>
    <mergeCell ref="Z637:AB637"/>
    <mergeCell ref="Z638:AB638"/>
    <mergeCell ref="W627:Y627"/>
    <mergeCell ref="Z624:AB626"/>
    <mergeCell ref="AH730:AJ730"/>
    <mergeCell ref="AG649:AH649"/>
    <mergeCell ref="AH729:AJ729"/>
    <mergeCell ref="Z651:AK651"/>
    <mergeCell ref="BN652:BR652"/>
    <mergeCell ref="BN653:BR653"/>
    <mergeCell ref="BN654:BR654"/>
    <mergeCell ref="AC723:AG723"/>
    <mergeCell ref="AE698:AI698"/>
    <mergeCell ref="AI671:AK671"/>
    <mergeCell ref="AE695:AI695"/>
    <mergeCell ref="BN660:BR660"/>
    <mergeCell ref="BN646:BR646"/>
    <mergeCell ref="AA664:AK664"/>
    <mergeCell ref="BG628:BH628"/>
    <mergeCell ref="BE620:BF620"/>
    <mergeCell ref="BG620:BH620"/>
    <mergeCell ref="BI620:BJ620"/>
    <mergeCell ref="BK620:BL620"/>
    <mergeCell ref="BE621:BF621"/>
    <mergeCell ref="BG621:BH621"/>
    <mergeCell ref="BI621:BJ621"/>
    <mergeCell ref="BK621:BL621"/>
    <mergeCell ref="AO634:AS634"/>
    <mergeCell ref="CB796:CH796"/>
    <mergeCell ref="BN796:BO796"/>
    <mergeCell ref="AH714:AJ717"/>
    <mergeCell ref="AH725:AJ725"/>
    <mergeCell ref="AC823:AF824"/>
    <mergeCell ref="Z816:AE816"/>
    <mergeCell ref="AC773:AG773"/>
    <mergeCell ref="AC725:AG725"/>
    <mergeCell ref="AC726:AG726"/>
    <mergeCell ref="AC830:AF830"/>
    <mergeCell ref="Y828:AB828"/>
    <mergeCell ref="BX660:CB660"/>
    <mergeCell ref="DH619:DL619"/>
    <mergeCell ref="AC727:AG727"/>
    <mergeCell ref="AC728:AG728"/>
    <mergeCell ref="X721:AB721"/>
    <mergeCell ref="X727:AB727"/>
    <mergeCell ref="AC738:AG738"/>
    <mergeCell ref="Y827:AB827"/>
    <mergeCell ref="X725:AB725"/>
    <mergeCell ref="AH753:AJ753"/>
    <mergeCell ref="AK745:AO745"/>
    <mergeCell ref="Z634:AB634"/>
    <mergeCell ref="AO632:AS632"/>
    <mergeCell ref="Z631:AB631"/>
    <mergeCell ref="BX630:CB630"/>
    <mergeCell ref="BG630:BH630"/>
    <mergeCell ref="BN640:BR640"/>
    <mergeCell ref="BK632:BL632"/>
    <mergeCell ref="BN632:BR632"/>
    <mergeCell ref="Z659:AK659"/>
    <mergeCell ref="BE625:BF62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S614:CW614"/>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H601:DL601"/>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06:CL606"/>
    <mergeCell ref="CH605:CL605"/>
    <mergeCell ref="CX609:DB609"/>
    <mergeCell ref="DC609:DG609"/>
    <mergeCell ref="DH609:DL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W561:Y561"/>
    <mergeCell ref="T559:V559"/>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Z560:AD560"/>
    <mergeCell ref="Z434:AA434"/>
    <mergeCell ref="AD412:AE412"/>
    <mergeCell ref="T558:V558"/>
    <mergeCell ref="A544:AT545"/>
    <mergeCell ref="A480:AT481"/>
    <mergeCell ref="W557:Y557"/>
    <mergeCell ref="W466:Y466"/>
    <mergeCell ref="W473:Y473"/>
    <mergeCell ref="W559:Y559"/>
    <mergeCell ref="AC456:AF456"/>
    <mergeCell ref="AH503:AK503"/>
    <mergeCell ref="AC500:AF500"/>
    <mergeCell ref="AC540:AF540"/>
    <mergeCell ref="AC537:AF537"/>
    <mergeCell ref="AH539:AK539"/>
    <mergeCell ref="AH541:AK541"/>
    <mergeCell ref="AC535:AF535"/>
    <mergeCell ref="AI554:AL554"/>
    <mergeCell ref="Z554:AD554"/>
    <mergeCell ref="W469:Y469"/>
    <mergeCell ref="D469:V469"/>
    <mergeCell ref="D468:V468"/>
    <mergeCell ref="C557:L557"/>
    <mergeCell ref="L508:AB508"/>
    <mergeCell ref="AH532:AK532"/>
    <mergeCell ref="AM559:AS559"/>
    <mergeCell ref="M558:P558"/>
    <mergeCell ref="Z559:AD559"/>
    <mergeCell ref="AE554:AH554"/>
    <mergeCell ref="Z556:AD556"/>
    <mergeCell ref="AI555:AL555"/>
    <mergeCell ref="AE559:AH559"/>
    <mergeCell ref="AI559:AL559"/>
    <mergeCell ref="AE560:AH560"/>
    <mergeCell ref="Z611:AK611"/>
    <mergeCell ref="T624:V626"/>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AC628:AE628"/>
    <mergeCell ref="M565:P565"/>
    <mergeCell ref="G571:R571"/>
    <mergeCell ref="G585:R585"/>
    <mergeCell ref="AG575:AH575"/>
    <mergeCell ref="Z568:AK568"/>
    <mergeCell ref="Z571:AK571"/>
    <mergeCell ref="P589:R589"/>
    <mergeCell ref="Z580:AK580"/>
    <mergeCell ref="Z569:AK569"/>
    <mergeCell ref="C561:L561"/>
    <mergeCell ref="G593:R593"/>
    <mergeCell ref="G579:R579"/>
    <mergeCell ref="T562:V562"/>
    <mergeCell ref="Z585:AK585"/>
    <mergeCell ref="AF634:AJ634"/>
    <mergeCell ref="BN611:BR611"/>
    <mergeCell ref="BG608:BH608"/>
    <mergeCell ref="BK605:BL605"/>
    <mergeCell ref="CH617:CL617"/>
    <mergeCell ref="BN638:BR638"/>
    <mergeCell ref="CH611:CL611"/>
    <mergeCell ref="BS611:BW611"/>
    <mergeCell ref="BG609:BH609"/>
    <mergeCell ref="BS617:BW617"/>
    <mergeCell ref="BG615:BH615"/>
    <mergeCell ref="CH610:CL610"/>
    <mergeCell ref="CH608:CL608"/>
    <mergeCell ref="BX616:CB616"/>
    <mergeCell ref="BG619:BH619"/>
    <mergeCell ref="CH618:CL618"/>
    <mergeCell ref="BI619:BJ619"/>
    <mergeCell ref="CC631:CG631"/>
    <mergeCell ref="BX638:CB638"/>
    <mergeCell ref="BS620:BW620"/>
    <mergeCell ref="BX620:CB620"/>
    <mergeCell ref="CC616:CG616"/>
    <mergeCell ref="CC618:CG618"/>
    <mergeCell ref="BK611:BL611"/>
    <mergeCell ref="BN623:BR623"/>
    <mergeCell ref="CH623:CL623"/>
    <mergeCell ref="BS638:BW638"/>
    <mergeCell ref="CC624:CG624"/>
    <mergeCell ref="CC638:CG638"/>
    <mergeCell ref="BX626:CB626"/>
    <mergeCell ref="CC626:CG626"/>
    <mergeCell ref="CC632:CG632"/>
    <mergeCell ref="BG625:BH62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S632:BW632"/>
    <mergeCell ref="BK631:BL631"/>
    <mergeCell ref="BN631:BR631"/>
    <mergeCell ref="AO639:AS639"/>
    <mergeCell ref="AO629:AS629"/>
    <mergeCell ref="BN639:BR639"/>
    <mergeCell ref="BN626:BR626"/>
    <mergeCell ref="BE627:BF627"/>
    <mergeCell ref="BE614:BF614"/>
    <mergeCell ref="BG616:BH616"/>
    <mergeCell ref="BG632:BH632"/>
    <mergeCell ref="BE630:BF630"/>
    <mergeCell ref="CM612:CQ612"/>
    <mergeCell ref="CM613:CQ613"/>
    <mergeCell ref="CM614:CQ614"/>
    <mergeCell ref="CM615:CQ615"/>
    <mergeCell ref="CM617:CQ617"/>
    <mergeCell ref="CM618:CQ618"/>
    <mergeCell ref="BE615:BF615"/>
    <mergeCell ref="BG612:BH612"/>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S630:BW630"/>
    <mergeCell ref="BN618:BR618"/>
    <mergeCell ref="CC620:CG620"/>
    <mergeCell ref="BX623:CB623"/>
    <mergeCell ref="BN625:BR625"/>
    <mergeCell ref="BS625:BW625"/>
    <mergeCell ref="CC622:CG622"/>
    <mergeCell ref="BK624:BL624"/>
    <mergeCell ref="BN624:BR624"/>
    <mergeCell ref="BS624:BW624"/>
    <mergeCell ref="CH613:CL613"/>
    <mergeCell ref="CH626:CL626"/>
    <mergeCell ref="M638:P638"/>
    <mergeCell ref="C628:L628"/>
    <mergeCell ref="G655:L655"/>
    <mergeCell ref="T628:V628"/>
    <mergeCell ref="BI623:BJ623"/>
    <mergeCell ref="BK623:BL623"/>
    <mergeCell ref="BI617:BJ617"/>
    <mergeCell ref="BN628:BR628"/>
    <mergeCell ref="BS628:BW628"/>
    <mergeCell ref="BS626:BW626"/>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W638:Y638"/>
    <mergeCell ref="AC624:AE626"/>
    <mergeCell ref="A617:AT618"/>
    <mergeCell ref="B624:L626"/>
    <mergeCell ref="BN619:BR619"/>
    <mergeCell ref="G651:R651"/>
    <mergeCell ref="BS648:BW648"/>
    <mergeCell ref="BS639:BW639"/>
    <mergeCell ref="W859:AC859"/>
    <mergeCell ref="U832:X832"/>
    <mergeCell ref="G652:R652"/>
    <mergeCell ref="Z655:AE655"/>
    <mergeCell ref="BG623:BH623"/>
    <mergeCell ref="BK628:BL628"/>
    <mergeCell ref="BE617:BF617"/>
    <mergeCell ref="BI618:BJ618"/>
    <mergeCell ref="BK618:BL618"/>
    <mergeCell ref="AO638:AS638"/>
    <mergeCell ref="AO624:AS626"/>
    <mergeCell ref="AF629:AJ629"/>
    <mergeCell ref="BK625:BL625"/>
    <mergeCell ref="BK617:BL617"/>
    <mergeCell ref="BG631:BH631"/>
    <mergeCell ref="BI631:BJ631"/>
    <mergeCell ref="AO640:AS640"/>
    <mergeCell ref="B640:AN640"/>
    <mergeCell ref="B641:AN641"/>
    <mergeCell ref="AF630:AJ630"/>
    <mergeCell ref="AK628:AN628"/>
    <mergeCell ref="T627:V627"/>
    <mergeCell ref="W636:Y636"/>
    <mergeCell ref="AO635:AS635"/>
    <mergeCell ref="AC636:AE636"/>
    <mergeCell ref="G647:L647"/>
    <mergeCell ref="AI655:AK655"/>
    <mergeCell ref="AA648:AK648"/>
    <mergeCell ref="AF628:AJ628"/>
    <mergeCell ref="Z630:AB630"/>
    <mergeCell ref="G643:R643"/>
    <mergeCell ref="W635:Y635"/>
    <mergeCell ref="AC752:AG752"/>
    <mergeCell ref="P816:Y816"/>
    <mergeCell ref="O788:S788"/>
    <mergeCell ref="O795:S795"/>
    <mergeCell ref="AF633:AJ633"/>
    <mergeCell ref="AC629:AE629"/>
    <mergeCell ref="BG627:BH627"/>
    <mergeCell ref="BI627:BJ627"/>
    <mergeCell ref="BK627:BL627"/>
    <mergeCell ref="BE628:BF628"/>
    <mergeCell ref="AO641:AS641"/>
    <mergeCell ref="G644:R644"/>
    <mergeCell ref="Z645:AK645"/>
    <mergeCell ref="P655:R655"/>
    <mergeCell ref="Z653:AK653"/>
    <mergeCell ref="W843:AC843"/>
    <mergeCell ref="U827:X827"/>
    <mergeCell ref="T749:W749"/>
    <mergeCell ref="X748:AB748"/>
    <mergeCell ref="X749:AB749"/>
    <mergeCell ref="X750:AB750"/>
    <mergeCell ref="AC749:AG749"/>
    <mergeCell ref="AC750:AG750"/>
    <mergeCell ref="AC751:AG751"/>
    <mergeCell ref="AK743:AO743"/>
    <mergeCell ref="AC791:AG791"/>
    <mergeCell ref="BI841:BL841"/>
    <mergeCell ref="AC769:AG772"/>
    <mergeCell ref="Y832:AB832"/>
    <mergeCell ref="J773:N773"/>
    <mergeCell ref="Z654:AK654"/>
    <mergeCell ref="M635:P63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W855:AC855"/>
    <mergeCell ref="AC892:AH892"/>
    <mergeCell ref="W846:AC846"/>
    <mergeCell ref="D1076:AK1082"/>
    <mergeCell ref="U919:Z919"/>
    <mergeCell ref="M967:S967"/>
    <mergeCell ref="AA966:AG966"/>
    <mergeCell ref="AA972:AG972"/>
    <mergeCell ref="AE961:AK961"/>
    <mergeCell ref="D1064:AK1069"/>
    <mergeCell ref="D1083:AK1085"/>
    <mergeCell ref="D1086:AK1090"/>
    <mergeCell ref="AJ986:AQ986"/>
    <mergeCell ref="AJ987:AQ987"/>
    <mergeCell ref="B991:AI991"/>
    <mergeCell ref="W870:AC870"/>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U938:Z938"/>
    <mergeCell ref="U939:Z939"/>
    <mergeCell ref="F935:T935"/>
    <mergeCell ref="U935:Z935"/>
    <mergeCell ref="M970:S970"/>
    <mergeCell ref="M955:S955"/>
    <mergeCell ref="AA929:AF929"/>
    <mergeCell ref="U930:Z930"/>
    <mergeCell ref="F915:T91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Q832:T832"/>
    <mergeCell ref="X794:AB794"/>
    <mergeCell ref="T796:W796"/>
    <mergeCell ref="X774:AB774"/>
    <mergeCell ref="T790:W790"/>
    <mergeCell ref="B740:F740"/>
    <mergeCell ref="M832:P832"/>
    <mergeCell ref="W866:AC866"/>
    <mergeCell ref="T773:W773"/>
    <mergeCell ref="G736:J736"/>
    <mergeCell ref="C826:H826"/>
    <mergeCell ref="U829:X829"/>
    <mergeCell ref="W852:AC852"/>
    <mergeCell ref="J849:V849"/>
    <mergeCell ref="J789:N789"/>
    <mergeCell ref="K750:N750"/>
    <mergeCell ref="O745:S745"/>
    <mergeCell ref="C829:H829"/>
    <mergeCell ref="U828:X828"/>
    <mergeCell ref="Q828:T828"/>
    <mergeCell ref="AC740:AG740"/>
    <mergeCell ref="AC741:AG741"/>
    <mergeCell ref="AC737:AG737"/>
    <mergeCell ref="J769:N772"/>
    <mergeCell ref="AG823:AJ824"/>
    <mergeCell ref="AC797:AG797"/>
    <mergeCell ref="AC787:AG787"/>
    <mergeCell ref="AH745:AJ745"/>
    <mergeCell ref="AC777:AG777"/>
    <mergeCell ref="Q823:T824"/>
    <mergeCell ref="Z809:AE809"/>
    <mergeCell ref="O791:S791"/>
    <mergeCell ref="T789:W789"/>
    <mergeCell ref="O773:S773"/>
    <mergeCell ref="G662:R662"/>
    <mergeCell ref="AE699:AI699"/>
    <mergeCell ref="AG657:AH657"/>
    <mergeCell ref="G661:R661"/>
    <mergeCell ref="P663:R663"/>
    <mergeCell ref="G659:R659"/>
    <mergeCell ref="O714:S717"/>
    <mergeCell ref="Z661:AK661"/>
    <mergeCell ref="AK742:AO742"/>
    <mergeCell ref="M871:V871"/>
    <mergeCell ref="M878:V878"/>
    <mergeCell ref="O783:S786"/>
    <mergeCell ref="Q825:T825"/>
    <mergeCell ref="M825:P825"/>
    <mergeCell ref="C825:H825"/>
    <mergeCell ref="T742:W742"/>
    <mergeCell ref="X745:AB745"/>
    <mergeCell ref="X746:AB746"/>
    <mergeCell ref="X789:AB789"/>
    <mergeCell ref="X790:AB790"/>
    <mergeCell ref="K749:N749"/>
    <mergeCell ref="O749:S749"/>
    <mergeCell ref="X751:AB751"/>
    <mergeCell ref="K740:N740"/>
    <mergeCell ref="X740:AB740"/>
    <mergeCell ref="C828:H828"/>
    <mergeCell ref="M828:P828"/>
    <mergeCell ref="C827:H827"/>
    <mergeCell ref="Q829:T829"/>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T795:W795"/>
    <mergeCell ref="K745:N745"/>
    <mergeCell ref="O790:S790"/>
    <mergeCell ref="O741:S741"/>
    <mergeCell ref="G753:J753"/>
    <mergeCell ref="Z808:AE808"/>
    <mergeCell ref="AH743:AJ743"/>
    <mergeCell ref="AH744:AJ744"/>
    <mergeCell ref="J783:N786"/>
    <mergeCell ref="AH750:AJ750"/>
    <mergeCell ref="AH751:AJ751"/>
    <mergeCell ref="AC789:AG789"/>
    <mergeCell ref="AC790:AG790"/>
    <mergeCell ref="O787:S787"/>
    <mergeCell ref="Q826:T826"/>
    <mergeCell ref="X742:AB742"/>
    <mergeCell ref="M830:P830"/>
    <mergeCell ref="T791:W791"/>
    <mergeCell ref="T787:W787"/>
    <mergeCell ref="T788:W788"/>
    <mergeCell ref="K719:N719"/>
    <mergeCell ref="G718:J718"/>
    <mergeCell ref="Z669:AK669"/>
    <mergeCell ref="E707:AK707"/>
    <mergeCell ref="W706:AK706"/>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U831:X831"/>
    <mergeCell ref="Q831:T831"/>
    <mergeCell ref="AF574:AK574"/>
    <mergeCell ref="AF624:AJ626"/>
    <mergeCell ref="B639:AN639"/>
    <mergeCell ref="AI613:AK613"/>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H614:R614"/>
    <mergeCell ref="Z632:AB632"/>
    <mergeCell ref="Z588:AK588"/>
    <mergeCell ref="Z578:AK578"/>
    <mergeCell ref="Z603:AK603"/>
    <mergeCell ref="AI605:AK605"/>
    <mergeCell ref="AK630:AN630"/>
    <mergeCell ref="AK631:AN631"/>
    <mergeCell ref="AK632:AN632"/>
    <mergeCell ref="Z604:AK604"/>
    <mergeCell ref="AM563:AS563"/>
    <mergeCell ref="H573:R573"/>
    <mergeCell ref="Z587:AK587"/>
    <mergeCell ref="G588:R588"/>
    <mergeCell ref="M636:P636"/>
    <mergeCell ref="M637:P637"/>
    <mergeCell ref="W556:Y556"/>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O529:AA529"/>
    <mergeCell ref="AH533:AK533"/>
    <mergeCell ref="AH719:AJ719"/>
    <mergeCell ref="AH504:AK504"/>
    <mergeCell ref="AH517:AK517"/>
    <mergeCell ref="Z610:AK610"/>
    <mergeCell ref="AH535:AK535"/>
    <mergeCell ref="AE564:AH56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5:AK305"/>
    <mergeCell ref="AA321:AK321"/>
    <mergeCell ref="H307:M307"/>
    <mergeCell ref="M263:R263"/>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M27:Q27"/>
    <mergeCell ref="AF251:AK251"/>
    <mergeCell ref="M244:AE244"/>
    <mergeCell ref="M247:R247"/>
    <mergeCell ref="M245:T245"/>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AF243:AK243"/>
    <mergeCell ref="T196:U196"/>
    <mergeCell ref="D220:Z220"/>
    <mergeCell ref="M265:T265"/>
    <mergeCell ref="M249:T249"/>
    <mergeCell ref="AP205:AQ205"/>
    <mergeCell ref="AI229:AJ229"/>
    <mergeCell ref="M235:AE235"/>
    <mergeCell ref="U175:V175"/>
    <mergeCell ref="R177:S177"/>
    <mergeCell ref="U236:W236"/>
    <mergeCell ref="M243:AE243"/>
    <mergeCell ref="D204:M204"/>
    <mergeCell ref="I190:N190"/>
    <mergeCell ref="AH194:AI194"/>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D208:M208"/>
    <mergeCell ref="U176:V176"/>
    <mergeCell ref="AI227:AJ227"/>
    <mergeCell ref="Y123:AK123"/>
    <mergeCell ref="A83:AT84"/>
    <mergeCell ref="T193:AI193"/>
    <mergeCell ref="A105:AT106"/>
    <mergeCell ref="L113:O113"/>
    <mergeCell ref="Z205:AN205"/>
    <mergeCell ref="A86:AT87"/>
    <mergeCell ref="A89:AT90"/>
    <mergeCell ref="A92:AT98"/>
    <mergeCell ref="A100:AT103"/>
    <mergeCell ref="I184:AE184"/>
    <mergeCell ref="X176:Y176"/>
    <mergeCell ref="X180:Y180"/>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290:R290"/>
    <mergeCell ref="AA257:AK257"/>
    <mergeCell ref="M260:AE260"/>
    <mergeCell ref="AA265:AK265"/>
    <mergeCell ref="H295:R295"/>
    <mergeCell ref="A282:AT283"/>
    <mergeCell ref="H319:R319"/>
    <mergeCell ref="AA316:AF316"/>
    <mergeCell ref="AA319:AK319"/>
    <mergeCell ref="AA323:AF323"/>
    <mergeCell ref="H320:R320"/>
    <mergeCell ref="H323:M323"/>
    <mergeCell ref="AA330:AK330"/>
    <mergeCell ref="H324:M324"/>
    <mergeCell ref="AA325:AK325"/>
    <mergeCell ref="H315:M315"/>
    <mergeCell ref="H321:R321"/>
    <mergeCell ref="H322:R322"/>
    <mergeCell ref="W253:X253"/>
    <mergeCell ref="M251:AE251"/>
    <mergeCell ref="AA301:AK301"/>
    <mergeCell ref="H301:R301"/>
    <mergeCell ref="AA249:AK249"/>
    <mergeCell ref="AA292:AF292"/>
    <mergeCell ref="AB276:AD276"/>
    <mergeCell ref="Y278:AD278"/>
    <mergeCell ref="AA295:AK295"/>
    <mergeCell ref="AF259:AK259"/>
    <mergeCell ref="AC261:AE261"/>
    <mergeCell ref="AG401:AJ401"/>
    <mergeCell ref="D445:AF445"/>
    <mergeCell ref="D446:AF446"/>
    <mergeCell ref="D447:AF447"/>
    <mergeCell ref="AA331:AF331"/>
    <mergeCell ref="P315:R315"/>
    <mergeCell ref="AI339:AK339"/>
    <mergeCell ref="P421:R421"/>
    <mergeCell ref="AA336:AK336"/>
    <mergeCell ref="AA338:AK338"/>
    <mergeCell ref="H414:AE415"/>
    <mergeCell ref="H300:M300"/>
    <mergeCell ref="S401:U401"/>
    <mergeCell ref="AA332:AF332"/>
    <mergeCell ref="AA328:AK328"/>
    <mergeCell ref="N370:Q370"/>
    <mergeCell ref="J367:K367"/>
    <mergeCell ref="AA327:AK327"/>
    <mergeCell ref="H332:M332"/>
    <mergeCell ref="H335:R335"/>
    <mergeCell ref="AI315:AK315"/>
    <mergeCell ref="AA312:AK312"/>
    <mergeCell ref="AA329:AK329"/>
    <mergeCell ref="P331:R331"/>
    <mergeCell ref="AA324:AF324"/>
    <mergeCell ref="H328:R328"/>
    <mergeCell ref="H340:M340"/>
    <mergeCell ref="I410:AE410"/>
    <mergeCell ref="J388:U388"/>
    <mergeCell ref="AA335:AK335"/>
    <mergeCell ref="H330:R330"/>
    <mergeCell ref="H325:R325"/>
    <mergeCell ref="Q485:AK485"/>
    <mergeCell ref="G474:V474"/>
    <mergeCell ref="W474:Y474"/>
    <mergeCell ref="O526:AA526"/>
    <mergeCell ref="AC514:AF514"/>
    <mergeCell ref="T551:V553"/>
    <mergeCell ref="W551:Y553"/>
    <mergeCell ref="F457:AB458"/>
    <mergeCell ref="D441:AF441"/>
    <mergeCell ref="D466:V466"/>
    <mergeCell ref="Q491:AK491"/>
    <mergeCell ref="AG447:AJ44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H339:M339"/>
    <mergeCell ref="AA317:AK317"/>
    <mergeCell ref="L280:AD280"/>
    <mergeCell ref="L275:AD275"/>
    <mergeCell ref="AH509:AK509"/>
    <mergeCell ref="AC503:AF503"/>
    <mergeCell ref="AC513:AF513"/>
    <mergeCell ref="Q557:S557"/>
    <mergeCell ref="Z557:AD557"/>
    <mergeCell ref="AC528:AF528"/>
    <mergeCell ref="D473:V473"/>
    <mergeCell ref="AC504:AF504"/>
    <mergeCell ref="S489:AK490"/>
    <mergeCell ref="Z551:AD553"/>
    <mergeCell ref="AH513:AK513"/>
    <mergeCell ref="B514:H516"/>
    <mergeCell ref="AC522:AF522"/>
    <mergeCell ref="T554:V554"/>
    <mergeCell ref="AH540:AK540"/>
    <mergeCell ref="AH520:AK520"/>
    <mergeCell ref="AH502:AK502"/>
    <mergeCell ref="AC499:AK499"/>
    <mergeCell ref="C555:L555"/>
    <mergeCell ref="M554:P554"/>
    <mergeCell ref="AH519:AK519"/>
    <mergeCell ref="AH536:AK536"/>
    <mergeCell ref="AH528:AK528"/>
    <mergeCell ref="AH505:AK505"/>
    <mergeCell ref="AC539:AF539"/>
    <mergeCell ref="M557:P557"/>
    <mergeCell ref="T556:V556"/>
    <mergeCell ref="B551:L553"/>
    <mergeCell ref="M551:P553"/>
    <mergeCell ref="AC532:AF532"/>
    <mergeCell ref="O535:AA535"/>
    <mergeCell ref="AH523:AK523"/>
    <mergeCell ref="O532:AA532"/>
    <mergeCell ref="BE606:BF606"/>
    <mergeCell ref="BE597:BF597"/>
    <mergeCell ref="N591:O591"/>
    <mergeCell ref="AA590:AK590"/>
    <mergeCell ref="BG606:BH606"/>
    <mergeCell ref="AI589:AK589"/>
    <mergeCell ref="Z596:AK596"/>
    <mergeCell ref="H598:R598"/>
    <mergeCell ref="BK598:BL598"/>
    <mergeCell ref="BI599:BJ599"/>
    <mergeCell ref="BG599:BH599"/>
    <mergeCell ref="BG604:BH604"/>
    <mergeCell ref="BN600:BR600"/>
    <mergeCell ref="G603:R603"/>
    <mergeCell ref="BI600:BJ600"/>
    <mergeCell ref="BI605:BJ605"/>
    <mergeCell ref="BE603:BF603"/>
    <mergeCell ref="BE600:BF600"/>
    <mergeCell ref="Z605:AE605"/>
    <mergeCell ref="AA606:AK606"/>
    <mergeCell ref="Z601:AK601"/>
    <mergeCell ref="Z602:AK602"/>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G604:R604"/>
    <mergeCell ref="BN596:BR596"/>
    <mergeCell ref="BI602:BJ602"/>
    <mergeCell ref="BI598:BJ598"/>
    <mergeCell ref="BE604:BF604"/>
    <mergeCell ref="BX596:CB596"/>
    <mergeCell ref="BG601:BH601"/>
    <mergeCell ref="BK600:BL600"/>
    <mergeCell ref="BG598:BH598"/>
    <mergeCell ref="CC597:CG597"/>
    <mergeCell ref="CC598:CG598"/>
    <mergeCell ref="CH599:CL599"/>
    <mergeCell ref="BS610:BW610"/>
    <mergeCell ref="BX609:CB609"/>
    <mergeCell ref="BN603:BR603"/>
    <mergeCell ref="BN606:BR606"/>
    <mergeCell ref="BK606:BL606"/>
    <mergeCell ref="BX603:CB603"/>
    <mergeCell ref="CC606:CG606"/>
    <mergeCell ref="BX604:CB604"/>
    <mergeCell ref="CC608:CG608"/>
    <mergeCell ref="CC605:CG605"/>
    <mergeCell ref="BS602:BW602"/>
    <mergeCell ref="BK607:BL607"/>
    <mergeCell ref="BN607:BR607"/>
    <mergeCell ref="BS607:BW607"/>
    <mergeCell ref="BN609:BR609"/>
    <mergeCell ref="BI609:BJ609"/>
    <mergeCell ref="BX606:CB606"/>
    <mergeCell ref="BX602:CB602"/>
    <mergeCell ref="BX619:CB619"/>
    <mergeCell ref="BX618:CB618"/>
    <mergeCell ref="BX608:CB608"/>
    <mergeCell ref="BE612:BF612"/>
    <mergeCell ref="BX611:CB611"/>
    <mergeCell ref="BX614:CB614"/>
    <mergeCell ref="BS613:BW613"/>
    <mergeCell ref="BI611:BJ611"/>
    <mergeCell ref="BX607:CB607"/>
    <mergeCell ref="BS598:BW598"/>
    <mergeCell ref="BS599:BW599"/>
    <mergeCell ref="BN612:BR612"/>
    <mergeCell ref="BI614:BJ614"/>
    <mergeCell ref="BS619:BW619"/>
    <mergeCell ref="BG618:BH618"/>
    <mergeCell ref="BI610:BJ610"/>
    <mergeCell ref="BK601:BL601"/>
    <mergeCell ref="BI601:BJ601"/>
    <mergeCell ref="BS604:BW604"/>
    <mergeCell ref="BE601:BF601"/>
    <mergeCell ref="BE598:BF598"/>
    <mergeCell ref="BG600:BH600"/>
    <mergeCell ref="BE605:BF605"/>
    <mergeCell ref="BK599:BL599"/>
    <mergeCell ref="BN599:BR599"/>
    <mergeCell ref="BS614:BW614"/>
    <mergeCell ref="BE616:BF616"/>
    <mergeCell ref="BK612:BL612"/>
    <mergeCell ref="BI612:BJ612"/>
    <mergeCell ref="BK603:BL603"/>
    <mergeCell ref="BS608:BW608"/>
    <mergeCell ref="BN608:BR608"/>
    <mergeCell ref="BN655:BR655"/>
    <mergeCell ref="BS640:BW640"/>
    <mergeCell ref="BN629:BR629"/>
    <mergeCell ref="BS629:BW629"/>
    <mergeCell ref="BX629:CB629"/>
    <mergeCell ref="BX639:CB639"/>
    <mergeCell ref="BX640:CB640"/>
    <mergeCell ref="Z633:AB633"/>
    <mergeCell ref="AI679:AK679"/>
    <mergeCell ref="Z663:AE663"/>
    <mergeCell ref="Z643:AK643"/>
    <mergeCell ref="G721:J721"/>
    <mergeCell ref="AG689:AH689"/>
    <mergeCell ref="R705:T705"/>
    <mergeCell ref="AO630:AS630"/>
    <mergeCell ref="BX651:CB651"/>
    <mergeCell ref="BE629:BF629"/>
    <mergeCell ref="BG629:BH629"/>
    <mergeCell ref="BI629:BJ629"/>
    <mergeCell ref="BI630:BJ630"/>
    <mergeCell ref="G645:R645"/>
    <mergeCell ref="N649:O649"/>
    <mergeCell ref="W633:Y633"/>
    <mergeCell ref="C635:L635"/>
    <mergeCell ref="T720:W720"/>
    <mergeCell ref="Z671:AE671"/>
    <mergeCell ref="Z668:AK668"/>
    <mergeCell ref="N657:O657"/>
    <mergeCell ref="Z660:AK660"/>
    <mergeCell ref="G663:L663"/>
    <mergeCell ref="K714:N717"/>
    <mergeCell ref="Z677:AK677"/>
    <mergeCell ref="BE622:BF622"/>
    <mergeCell ref="BG622:BH622"/>
    <mergeCell ref="BI622:BJ622"/>
    <mergeCell ref="BK622:BL622"/>
    <mergeCell ref="BI628:BJ628"/>
    <mergeCell ref="BS623:BW623"/>
    <mergeCell ref="BX615:CB615"/>
    <mergeCell ref="BK610:BL610"/>
    <mergeCell ref="BG611:BH611"/>
    <mergeCell ref="BN610:BR610"/>
    <mergeCell ref="BN622:BR622"/>
    <mergeCell ref="BS622:BW622"/>
    <mergeCell ref="BX622:CB622"/>
    <mergeCell ref="BN620:BR620"/>
    <mergeCell ref="AH501:AK501"/>
    <mergeCell ref="AC520:AF520"/>
    <mergeCell ref="AC527:AF527"/>
    <mergeCell ref="BE609:BF609"/>
    <mergeCell ref="AM555:AS555"/>
    <mergeCell ref="AG607:AH607"/>
    <mergeCell ref="BG603:BH603"/>
    <mergeCell ref="BS605:BW605"/>
    <mergeCell ref="BX605:CB605"/>
    <mergeCell ref="AM557:AS557"/>
    <mergeCell ref="AE561:AH561"/>
    <mergeCell ref="AC531:AF531"/>
    <mergeCell ref="BG596:BH596"/>
    <mergeCell ref="AC523:AF523"/>
    <mergeCell ref="BE613:BF613"/>
    <mergeCell ref="BS609:BW609"/>
    <mergeCell ref="BI607:BJ607"/>
    <mergeCell ref="BX610:CB610"/>
    <mergeCell ref="B520:H542"/>
    <mergeCell ref="AH500:AK500"/>
    <mergeCell ref="M555:P555"/>
    <mergeCell ref="C556:L556"/>
    <mergeCell ref="M556:P556"/>
    <mergeCell ref="AC508:AF508"/>
    <mergeCell ref="AC505:AF505"/>
    <mergeCell ref="AC509:AF509"/>
    <mergeCell ref="AC525:AF525"/>
    <mergeCell ref="M563:P563"/>
    <mergeCell ref="G597:L597"/>
    <mergeCell ref="AG591:AH591"/>
    <mergeCell ref="AH527:AK527"/>
    <mergeCell ref="M560:P560"/>
    <mergeCell ref="Q563:S563"/>
    <mergeCell ref="AI565:AL565"/>
    <mergeCell ref="N583:O583"/>
    <mergeCell ref="AH537:AK537"/>
    <mergeCell ref="AC534:AF534"/>
    <mergeCell ref="Q556:S556"/>
    <mergeCell ref="AC533:AF533"/>
    <mergeCell ref="Z555:AD555"/>
    <mergeCell ref="AE556:AH556"/>
    <mergeCell ref="Q558:S558"/>
    <mergeCell ref="AC530:AF530"/>
    <mergeCell ref="AH542:AK542"/>
    <mergeCell ref="AC542:AF542"/>
    <mergeCell ref="AI557:AL557"/>
    <mergeCell ref="AE557:AH557"/>
    <mergeCell ref="T557:V557"/>
    <mergeCell ref="AI558:AL558"/>
    <mergeCell ref="AH538:AK538"/>
    <mergeCell ref="BX612:CB612"/>
    <mergeCell ref="BE607:BF607"/>
    <mergeCell ref="BE608:BF608"/>
    <mergeCell ref="BE610:BF610"/>
    <mergeCell ref="BN601:BR601"/>
    <mergeCell ref="BN597:BR597"/>
    <mergeCell ref="BG597:BH597"/>
    <mergeCell ref="BI597:BJ597"/>
    <mergeCell ref="BK596:BL596"/>
    <mergeCell ref="BS597:BW597"/>
    <mergeCell ref="CC600:CG600"/>
    <mergeCell ref="AA598:AK598"/>
    <mergeCell ref="CH612:CL612"/>
    <mergeCell ref="CC601:CG601"/>
    <mergeCell ref="CC602:CG602"/>
    <mergeCell ref="P581:R581"/>
    <mergeCell ref="AI572:AK572"/>
    <mergeCell ref="AA582:AK582"/>
    <mergeCell ref="CC612:CG612"/>
    <mergeCell ref="CC610:CG610"/>
    <mergeCell ref="CC607:CG607"/>
    <mergeCell ref="BI604:BJ604"/>
    <mergeCell ref="BN602:BR602"/>
    <mergeCell ref="BS606:BW606"/>
    <mergeCell ref="BI603:BJ603"/>
    <mergeCell ref="CC609:CG609"/>
    <mergeCell ref="BK609:BL609"/>
    <mergeCell ref="BI606:BJ606"/>
    <mergeCell ref="BG605:BH605"/>
    <mergeCell ref="BI608:BJ608"/>
    <mergeCell ref="BG610:BH610"/>
    <mergeCell ref="BG607:BH607"/>
    <mergeCell ref="AM564:AS564"/>
    <mergeCell ref="AI581:AK581"/>
    <mergeCell ref="B566:AL566"/>
    <mergeCell ref="AM561:AS561"/>
    <mergeCell ref="H606:R606"/>
    <mergeCell ref="G605:L605"/>
    <mergeCell ref="G602:R602"/>
    <mergeCell ref="N599:O599"/>
    <mergeCell ref="AG394:AJ394"/>
    <mergeCell ref="E420:AJ420"/>
    <mergeCell ref="AE402:AJ402"/>
    <mergeCell ref="AC385:AJ385"/>
    <mergeCell ref="H336:R336"/>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E425:AF425"/>
    <mergeCell ref="D444:AF444"/>
    <mergeCell ref="AG448:AJ448"/>
    <mergeCell ref="M356:N356"/>
    <mergeCell ref="T399:AJ399"/>
    <mergeCell ref="T398:AJ398"/>
    <mergeCell ref="H311:R311"/>
    <mergeCell ref="H308:M308"/>
    <mergeCell ref="AH246:AK246"/>
    <mergeCell ref="AI397:AJ397"/>
    <mergeCell ref="AI323:AK323"/>
    <mergeCell ref="AA320:AK320"/>
    <mergeCell ref="M261:T261"/>
    <mergeCell ref="AH262:AK262"/>
    <mergeCell ref="AA311:AK311"/>
    <mergeCell ref="AA306:AK306"/>
    <mergeCell ref="AA303:AK303"/>
    <mergeCell ref="D270:H270"/>
    <mergeCell ref="X270:AC270"/>
    <mergeCell ref="Z263:AE263"/>
    <mergeCell ref="P307:R307"/>
    <mergeCell ref="H305:R305"/>
    <mergeCell ref="AA288:AK288"/>
    <mergeCell ref="H287:R287"/>
    <mergeCell ref="H288:R288"/>
    <mergeCell ref="AA290:AK290"/>
    <mergeCell ref="AA297:AK297"/>
    <mergeCell ref="H296:R296"/>
    <mergeCell ref="H333:R333"/>
    <mergeCell ref="AA333:AK333"/>
    <mergeCell ref="H329:R329"/>
    <mergeCell ref="V276:W276"/>
    <mergeCell ref="N371:Q371"/>
    <mergeCell ref="V382:W382"/>
    <mergeCell ref="Y364:Z364"/>
    <mergeCell ref="N378:P378"/>
    <mergeCell ref="AA314:AK314"/>
    <mergeCell ref="AA313:AK313"/>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E424:AF424"/>
    <mergeCell ref="AF430:AG430"/>
    <mergeCell ref="Q394:U394"/>
    <mergeCell ref="A351:AT352"/>
    <mergeCell ref="AF418:AH418"/>
    <mergeCell ref="AG441:AJ441"/>
    <mergeCell ref="AG438:AJ438"/>
    <mergeCell ref="W468:Y468"/>
    <mergeCell ref="S405:AJ405"/>
    <mergeCell ref="K403:AJ403"/>
    <mergeCell ref="AG449:AJ449"/>
    <mergeCell ref="Q554:S554"/>
    <mergeCell ref="AH524:AK524"/>
    <mergeCell ref="AH525:AK525"/>
    <mergeCell ref="AH529:AK529"/>
    <mergeCell ref="AH534:AK534"/>
    <mergeCell ref="AC510:AF510"/>
    <mergeCell ref="AH510:AK510"/>
    <mergeCell ref="AC512:AF512"/>
    <mergeCell ref="AH512:AK512"/>
    <mergeCell ref="AC538:AF538"/>
    <mergeCell ref="AC454:AF454"/>
    <mergeCell ref="H327:R327"/>
    <mergeCell ref="J387:U387"/>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C519:AF519"/>
    <mergeCell ref="AG440:AJ440"/>
    <mergeCell ref="AC387:AJ387"/>
    <mergeCell ref="V388:AJ388"/>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AH495:AK495"/>
    <mergeCell ref="D465:V465"/>
    <mergeCell ref="M495:P495"/>
    <mergeCell ref="AC501:AF501"/>
    <mergeCell ref="AH526:AK526"/>
    <mergeCell ref="AC518:AF518"/>
    <mergeCell ref="AH507:AK507"/>
    <mergeCell ref="AC526:AF526"/>
    <mergeCell ref="D449:AF449"/>
    <mergeCell ref="B501:H502"/>
    <mergeCell ref="O523:AA523"/>
    <mergeCell ref="D442:AF442"/>
    <mergeCell ref="AH521:AK521"/>
    <mergeCell ref="AG437:AJ437"/>
    <mergeCell ref="B517:H519"/>
    <mergeCell ref="AC524:AF524"/>
    <mergeCell ref="AH516:AK516"/>
    <mergeCell ref="BI626:BJ626"/>
    <mergeCell ref="BK626:BL626"/>
    <mergeCell ref="BN621:BR621"/>
    <mergeCell ref="BS621:BW621"/>
    <mergeCell ref="BX621:CB621"/>
    <mergeCell ref="AH531:AK531"/>
    <mergeCell ref="AC529:AF529"/>
    <mergeCell ref="AH530:AK530"/>
    <mergeCell ref="AH506:AK506"/>
    <mergeCell ref="AH508:AK508"/>
    <mergeCell ref="Q494:AK494"/>
    <mergeCell ref="AG450:AJ450"/>
    <mergeCell ref="AC455:AF455"/>
    <mergeCell ref="Q564:S564"/>
    <mergeCell ref="C560:L560"/>
    <mergeCell ref="AH515:AK515"/>
    <mergeCell ref="AC516:AF516"/>
    <mergeCell ref="AC521:AF521"/>
    <mergeCell ref="AG583:AH583"/>
    <mergeCell ref="AC515:AF515"/>
    <mergeCell ref="AC517:AF517"/>
    <mergeCell ref="BX599:CB599"/>
    <mergeCell ref="D467:V467"/>
    <mergeCell ref="AM554:AS554"/>
    <mergeCell ref="Q551:S553"/>
    <mergeCell ref="AE562:AH562"/>
    <mergeCell ref="W558:Y558"/>
    <mergeCell ref="AE558:AH558"/>
    <mergeCell ref="Q562:S562"/>
    <mergeCell ref="AM551:AS553"/>
    <mergeCell ref="D472:V472"/>
    <mergeCell ref="W472:Y472"/>
    <mergeCell ref="DH621:DL621"/>
    <mergeCell ref="DM621:DQ621"/>
    <mergeCell ref="DR621:DV621"/>
    <mergeCell ref="CS622:CW622"/>
    <mergeCell ref="CX622:DB622"/>
    <mergeCell ref="DC622:DG622"/>
    <mergeCell ref="DH622:DL622"/>
    <mergeCell ref="DM622:DQ622"/>
    <mergeCell ref="DR622:DV622"/>
    <mergeCell ref="CS623:CW623"/>
    <mergeCell ref="CX623:DB623"/>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EH627:EL627"/>
    <mergeCell ref="EM627:EQ627"/>
    <mergeCell ref="ER627:EV627"/>
    <mergeCell ref="ER628:EV628"/>
    <mergeCell ref="EW628:FA628"/>
    <mergeCell ref="EC625:EG625"/>
    <mergeCell ref="EH625:EL625"/>
    <mergeCell ref="EH626:EL626"/>
    <mergeCell ref="EM626:EQ626"/>
    <mergeCell ref="EC635:EG635"/>
    <mergeCell ref="EH635:EL635"/>
    <mergeCell ref="EM635:EQ635"/>
    <mergeCell ref="ER635:EV635"/>
    <mergeCell ref="EW635:FA635"/>
    <mergeCell ref="EW631:FA631"/>
    <mergeCell ref="EC636:EG636"/>
    <mergeCell ref="EH636:EL636"/>
    <mergeCell ref="DX636:EB636"/>
    <mergeCell ref="ER636:EV636"/>
    <mergeCell ref="CS629:CW629"/>
    <mergeCell ref="CX629:DB629"/>
    <mergeCell ref="DC629:DG629"/>
    <mergeCell ref="DH629:DL629"/>
    <mergeCell ref="DM629:DQ629"/>
    <mergeCell ref="DR629:DV629"/>
    <mergeCell ref="ER629:EV629"/>
    <mergeCell ref="EW629:FA629"/>
    <mergeCell ref="DX629:EB629"/>
    <mergeCell ref="EC629:EG629"/>
    <mergeCell ref="EW632:FA632"/>
    <mergeCell ref="DX635:EB635"/>
    <mergeCell ref="DH630:DL630"/>
    <mergeCell ref="DM631:DQ631"/>
    <mergeCell ref="EW637:FA637"/>
    <mergeCell ref="DH632:DL632"/>
    <mergeCell ref="EH629:EL629"/>
    <mergeCell ref="EM629:EQ629"/>
    <mergeCell ref="EM659:EQ659"/>
    <mergeCell ref="ER659:EV659"/>
    <mergeCell ref="EW659:FA659"/>
    <mergeCell ref="DX660:EB660"/>
    <mergeCell ref="EC660:EG660"/>
    <mergeCell ref="EH660:EL660"/>
    <mergeCell ref="EM660:EQ660"/>
    <mergeCell ref="EC659:EG659"/>
    <mergeCell ref="EH659:EL659"/>
    <mergeCell ref="EW636:FA636"/>
    <mergeCell ref="ER637:EV637"/>
    <mergeCell ref="DX630:EB630"/>
    <mergeCell ref="EC649:EG649"/>
    <mergeCell ref="EC639:EG639"/>
    <mergeCell ref="EH639:EL639"/>
    <mergeCell ref="EM639:EQ639"/>
    <mergeCell ref="EM637:EQ637"/>
    <mergeCell ref="EM644:EQ644"/>
    <mergeCell ref="ER644:EV644"/>
    <mergeCell ref="EW638:FA638"/>
    <mergeCell ref="ER648:EV648"/>
    <mergeCell ref="EW639:FA639"/>
    <mergeCell ref="DX640:EB640"/>
    <mergeCell ref="EC640:EG640"/>
    <mergeCell ref="EW640:FA640"/>
    <mergeCell ref="EH632:EL632"/>
    <mergeCell ref="EM632:EQ632"/>
    <mergeCell ref="ER632:EV632"/>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29:N729"/>
    <mergeCell ref="B718:F718"/>
    <mergeCell ref="G720:J720"/>
    <mergeCell ref="B721:F721"/>
    <mergeCell ref="G727:J727"/>
    <mergeCell ref="B727:F727"/>
    <mergeCell ref="T743:W743"/>
    <mergeCell ref="K724:N724"/>
    <mergeCell ref="T729:W729"/>
    <mergeCell ref="AH728:AJ728"/>
    <mergeCell ref="K744:N744"/>
    <mergeCell ref="O739:S739"/>
    <mergeCell ref="K738:N738"/>
    <mergeCell ref="K730:N730"/>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N1" zoomScaleNormal="100" workbookViewId="0">
      <selection activeCell="B86" sqref="B86"/>
    </sheetView>
  </sheetViews>
  <sheetFormatPr baseColWidth="10" defaultColWidth="0" defaultRowHeight="12" zeroHeight="1"/>
  <cols>
    <col min="1" max="1" width="35.5" style="110" customWidth="1"/>
    <col min="2" max="12" width="12.1640625" style="90" customWidth="1"/>
    <col min="13" max="17" width="11.5" style="90" customWidth="1"/>
    <col min="18" max="18" width="12.5" style="90" customWidth="1"/>
    <col min="19" max="20" width="12.1640625" style="90" customWidth="1"/>
    <col min="21" max="21" width="0.5" style="92" customWidth="1"/>
    <col min="22" max="16383" width="8.83203125" style="90" hidden="1"/>
    <col min="16384" max="16384" width="0.1640625" style="90" customWidth="1"/>
  </cols>
  <sheetData>
    <row r="1" spans="1:21" s="62" customFormat="1" ht="13">
      <c r="A1" s="95" t="s">
        <v>1796</v>
      </c>
      <c r="B1" s="73"/>
      <c r="C1" s="73"/>
      <c r="D1" s="73"/>
      <c r="E1" s="74"/>
      <c r="F1" s="1797" t="s">
        <v>1797</v>
      </c>
      <c r="G1" s="1798"/>
      <c r="H1" s="1798"/>
      <c r="I1" s="1798"/>
      <c r="J1" s="1798"/>
      <c r="K1" s="1798"/>
      <c r="L1" s="1798"/>
      <c r="M1" s="1798"/>
      <c r="N1" s="1798"/>
      <c r="O1" s="1798"/>
      <c r="P1" s="1798"/>
      <c r="Q1" s="1798"/>
      <c r="R1" s="1799"/>
      <c r="S1" s="64"/>
      <c r="T1" s="63"/>
      <c r="U1" s="65"/>
    </row>
    <row r="2" spans="1:21" s="79" customFormat="1" ht="71.25" customHeight="1">
      <c r="A2" s="78"/>
      <c r="B2" s="79" t="s">
        <v>1798</v>
      </c>
      <c r="C2" s="79" t="s">
        <v>1799</v>
      </c>
      <c r="D2" s="79" t="s">
        <v>1800</v>
      </c>
      <c r="E2" s="79" t="s">
        <v>1801</v>
      </c>
      <c r="F2" s="80" t="str">
        <f>Application!B627&amp;Application!C627</f>
        <v>1)Citi Permanent Loan</v>
      </c>
      <c r="G2" s="80" t="str">
        <f>Application!B628&amp;Application!C628</f>
        <v>2)Deferred Developer Fee</v>
      </c>
      <c r="H2" s="80" t="str">
        <f>Application!B629&amp;Application!C629</f>
        <v>3)SMC AHF 12.0</v>
      </c>
      <c r="I2" s="80" t="str">
        <f>Application!B630&amp;Application!C630</f>
        <v>4)SMC AHF 11.0</v>
      </c>
      <c r="J2" s="80" t="str">
        <f>Application!B631&amp;Application!C631</f>
        <v>5)AHP Funds</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1802</v>
      </c>
      <c r="S2" s="79" t="s">
        <v>1803</v>
      </c>
      <c r="T2" s="79" t="s">
        <v>1804</v>
      </c>
      <c r="U2" s="81"/>
    </row>
    <row r="3" spans="1:21" s="83" customFormat="1" ht="13">
      <c r="A3" s="82" t="s">
        <v>1805</v>
      </c>
      <c r="B3" s="1082"/>
      <c r="C3" s="1082"/>
      <c r="D3" s="1082"/>
      <c r="E3" s="1082"/>
      <c r="F3" s="1082"/>
      <c r="G3" s="1082"/>
      <c r="H3" s="1082"/>
      <c r="I3" s="1082"/>
      <c r="J3" s="1082"/>
      <c r="K3" s="1082"/>
      <c r="L3" s="1082"/>
      <c r="M3" s="1082"/>
      <c r="N3" s="1082"/>
      <c r="O3" s="1082"/>
      <c r="P3" s="1082"/>
      <c r="Q3" s="1082"/>
      <c r="R3" s="1082"/>
      <c r="S3" s="1082"/>
      <c r="T3" s="1082"/>
      <c r="U3" s="1083"/>
    </row>
    <row r="4" spans="1:21" s="83" customFormat="1" ht="13">
      <c r="A4" s="181" t="s">
        <v>1806</v>
      </c>
      <c r="B4" s="233">
        <f>SUM(C4+D4)</f>
        <v>4550000</v>
      </c>
      <c r="C4" s="801">
        <v>4550000</v>
      </c>
      <c r="D4" s="801"/>
      <c r="E4" s="801">
        <v>4550000</v>
      </c>
      <c r="F4" s="801"/>
      <c r="G4" s="801"/>
      <c r="H4" s="801"/>
      <c r="I4" s="801"/>
      <c r="J4" s="801"/>
      <c r="K4" s="801"/>
      <c r="L4" s="801"/>
      <c r="M4" s="801"/>
      <c r="N4" s="801"/>
      <c r="O4" s="801"/>
      <c r="P4" s="801"/>
      <c r="Q4" s="801"/>
      <c r="R4" s="387">
        <f>SUM(E4:Q4)</f>
        <v>4550000</v>
      </c>
      <c r="S4" s="1084"/>
      <c r="T4" s="1084"/>
      <c r="U4" s="1083"/>
    </row>
    <row r="5" spans="1:21" s="83" customFormat="1" ht="13">
      <c r="A5" s="181" t="s">
        <v>1807</v>
      </c>
      <c r="B5" s="233">
        <f>SUM(C5+D5)</f>
        <v>100000</v>
      </c>
      <c r="C5" s="801">
        <v>100000</v>
      </c>
      <c r="D5" s="801"/>
      <c r="E5" s="801">
        <v>100000</v>
      </c>
      <c r="F5" s="801"/>
      <c r="G5" s="801"/>
      <c r="H5" s="801"/>
      <c r="I5" s="801"/>
      <c r="J5" s="801"/>
      <c r="K5" s="801"/>
      <c r="L5" s="801"/>
      <c r="M5" s="801"/>
      <c r="N5" s="801"/>
      <c r="O5" s="801"/>
      <c r="P5" s="801"/>
      <c r="Q5" s="801"/>
      <c r="R5" s="387">
        <f>SUM(E5:Q5)</f>
        <v>100000</v>
      </c>
      <c r="S5" s="1084"/>
      <c r="T5" s="1084"/>
      <c r="U5" s="1083"/>
    </row>
    <row r="6" spans="1:21" s="83" customFormat="1" ht="13">
      <c r="A6" s="181" t="s">
        <v>1808</v>
      </c>
      <c r="B6" s="233">
        <f>SUM(C6+D6)</f>
        <v>0</v>
      </c>
      <c r="C6" s="801"/>
      <c r="D6" s="801"/>
      <c r="E6" s="801"/>
      <c r="F6" s="801"/>
      <c r="G6" s="801"/>
      <c r="H6" s="801"/>
      <c r="I6" s="801"/>
      <c r="J6" s="801"/>
      <c r="K6" s="801"/>
      <c r="L6" s="801"/>
      <c r="M6" s="801"/>
      <c r="N6" s="801"/>
      <c r="O6" s="801"/>
      <c r="P6" s="801"/>
      <c r="Q6" s="801"/>
      <c r="R6" s="387">
        <f>SUM(E6:Q6)</f>
        <v>0</v>
      </c>
      <c r="S6" s="1084"/>
      <c r="T6" s="1084"/>
      <c r="U6" s="1083"/>
    </row>
    <row r="7" spans="1:21" s="83" customFormat="1" ht="13">
      <c r="A7" s="181" t="s">
        <v>1809</v>
      </c>
      <c r="B7" s="233">
        <f>SUM(C7+D7)</f>
        <v>0</v>
      </c>
      <c r="C7" s="801"/>
      <c r="D7" s="801"/>
      <c r="E7" s="801"/>
      <c r="F7" s="801"/>
      <c r="G7" s="801"/>
      <c r="H7" s="801"/>
      <c r="I7" s="801"/>
      <c r="J7" s="801"/>
      <c r="K7" s="801"/>
      <c r="L7" s="801"/>
      <c r="M7" s="801"/>
      <c r="N7" s="801"/>
      <c r="O7" s="801"/>
      <c r="P7" s="801"/>
      <c r="Q7" s="801"/>
      <c r="R7" s="387">
        <f>SUM(E7:Q7)</f>
        <v>0</v>
      </c>
      <c r="S7" s="1084"/>
      <c r="T7" s="1084"/>
      <c r="U7" s="1083"/>
    </row>
    <row r="8" spans="1:21" s="83" customFormat="1" ht="13">
      <c r="A8" s="84" t="s">
        <v>1810</v>
      </c>
      <c r="B8" s="233">
        <f>SUM(C8:D8)</f>
        <v>4650000</v>
      </c>
      <c r="C8" s="233">
        <f t="shared" ref="C8:Q8" si="0">SUM(C4:C7)</f>
        <v>4650000</v>
      </c>
      <c r="D8" s="233">
        <f t="shared" si="0"/>
        <v>0</v>
      </c>
      <c r="E8" s="233">
        <f t="shared" si="0"/>
        <v>4650000</v>
      </c>
      <c r="F8" s="233">
        <f t="shared" si="0"/>
        <v>0</v>
      </c>
      <c r="G8" s="233">
        <f t="shared" si="0"/>
        <v>0</v>
      </c>
      <c r="H8" s="233">
        <f t="shared" si="0"/>
        <v>0</v>
      </c>
      <c r="I8" s="233">
        <f t="shared" si="0"/>
        <v>0</v>
      </c>
      <c r="J8" s="233">
        <f t="shared" si="0"/>
        <v>0</v>
      </c>
      <c r="K8" s="233">
        <f t="shared" si="0"/>
        <v>0</v>
      </c>
      <c r="L8" s="233">
        <f t="shared" si="0"/>
        <v>0</v>
      </c>
      <c r="M8" s="233">
        <f t="shared" si="0"/>
        <v>0</v>
      </c>
      <c r="N8" s="233">
        <f t="shared" si="0"/>
        <v>0</v>
      </c>
      <c r="O8" s="233">
        <f t="shared" si="0"/>
        <v>0</v>
      </c>
      <c r="P8" s="233"/>
      <c r="Q8" s="233">
        <f t="shared" si="0"/>
        <v>0</v>
      </c>
      <c r="R8" s="233">
        <f>SUM(R4:R7)</f>
        <v>4650000</v>
      </c>
      <c r="S8" s="1084"/>
      <c r="T8" s="1084"/>
      <c r="U8" s="1083"/>
    </row>
    <row r="9" spans="1:21" s="83" customFormat="1" ht="13">
      <c r="A9" s="181" t="s">
        <v>1811</v>
      </c>
      <c r="B9" s="233">
        <f>SUM(C9+D9)</f>
        <v>0</v>
      </c>
      <c r="C9" s="801"/>
      <c r="D9" s="801"/>
      <c r="E9" s="801"/>
      <c r="F9" s="801"/>
      <c r="G9" s="801"/>
      <c r="H9" s="801"/>
      <c r="I9" s="801"/>
      <c r="J9" s="801"/>
      <c r="K9" s="801"/>
      <c r="L9" s="801"/>
      <c r="M9" s="801"/>
      <c r="N9" s="801"/>
      <c r="O9" s="801"/>
      <c r="P9" s="801"/>
      <c r="Q9" s="801"/>
      <c r="R9" s="387">
        <f>SUM(E9:Q9)</f>
        <v>0</v>
      </c>
      <c r="S9" s="1084"/>
      <c r="T9" s="801"/>
      <c r="U9" s="1083"/>
    </row>
    <row r="10" spans="1:21" s="83" customFormat="1" ht="13">
      <c r="A10" s="181" t="s">
        <v>1812</v>
      </c>
      <c r="B10" s="233">
        <f>SUM(C10+D10)</f>
        <v>500000</v>
      </c>
      <c r="C10" s="801">
        <v>500000</v>
      </c>
      <c r="D10" s="801"/>
      <c r="E10" s="801">
        <v>500000</v>
      </c>
      <c r="F10" s="801"/>
      <c r="G10" s="801"/>
      <c r="H10" s="801"/>
      <c r="I10" s="801"/>
      <c r="J10" s="801"/>
      <c r="K10" s="801"/>
      <c r="L10" s="801"/>
      <c r="M10" s="801"/>
      <c r="N10" s="801"/>
      <c r="O10" s="801"/>
      <c r="P10" s="801"/>
      <c r="Q10" s="801"/>
      <c r="R10" s="387">
        <f>SUM(E10:Q10)</f>
        <v>500000</v>
      </c>
      <c r="S10" s="801">
        <v>500000</v>
      </c>
      <c r="T10" s="801"/>
      <c r="U10" s="1083"/>
    </row>
    <row r="11" spans="1:21" s="83" customFormat="1" ht="13">
      <c r="A11" s="84" t="s">
        <v>1813</v>
      </c>
      <c r="B11" s="233">
        <f>SUM(C11:D11)</f>
        <v>500000</v>
      </c>
      <c r="C11" s="233">
        <f t="shared" ref="C11:Q11" si="1">SUM(C9:C10)</f>
        <v>500000</v>
      </c>
      <c r="D11" s="233">
        <f t="shared" si="1"/>
        <v>0</v>
      </c>
      <c r="E11" s="233">
        <f t="shared" si="1"/>
        <v>500000</v>
      </c>
      <c r="F11" s="233">
        <f t="shared" si="1"/>
        <v>0</v>
      </c>
      <c r="G11" s="233">
        <f t="shared" si="1"/>
        <v>0</v>
      </c>
      <c r="H11" s="233">
        <f t="shared" si="1"/>
        <v>0</v>
      </c>
      <c r="I11" s="233">
        <f t="shared" si="1"/>
        <v>0</v>
      </c>
      <c r="J11" s="233">
        <f t="shared" si="1"/>
        <v>0</v>
      </c>
      <c r="K11" s="233">
        <f t="shared" si="1"/>
        <v>0</v>
      </c>
      <c r="L11" s="233">
        <f t="shared" si="1"/>
        <v>0</v>
      </c>
      <c r="M11" s="233">
        <f t="shared" si="1"/>
        <v>0</v>
      </c>
      <c r="N11" s="233">
        <f t="shared" si="1"/>
        <v>0</v>
      </c>
      <c r="O11" s="233">
        <f t="shared" si="1"/>
        <v>0</v>
      </c>
      <c r="P11" s="233"/>
      <c r="Q11" s="233">
        <f t="shared" si="1"/>
        <v>0</v>
      </c>
      <c r="R11" s="233">
        <f>SUM(R9:R10)</f>
        <v>500000</v>
      </c>
      <c r="S11" s="1084"/>
      <c r="T11" s="85">
        <f>SUM(T9:T10)</f>
        <v>0</v>
      </c>
      <c r="U11" s="1083"/>
    </row>
    <row r="12" spans="1:21" s="83" customFormat="1" ht="13">
      <c r="A12" s="84" t="s">
        <v>1814</v>
      </c>
      <c r="B12" s="233">
        <f t="shared" ref="B12:Q12" si="2">SUM(B8+B11)</f>
        <v>5150000</v>
      </c>
      <c r="C12" s="233">
        <f t="shared" si="2"/>
        <v>5150000</v>
      </c>
      <c r="D12" s="233">
        <f t="shared" si="2"/>
        <v>0</v>
      </c>
      <c r="E12" s="233">
        <f t="shared" si="2"/>
        <v>5150000</v>
      </c>
      <c r="F12" s="233">
        <f t="shared" si="2"/>
        <v>0</v>
      </c>
      <c r="G12" s="233">
        <f t="shared" si="2"/>
        <v>0</v>
      </c>
      <c r="H12" s="233">
        <f t="shared" si="2"/>
        <v>0</v>
      </c>
      <c r="I12" s="233">
        <f t="shared" si="2"/>
        <v>0</v>
      </c>
      <c r="J12" s="233">
        <f t="shared" si="2"/>
        <v>0</v>
      </c>
      <c r="K12" s="233">
        <f t="shared" si="2"/>
        <v>0</v>
      </c>
      <c r="L12" s="233">
        <f t="shared" si="2"/>
        <v>0</v>
      </c>
      <c r="M12" s="233">
        <f t="shared" si="2"/>
        <v>0</v>
      </c>
      <c r="N12" s="233">
        <f t="shared" si="2"/>
        <v>0</v>
      </c>
      <c r="O12" s="233">
        <f t="shared" si="2"/>
        <v>0</v>
      </c>
      <c r="P12" s="233"/>
      <c r="Q12" s="233">
        <f t="shared" si="2"/>
        <v>0</v>
      </c>
      <c r="R12" s="233">
        <f>SUM(R8+R11)</f>
        <v>5150000</v>
      </c>
      <c r="S12" s="1084"/>
      <c r="T12" s="1084"/>
      <c r="U12" s="1083"/>
    </row>
    <row r="13" spans="1:21" s="83" customFormat="1">
      <c r="A13" s="184" t="s">
        <v>1815</v>
      </c>
      <c r="B13" s="233">
        <f>SUM(C13+D13)</f>
        <v>0</v>
      </c>
      <c r="C13" s="801"/>
      <c r="D13" s="801"/>
      <c r="E13" s="801"/>
      <c r="F13" s="801"/>
      <c r="G13" s="801"/>
      <c r="H13" s="801"/>
      <c r="I13" s="801"/>
      <c r="J13" s="801"/>
      <c r="K13" s="801"/>
      <c r="L13" s="801"/>
      <c r="M13" s="801"/>
      <c r="N13" s="801"/>
      <c r="O13" s="801"/>
      <c r="P13" s="801"/>
      <c r="Q13" s="801"/>
      <c r="R13" s="387">
        <f>SUM(E13:Q13)</f>
        <v>0</v>
      </c>
      <c r="S13" s="801"/>
      <c r="T13" s="801"/>
      <c r="U13" s="1083"/>
    </row>
    <row r="14" spans="1:21" s="83" customFormat="1" ht="26">
      <c r="A14" s="185" t="s">
        <v>1816</v>
      </c>
      <c r="B14" s="233">
        <f>SUM(C14+D14)</f>
        <v>0</v>
      </c>
      <c r="C14" s="801"/>
      <c r="D14" s="801"/>
      <c r="E14" s="801"/>
      <c r="F14" s="801"/>
      <c r="G14" s="801"/>
      <c r="H14" s="801"/>
      <c r="I14" s="801"/>
      <c r="J14" s="801"/>
      <c r="K14" s="801"/>
      <c r="L14" s="801"/>
      <c r="M14" s="801"/>
      <c r="N14" s="801"/>
      <c r="O14" s="801"/>
      <c r="P14" s="801"/>
      <c r="Q14" s="801"/>
      <c r="R14" s="387">
        <f>SUM(E14:Q14)</f>
        <v>0</v>
      </c>
      <c r="S14" s="801"/>
      <c r="T14" s="801"/>
      <c r="U14" s="1083"/>
    </row>
    <row r="15" spans="1:21" s="83" customFormat="1" ht="13">
      <c r="A15" s="185" t="s">
        <v>1817</v>
      </c>
      <c r="B15" s="233">
        <f>SUM(C15+D15)</f>
        <v>0</v>
      </c>
      <c r="C15" s="801"/>
      <c r="D15" s="801"/>
      <c r="E15" s="801"/>
      <c r="F15" s="801"/>
      <c r="G15" s="801"/>
      <c r="H15" s="801"/>
      <c r="I15" s="801"/>
      <c r="J15" s="801"/>
      <c r="K15" s="801"/>
      <c r="L15" s="801"/>
      <c r="M15" s="801"/>
      <c r="N15" s="801"/>
      <c r="O15" s="801"/>
      <c r="P15" s="801"/>
      <c r="Q15" s="801"/>
      <c r="R15" s="387">
        <f>SUM(E15:Q15)</f>
        <v>0</v>
      </c>
      <c r="S15" s="1084"/>
      <c r="T15" s="1084"/>
      <c r="U15" s="1083"/>
    </row>
    <row r="16" spans="1:21" s="83" customFormat="1" ht="13">
      <c r="A16" s="82" t="s">
        <v>1818</v>
      </c>
      <c r="B16" s="1082"/>
      <c r="C16" s="1082"/>
      <c r="D16" s="1082"/>
      <c r="E16" s="234"/>
      <c r="F16" s="234"/>
      <c r="G16" s="234"/>
      <c r="H16" s="234"/>
      <c r="I16" s="234"/>
      <c r="J16" s="234"/>
      <c r="K16" s="234"/>
      <c r="L16" s="234"/>
      <c r="M16" s="234"/>
      <c r="N16" s="234"/>
      <c r="O16" s="234"/>
      <c r="P16" s="234"/>
      <c r="Q16" s="234"/>
      <c r="R16" s="234"/>
      <c r="S16" s="1082"/>
      <c r="T16" s="1082"/>
      <c r="U16" s="1083"/>
    </row>
    <row r="17" spans="1:21" s="83" customFormat="1" ht="13">
      <c r="A17" s="181" t="s">
        <v>1819</v>
      </c>
      <c r="B17" s="233">
        <f t="shared" ref="B17:B26" si="3">SUM(C17+D17)</f>
        <v>0</v>
      </c>
      <c r="C17" s="801"/>
      <c r="D17" s="801"/>
      <c r="E17" s="801"/>
      <c r="F17" s="801"/>
      <c r="G17" s="801"/>
      <c r="H17" s="801"/>
      <c r="I17" s="801"/>
      <c r="J17" s="801"/>
      <c r="K17" s="801"/>
      <c r="L17" s="801"/>
      <c r="M17" s="801"/>
      <c r="N17" s="801"/>
      <c r="O17" s="801"/>
      <c r="P17" s="801"/>
      <c r="Q17" s="801"/>
      <c r="R17" s="387">
        <f>SUM(E17:Q17)</f>
        <v>0</v>
      </c>
      <c r="S17" s="801"/>
      <c r="T17" s="801"/>
      <c r="U17" s="1083"/>
    </row>
    <row r="18" spans="1:21" s="83" customFormat="1" ht="13">
      <c r="A18" s="181" t="s">
        <v>1820</v>
      </c>
      <c r="B18" s="233">
        <f t="shared" si="3"/>
        <v>0</v>
      </c>
      <c r="C18" s="801"/>
      <c r="D18" s="801"/>
      <c r="E18" s="801"/>
      <c r="F18" s="801"/>
      <c r="G18" s="801"/>
      <c r="H18" s="801"/>
      <c r="I18" s="801"/>
      <c r="J18" s="801"/>
      <c r="K18" s="801"/>
      <c r="L18" s="801"/>
      <c r="M18" s="801"/>
      <c r="N18" s="801"/>
      <c r="O18" s="801"/>
      <c r="P18" s="801"/>
      <c r="Q18" s="801"/>
      <c r="R18" s="387">
        <f>SUM(E18:Q18)</f>
        <v>0</v>
      </c>
      <c r="S18" s="801"/>
      <c r="T18" s="801"/>
      <c r="U18" s="1083"/>
    </row>
    <row r="19" spans="1:21" s="83" customFormat="1" ht="13">
      <c r="A19" s="181" t="s">
        <v>1821</v>
      </c>
      <c r="B19" s="233">
        <f t="shared" si="3"/>
        <v>0</v>
      </c>
      <c r="C19" s="801"/>
      <c r="D19" s="801"/>
      <c r="E19" s="801"/>
      <c r="F19" s="801"/>
      <c r="G19" s="801"/>
      <c r="H19" s="801"/>
      <c r="I19" s="801"/>
      <c r="J19" s="801"/>
      <c r="K19" s="801"/>
      <c r="L19" s="801"/>
      <c r="M19" s="801"/>
      <c r="N19" s="801"/>
      <c r="O19" s="801"/>
      <c r="P19" s="801"/>
      <c r="Q19" s="801"/>
      <c r="R19" s="387">
        <f>SUM(E19:Q19)</f>
        <v>0</v>
      </c>
      <c r="S19" s="801"/>
      <c r="T19" s="801"/>
      <c r="U19" s="1083"/>
    </row>
    <row r="20" spans="1:21" s="83" customFormat="1" ht="13">
      <c r="A20" s="181" t="s">
        <v>1822</v>
      </c>
      <c r="B20" s="233">
        <f t="shared" si="3"/>
        <v>0</v>
      </c>
      <c r="C20" s="801"/>
      <c r="D20" s="801"/>
      <c r="E20" s="801"/>
      <c r="F20" s="801"/>
      <c r="G20" s="801"/>
      <c r="H20" s="801"/>
      <c r="I20" s="801"/>
      <c r="J20" s="801"/>
      <c r="K20" s="801"/>
      <c r="L20" s="801"/>
      <c r="M20" s="801"/>
      <c r="N20" s="801"/>
      <c r="O20" s="801"/>
      <c r="P20" s="801"/>
      <c r="Q20" s="801"/>
      <c r="R20" s="387">
        <f t="shared" ref="R20:R27" si="4">SUM(E20:Q20)</f>
        <v>0</v>
      </c>
      <c r="S20" s="801"/>
      <c r="T20" s="801"/>
      <c r="U20" s="1083"/>
    </row>
    <row r="21" spans="1:21" s="83" customFormat="1" ht="13">
      <c r="A21" s="181" t="s">
        <v>1823</v>
      </c>
      <c r="B21" s="233">
        <f t="shared" si="3"/>
        <v>0</v>
      </c>
      <c r="C21" s="801"/>
      <c r="D21" s="801"/>
      <c r="E21" s="801"/>
      <c r="F21" s="801"/>
      <c r="G21" s="801"/>
      <c r="H21" s="801"/>
      <c r="I21" s="801"/>
      <c r="J21" s="801"/>
      <c r="K21" s="801"/>
      <c r="L21" s="801"/>
      <c r="M21" s="801"/>
      <c r="N21" s="801"/>
      <c r="O21" s="801"/>
      <c r="P21" s="801"/>
      <c r="Q21" s="801"/>
      <c r="R21" s="387">
        <f t="shared" si="4"/>
        <v>0</v>
      </c>
      <c r="S21" s="801"/>
      <c r="T21" s="801"/>
      <c r="U21" s="1083"/>
    </row>
    <row r="22" spans="1:21" s="83" customFormat="1" ht="13">
      <c r="A22" s="181" t="s">
        <v>1824</v>
      </c>
      <c r="B22" s="233">
        <f t="shared" si="3"/>
        <v>0</v>
      </c>
      <c r="C22" s="801"/>
      <c r="D22" s="801"/>
      <c r="E22" s="801"/>
      <c r="F22" s="801"/>
      <c r="G22" s="801"/>
      <c r="H22" s="801"/>
      <c r="I22" s="801"/>
      <c r="J22" s="801"/>
      <c r="K22" s="801"/>
      <c r="L22" s="801"/>
      <c r="M22" s="801"/>
      <c r="N22" s="801"/>
      <c r="O22" s="801"/>
      <c r="P22" s="801"/>
      <c r="Q22" s="801"/>
      <c r="R22" s="387">
        <f t="shared" si="4"/>
        <v>0</v>
      </c>
      <c r="S22" s="801"/>
      <c r="T22" s="801"/>
      <c r="U22" s="1083"/>
    </row>
    <row r="23" spans="1:21" s="83" customFormat="1" ht="13">
      <c r="A23" s="181" t="s">
        <v>1825</v>
      </c>
      <c r="B23" s="233">
        <f t="shared" si="3"/>
        <v>0</v>
      </c>
      <c r="C23" s="801"/>
      <c r="D23" s="801"/>
      <c r="E23" s="801"/>
      <c r="F23" s="801"/>
      <c r="G23" s="801"/>
      <c r="H23" s="801"/>
      <c r="I23" s="801"/>
      <c r="J23" s="801"/>
      <c r="K23" s="801"/>
      <c r="L23" s="801"/>
      <c r="M23" s="801"/>
      <c r="N23" s="801"/>
      <c r="O23" s="801"/>
      <c r="P23" s="801"/>
      <c r="Q23" s="801"/>
      <c r="R23" s="387">
        <f t="shared" si="4"/>
        <v>0</v>
      </c>
      <c r="S23" s="801"/>
      <c r="T23" s="801"/>
      <c r="U23" s="1083"/>
    </row>
    <row r="24" spans="1:21" s="83" customFormat="1" ht="13">
      <c r="A24" s="380" t="s">
        <v>1826</v>
      </c>
      <c r="B24" s="233">
        <f t="shared" si="3"/>
        <v>0</v>
      </c>
      <c r="C24" s="801"/>
      <c r="D24" s="801"/>
      <c r="E24" s="801"/>
      <c r="F24" s="801"/>
      <c r="G24" s="801"/>
      <c r="H24" s="801"/>
      <c r="I24" s="801"/>
      <c r="J24" s="801"/>
      <c r="K24" s="801"/>
      <c r="L24" s="801"/>
      <c r="M24" s="801"/>
      <c r="N24" s="801"/>
      <c r="O24" s="801"/>
      <c r="P24" s="801"/>
      <c r="Q24" s="801"/>
      <c r="R24" s="387">
        <f t="shared" si="4"/>
        <v>0</v>
      </c>
      <c r="S24" s="801"/>
      <c r="T24" s="801"/>
      <c r="U24" s="1083"/>
    </row>
    <row r="25" spans="1:21" s="83" customFormat="1" ht="13">
      <c r="A25" s="961" t="s">
        <v>1827</v>
      </c>
      <c r="B25" s="233">
        <f t="shared" si="3"/>
        <v>0</v>
      </c>
      <c r="C25" s="801"/>
      <c r="D25" s="801"/>
      <c r="E25" s="801"/>
      <c r="F25" s="801"/>
      <c r="G25" s="801"/>
      <c r="H25" s="801"/>
      <c r="I25" s="801"/>
      <c r="J25" s="801"/>
      <c r="K25" s="801"/>
      <c r="L25" s="801"/>
      <c r="M25" s="801"/>
      <c r="N25" s="801"/>
      <c r="O25" s="801"/>
      <c r="P25" s="801"/>
      <c r="Q25" s="801"/>
      <c r="R25" s="387">
        <f t="shared" si="4"/>
        <v>0</v>
      </c>
      <c r="S25" s="801"/>
      <c r="T25" s="801"/>
      <c r="U25" s="1083"/>
    </row>
    <row r="26" spans="1:21" s="83" customFormat="1" ht="13">
      <c r="A26" s="84" t="s">
        <v>1828</v>
      </c>
      <c r="B26" s="233">
        <f t="shared" si="3"/>
        <v>0</v>
      </c>
      <c r="C26" s="233">
        <f>SUM(C17:C25)</f>
        <v>0</v>
      </c>
      <c r="D26" s="233">
        <f t="shared" ref="D26:Q26" si="5">SUM(D17:D25)</f>
        <v>0</v>
      </c>
      <c r="E26" s="233">
        <f t="shared" si="5"/>
        <v>0</v>
      </c>
      <c r="F26" s="233">
        <f t="shared" si="5"/>
        <v>0</v>
      </c>
      <c r="G26" s="233">
        <f t="shared" si="5"/>
        <v>0</v>
      </c>
      <c r="H26" s="233">
        <f t="shared" si="5"/>
        <v>0</v>
      </c>
      <c r="I26" s="233">
        <f t="shared" si="5"/>
        <v>0</v>
      </c>
      <c r="J26" s="233">
        <f t="shared" si="5"/>
        <v>0</v>
      </c>
      <c r="K26" s="233">
        <f t="shared" si="5"/>
        <v>0</v>
      </c>
      <c r="L26" s="233">
        <f t="shared" si="5"/>
        <v>0</v>
      </c>
      <c r="M26" s="233">
        <f t="shared" si="5"/>
        <v>0</v>
      </c>
      <c r="N26" s="233">
        <f t="shared" si="5"/>
        <v>0</v>
      </c>
      <c r="O26" s="233">
        <f t="shared" si="5"/>
        <v>0</v>
      </c>
      <c r="P26" s="233">
        <f t="shared" si="5"/>
        <v>0</v>
      </c>
      <c r="Q26" s="233">
        <f t="shared" si="5"/>
        <v>0</v>
      </c>
      <c r="R26" s="233">
        <f>SUM(R17:R25)</f>
        <v>0</v>
      </c>
      <c r="S26" s="85">
        <f>SUM(S17:S25)</f>
        <v>0</v>
      </c>
      <c r="T26" s="85">
        <f>SUM(T17:T25)</f>
        <v>0</v>
      </c>
      <c r="U26" s="1083"/>
    </row>
    <row r="27" spans="1:21" s="83" customFormat="1" ht="13">
      <c r="A27" s="84" t="s">
        <v>1829</v>
      </c>
      <c r="B27" s="233">
        <f>SUM(C27:D27)</f>
        <v>0</v>
      </c>
      <c r="C27" s="801"/>
      <c r="D27" s="801"/>
      <c r="E27" s="801"/>
      <c r="F27" s="801"/>
      <c r="G27" s="801"/>
      <c r="H27" s="801"/>
      <c r="I27" s="801"/>
      <c r="J27" s="801"/>
      <c r="K27" s="801"/>
      <c r="L27" s="801"/>
      <c r="M27" s="801"/>
      <c r="N27" s="801"/>
      <c r="O27" s="801"/>
      <c r="P27" s="801"/>
      <c r="Q27" s="801"/>
      <c r="R27" s="387">
        <f t="shared" si="4"/>
        <v>0</v>
      </c>
      <c r="S27" s="801"/>
      <c r="T27" s="801"/>
      <c r="U27" s="1083"/>
    </row>
    <row r="28" spans="1:21" s="83" customFormat="1" ht="13">
      <c r="A28" s="82" t="s">
        <v>1830</v>
      </c>
      <c r="B28" s="1082"/>
      <c r="C28" s="1082"/>
      <c r="D28" s="1082"/>
      <c r="E28" s="234"/>
      <c r="F28" s="234"/>
      <c r="G28" s="234"/>
      <c r="H28" s="234"/>
      <c r="I28" s="234"/>
      <c r="J28" s="234"/>
      <c r="K28" s="234"/>
      <c r="L28" s="234"/>
      <c r="M28" s="234"/>
      <c r="N28" s="234"/>
      <c r="O28" s="234"/>
      <c r="P28" s="234"/>
      <c r="Q28" s="234"/>
      <c r="R28" s="234"/>
      <c r="S28" s="1082"/>
      <c r="T28" s="1082"/>
      <c r="U28" s="1083"/>
    </row>
    <row r="29" spans="1:21" s="83" customFormat="1" ht="13">
      <c r="A29" s="181" t="s">
        <v>1819</v>
      </c>
      <c r="B29" s="233">
        <f t="shared" ref="B29:B38" si="6">SUM(C29+D29)</f>
        <v>1000000</v>
      </c>
      <c r="C29" s="801">
        <v>1000000</v>
      </c>
      <c r="D29" s="801"/>
      <c r="E29" s="801">
        <v>1000000</v>
      </c>
      <c r="F29" s="801"/>
      <c r="G29" s="801"/>
      <c r="H29" s="801"/>
      <c r="I29" s="801"/>
      <c r="J29" s="801"/>
      <c r="K29" s="801"/>
      <c r="L29" s="801"/>
      <c r="M29" s="801"/>
      <c r="N29" s="801"/>
      <c r="O29" s="801"/>
      <c r="P29" s="801"/>
      <c r="Q29" s="801"/>
      <c r="R29" s="387">
        <f t="shared" ref="R29:R37" si="7">SUM(E29:Q29)</f>
        <v>1000000</v>
      </c>
      <c r="S29" s="801">
        <v>1000000</v>
      </c>
      <c r="T29" s="801"/>
      <c r="U29" s="1083"/>
    </row>
    <row r="30" spans="1:21" s="83" customFormat="1" ht="13">
      <c r="A30" s="181" t="s">
        <v>1820</v>
      </c>
      <c r="B30" s="233">
        <f t="shared" si="6"/>
        <v>22280624</v>
      </c>
      <c r="C30" s="801">
        <v>22280624</v>
      </c>
      <c r="D30" s="801"/>
      <c r="E30" s="801">
        <f>C30-F30-H30-I30</f>
        <v>9679847</v>
      </c>
      <c r="F30" s="801">
        <f>7197514-F34</f>
        <v>4697514</v>
      </c>
      <c r="G30" s="801"/>
      <c r="H30" s="801">
        <v>4000000</v>
      </c>
      <c r="I30" s="801">
        <f>4403263-500000</f>
        <v>3903263</v>
      </c>
      <c r="J30" s="801"/>
      <c r="K30" s="801"/>
      <c r="L30" s="801"/>
      <c r="M30" s="801"/>
      <c r="N30" s="801"/>
      <c r="O30" s="801"/>
      <c r="P30" s="801"/>
      <c r="Q30" s="801"/>
      <c r="R30" s="387">
        <f>SUM(E30:Q30)</f>
        <v>22280624</v>
      </c>
      <c r="S30" s="801">
        <v>22280624</v>
      </c>
      <c r="T30" s="801"/>
      <c r="U30" s="1083"/>
    </row>
    <row r="31" spans="1:21" s="83" customFormat="1" ht="13">
      <c r="A31" s="181" t="s">
        <v>1821</v>
      </c>
      <c r="B31" s="233">
        <f t="shared" si="6"/>
        <v>1712205</v>
      </c>
      <c r="C31" s="801">
        <v>1712205</v>
      </c>
      <c r="D31" s="801"/>
      <c r="E31" s="801">
        <f>C31-I31-J31</f>
        <v>562205</v>
      </c>
      <c r="F31" s="801"/>
      <c r="G31" s="801"/>
      <c r="H31" s="801"/>
      <c r="I31" s="801">
        <v>500000</v>
      </c>
      <c r="J31" s="801">
        <v>650000</v>
      </c>
      <c r="K31" s="801"/>
      <c r="L31" s="801"/>
      <c r="M31" s="801"/>
      <c r="N31" s="801"/>
      <c r="O31" s="801"/>
      <c r="P31" s="801"/>
      <c r="Q31" s="801"/>
      <c r="R31" s="387">
        <f t="shared" si="7"/>
        <v>1712205</v>
      </c>
      <c r="S31" s="801">
        <v>1712205</v>
      </c>
      <c r="T31" s="801"/>
      <c r="U31" s="1083"/>
    </row>
    <row r="32" spans="1:21" s="83" customFormat="1" ht="13">
      <c r="A32" s="181" t="s">
        <v>1822</v>
      </c>
      <c r="B32" s="233">
        <f t="shared" si="6"/>
        <v>1141470</v>
      </c>
      <c r="C32" s="801">
        <v>1141470</v>
      </c>
      <c r="D32" s="801"/>
      <c r="E32" s="801">
        <v>1141470</v>
      </c>
      <c r="F32" s="801"/>
      <c r="G32" s="801"/>
      <c r="H32" s="801"/>
      <c r="I32" s="801"/>
      <c r="J32" s="801"/>
      <c r="K32" s="801"/>
      <c r="L32" s="801"/>
      <c r="M32" s="801"/>
      <c r="N32" s="801"/>
      <c r="O32" s="801"/>
      <c r="P32" s="801"/>
      <c r="Q32" s="801"/>
      <c r="R32" s="387">
        <f t="shared" si="7"/>
        <v>1141470</v>
      </c>
      <c r="S32" s="801">
        <v>1141470</v>
      </c>
      <c r="T32" s="801"/>
      <c r="U32" s="1083"/>
    </row>
    <row r="33" spans="1:21" s="83" customFormat="1" ht="13">
      <c r="A33" s="181" t="s">
        <v>1823</v>
      </c>
      <c r="B33" s="233">
        <f t="shared" si="6"/>
        <v>1141470</v>
      </c>
      <c r="C33" s="801">
        <v>1141470</v>
      </c>
      <c r="D33" s="801"/>
      <c r="E33" s="801">
        <v>1141470</v>
      </c>
      <c r="F33" s="801"/>
      <c r="G33" s="801"/>
      <c r="H33" s="801"/>
      <c r="I33" s="801"/>
      <c r="J33" s="801"/>
      <c r="K33" s="801"/>
      <c r="L33" s="801"/>
      <c r="M33" s="801"/>
      <c r="N33" s="801"/>
      <c r="O33" s="801"/>
      <c r="P33" s="801"/>
      <c r="Q33" s="801"/>
      <c r="R33" s="387">
        <f t="shared" si="7"/>
        <v>1141470</v>
      </c>
      <c r="S33" s="801">
        <v>1141470</v>
      </c>
      <c r="T33" s="801"/>
      <c r="U33" s="1083"/>
    </row>
    <row r="34" spans="1:21" s="83" customFormat="1" ht="13">
      <c r="A34" s="181" t="s">
        <v>1824</v>
      </c>
      <c r="B34" s="233">
        <f t="shared" si="6"/>
        <v>4756125</v>
      </c>
      <c r="C34" s="801">
        <v>4756125</v>
      </c>
      <c r="D34" s="801"/>
      <c r="E34" s="801">
        <f>C34-F34</f>
        <v>2256125</v>
      </c>
      <c r="F34" s="801">
        <v>2500000</v>
      </c>
      <c r="G34" s="801"/>
      <c r="H34" s="801"/>
      <c r="I34" s="801"/>
      <c r="J34" s="801"/>
      <c r="K34" s="801"/>
      <c r="L34" s="801"/>
      <c r="M34" s="801"/>
      <c r="N34" s="801"/>
      <c r="O34" s="801"/>
      <c r="P34" s="801"/>
      <c r="Q34" s="801"/>
      <c r="R34" s="387">
        <f t="shared" si="7"/>
        <v>4756125</v>
      </c>
      <c r="S34" s="801">
        <v>4756125</v>
      </c>
      <c r="T34" s="801"/>
      <c r="U34" s="1083"/>
    </row>
    <row r="35" spans="1:21" s="83" customFormat="1" ht="13">
      <c r="A35" s="181" t="s">
        <v>1825</v>
      </c>
      <c r="B35" s="233">
        <f t="shared" si="6"/>
        <v>325319</v>
      </c>
      <c r="C35" s="801">
        <v>325319</v>
      </c>
      <c r="D35" s="801"/>
      <c r="E35" s="801">
        <v>325319</v>
      </c>
      <c r="F35" s="801"/>
      <c r="G35" s="801"/>
      <c r="H35" s="801"/>
      <c r="I35" s="801"/>
      <c r="J35" s="801"/>
      <c r="K35" s="801"/>
      <c r="L35" s="801"/>
      <c r="M35" s="801"/>
      <c r="N35" s="801"/>
      <c r="O35" s="801"/>
      <c r="P35" s="801"/>
      <c r="Q35" s="801"/>
      <c r="R35" s="387">
        <f t="shared" si="7"/>
        <v>325319</v>
      </c>
      <c r="S35" s="801">
        <v>325319</v>
      </c>
      <c r="T35" s="801"/>
      <c r="U35" s="1083"/>
    </row>
    <row r="36" spans="1:21" s="83" customFormat="1" ht="13">
      <c r="A36" s="181" t="s">
        <v>1826</v>
      </c>
      <c r="B36" s="233">
        <f t="shared" si="6"/>
        <v>0</v>
      </c>
      <c r="C36" s="801"/>
      <c r="D36" s="801"/>
      <c r="E36" s="801"/>
      <c r="F36" s="801"/>
      <c r="G36" s="801"/>
      <c r="H36" s="801"/>
      <c r="I36" s="801"/>
      <c r="J36" s="801"/>
      <c r="K36" s="801"/>
      <c r="L36" s="801"/>
      <c r="M36" s="801"/>
      <c r="N36" s="801"/>
      <c r="O36" s="801"/>
      <c r="P36" s="801"/>
      <c r="Q36" s="801"/>
      <c r="R36" s="387">
        <f t="shared" si="7"/>
        <v>0</v>
      </c>
      <c r="S36" s="801">
        <v>0</v>
      </c>
      <c r="T36" s="801"/>
      <c r="U36" s="1083"/>
    </row>
    <row r="37" spans="1:21" s="83" customFormat="1" ht="13">
      <c r="A37" s="961" t="s">
        <v>1827</v>
      </c>
      <c r="B37" s="233">
        <f t="shared" si="6"/>
        <v>0</v>
      </c>
      <c r="C37" s="801"/>
      <c r="D37" s="801"/>
      <c r="E37" s="801"/>
      <c r="F37" s="801"/>
      <c r="G37" s="801"/>
      <c r="H37" s="801"/>
      <c r="I37" s="801"/>
      <c r="J37" s="801"/>
      <c r="K37" s="801"/>
      <c r="L37" s="801"/>
      <c r="M37" s="801"/>
      <c r="N37" s="801"/>
      <c r="O37" s="801"/>
      <c r="P37" s="801"/>
      <c r="Q37" s="801"/>
      <c r="R37" s="387">
        <f t="shared" si="7"/>
        <v>0</v>
      </c>
      <c r="S37" s="801">
        <v>0</v>
      </c>
      <c r="T37" s="801"/>
      <c r="U37" s="1083"/>
    </row>
    <row r="38" spans="1:21" s="83" customFormat="1" ht="13">
      <c r="A38" s="84" t="s">
        <v>1831</v>
      </c>
      <c r="B38" s="233">
        <f t="shared" si="6"/>
        <v>32357213</v>
      </c>
      <c r="C38" s="233">
        <f>SUM(C29:C37)</f>
        <v>32357213</v>
      </c>
      <c r="D38" s="233">
        <f t="shared" ref="D38:Q38" si="8">SUM(D29:D37)</f>
        <v>0</v>
      </c>
      <c r="E38" s="233">
        <f t="shared" si="8"/>
        <v>16106436</v>
      </c>
      <c r="F38" s="233">
        <f t="shared" si="8"/>
        <v>7197514</v>
      </c>
      <c r="G38" s="233">
        <f t="shared" si="8"/>
        <v>0</v>
      </c>
      <c r="H38" s="233">
        <f t="shared" si="8"/>
        <v>4000000</v>
      </c>
      <c r="I38" s="233">
        <f t="shared" si="8"/>
        <v>4403263</v>
      </c>
      <c r="J38" s="233">
        <f t="shared" si="8"/>
        <v>650000</v>
      </c>
      <c r="K38" s="233">
        <f t="shared" si="8"/>
        <v>0</v>
      </c>
      <c r="L38" s="233">
        <f t="shared" si="8"/>
        <v>0</v>
      </c>
      <c r="M38" s="233">
        <f t="shared" si="8"/>
        <v>0</v>
      </c>
      <c r="N38" s="233">
        <f t="shared" si="8"/>
        <v>0</v>
      </c>
      <c r="O38" s="233">
        <f t="shared" si="8"/>
        <v>0</v>
      </c>
      <c r="P38" s="233">
        <f t="shared" si="8"/>
        <v>0</v>
      </c>
      <c r="Q38" s="233">
        <f t="shared" si="8"/>
        <v>0</v>
      </c>
      <c r="R38" s="233">
        <f>SUM(R29:R37)</f>
        <v>32357213</v>
      </c>
      <c r="S38" s="85">
        <f>SUM(S29:S37)</f>
        <v>32357213</v>
      </c>
      <c r="T38" s="85">
        <f>SUM(T29:T37)</f>
        <v>0</v>
      </c>
      <c r="U38" s="1083"/>
    </row>
    <row r="39" spans="1:21" s="83" customFormat="1" ht="13">
      <c r="A39" s="82" t="s">
        <v>1832</v>
      </c>
      <c r="B39" s="1082"/>
      <c r="C39" s="1082"/>
      <c r="D39" s="1082"/>
      <c r="E39" s="234"/>
      <c r="F39" s="234"/>
      <c r="G39" s="234"/>
      <c r="H39" s="234"/>
      <c r="I39" s="234"/>
      <c r="J39" s="234"/>
      <c r="K39" s="234"/>
      <c r="L39" s="234"/>
      <c r="M39" s="234"/>
      <c r="N39" s="234"/>
      <c r="O39" s="234"/>
      <c r="P39" s="234"/>
      <c r="Q39" s="234"/>
      <c r="R39" s="234"/>
      <c r="S39" s="1082"/>
      <c r="T39" s="1082"/>
      <c r="U39" s="1083"/>
    </row>
    <row r="40" spans="1:21" s="83" customFormat="1" ht="13">
      <c r="A40" s="181" t="s">
        <v>1833</v>
      </c>
      <c r="B40" s="233">
        <f>SUM(C40+D40)</f>
        <v>990000</v>
      </c>
      <c r="C40" s="801">
        <v>990000</v>
      </c>
      <c r="D40" s="801"/>
      <c r="E40" s="801">
        <v>990000</v>
      </c>
      <c r="F40" s="801"/>
      <c r="G40" s="801"/>
      <c r="H40" s="801"/>
      <c r="I40" s="801"/>
      <c r="J40" s="801"/>
      <c r="K40" s="801"/>
      <c r="L40" s="801"/>
      <c r="M40" s="801"/>
      <c r="N40" s="801"/>
      <c r="O40" s="801"/>
      <c r="P40" s="801"/>
      <c r="Q40" s="801"/>
      <c r="R40" s="387">
        <f>SUM(E40:Q40)</f>
        <v>990000</v>
      </c>
      <c r="S40" s="801">
        <v>990000</v>
      </c>
      <c r="T40" s="801"/>
      <c r="U40" s="1083"/>
    </row>
    <row r="41" spans="1:21" s="83" customFormat="1" ht="13">
      <c r="A41" s="181" t="s">
        <v>1834</v>
      </c>
      <c r="B41" s="233">
        <f>SUM(C41+D41)</f>
        <v>0</v>
      </c>
      <c r="C41" s="801"/>
      <c r="D41" s="801"/>
      <c r="E41" s="801"/>
      <c r="F41" s="801"/>
      <c r="G41" s="801"/>
      <c r="H41" s="801"/>
      <c r="I41" s="801"/>
      <c r="J41" s="801"/>
      <c r="K41" s="801"/>
      <c r="L41" s="801"/>
      <c r="M41" s="801"/>
      <c r="N41" s="801"/>
      <c r="O41" s="801"/>
      <c r="P41" s="801"/>
      <c r="Q41" s="801"/>
      <c r="R41" s="387">
        <f>SUM(E41:Q41)</f>
        <v>0</v>
      </c>
      <c r="S41" s="801"/>
      <c r="T41" s="801"/>
      <c r="U41" s="1083"/>
    </row>
    <row r="42" spans="1:21" s="83" customFormat="1" ht="13">
      <c r="A42" s="84" t="s">
        <v>1835</v>
      </c>
      <c r="B42" s="233">
        <f>SUM(C42:D42)</f>
        <v>990000</v>
      </c>
      <c r="C42" s="233">
        <f>SUM(C39:C41)</f>
        <v>990000</v>
      </c>
      <c r="D42" s="233">
        <f>SUM(D39:D41)</f>
        <v>0</v>
      </c>
      <c r="E42" s="233">
        <f t="shared" ref="E42:T42" si="9">SUM(E40:E41)</f>
        <v>990000</v>
      </c>
      <c r="F42" s="233">
        <f t="shared" si="9"/>
        <v>0</v>
      </c>
      <c r="G42" s="233">
        <f t="shared" si="9"/>
        <v>0</v>
      </c>
      <c r="H42" s="233">
        <f t="shared" si="9"/>
        <v>0</v>
      </c>
      <c r="I42" s="233">
        <f t="shared" si="9"/>
        <v>0</v>
      </c>
      <c r="J42" s="233">
        <f t="shared" si="9"/>
        <v>0</v>
      </c>
      <c r="K42" s="233">
        <f t="shared" si="9"/>
        <v>0</v>
      </c>
      <c r="L42" s="233">
        <f t="shared" si="9"/>
        <v>0</v>
      </c>
      <c r="M42" s="233">
        <f t="shared" si="9"/>
        <v>0</v>
      </c>
      <c r="N42" s="233">
        <f t="shared" si="9"/>
        <v>0</v>
      </c>
      <c r="O42" s="233">
        <f t="shared" si="9"/>
        <v>0</v>
      </c>
      <c r="P42" s="233">
        <f t="shared" si="9"/>
        <v>0</v>
      </c>
      <c r="Q42" s="233">
        <f t="shared" si="9"/>
        <v>0</v>
      </c>
      <c r="R42" s="233">
        <f>SUM(R40:R41)</f>
        <v>990000</v>
      </c>
      <c r="S42" s="85">
        <f t="shared" si="9"/>
        <v>990000</v>
      </c>
      <c r="T42" s="85">
        <f t="shared" si="9"/>
        <v>0</v>
      </c>
      <c r="U42" s="1083"/>
    </row>
    <row r="43" spans="1:21" s="83" customFormat="1" ht="13">
      <c r="A43" s="84" t="s">
        <v>1836</v>
      </c>
      <c r="B43" s="233">
        <f>SUM(C43:D43)</f>
        <v>650000</v>
      </c>
      <c r="C43" s="801">
        <v>650000</v>
      </c>
      <c r="D43" s="801"/>
      <c r="E43" s="801">
        <v>650000</v>
      </c>
      <c r="F43" s="801"/>
      <c r="G43" s="801"/>
      <c r="H43" s="801"/>
      <c r="I43" s="801"/>
      <c r="J43" s="801"/>
      <c r="K43" s="801"/>
      <c r="L43" s="801"/>
      <c r="M43" s="801"/>
      <c r="N43" s="801"/>
      <c r="O43" s="801"/>
      <c r="P43" s="801"/>
      <c r="Q43" s="801"/>
      <c r="R43" s="387">
        <f>SUM(E43:Q43)</f>
        <v>650000</v>
      </c>
      <c r="S43" s="801">
        <f>R43</f>
        <v>650000</v>
      </c>
      <c r="T43" s="801"/>
      <c r="U43" s="1083"/>
    </row>
    <row r="44" spans="1:21" s="83" customFormat="1" ht="13">
      <c r="A44" s="82" t="s">
        <v>1837</v>
      </c>
      <c r="B44" s="1082"/>
      <c r="C44" s="1082"/>
      <c r="D44" s="1082"/>
      <c r="E44" s="234"/>
      <c r="F44" s="234"/>
      <c r="G44" s="234"/>
      <c r="H44" s="234"/>
      <c r="I44" s="234"/>
      <c r="J44" s="234"/>
      <c r="K44" s="234"/>
      <c r="L44" s="234"/>
      <c r="M44" s="234"/>
      <c r="N44" s="234"/>
      <c r="O44" s="234"/>
      <c r="P44" s="234"/>
      <c r="Q44" s="234"/>
      <c r="R44" s="234"/>
      <c r="S44" s="1082"/>
      <c r="T44" s="1082"/>
      <c r="U44" s="1083"/>
    </row>
    <row r="45" spans="1:21" s="83" customFormat="1" ht="13">
      <c r="A45" s="181" t="s">
        <v>1838</v>
      </c>
      <c r="B45" s="233">
        <f t="shared" ref="B45:B53" si="10">SUM(C45+D45)</f>
        <v>2595406</v>
      </c>
      <c r="C45" s="801">
        <v>2595406</v>
      </c>
      <c r="D45" s="801"/>
      <c r="E45" s="801">
        <v>2595406</v>
      </c>
      <c r="F45" s="801"/>
      <c r="G45" s="801"/>
      <c r="H45" s="801"/>
      <c r="I45" s="801"/>
      <c r="J45" s="801"/>
      <c r="K45" s="801"/>
      <c r="L45" s="801"/>
      <c r="M45" s="801"/>
      <c r="N45" s="801"/>
      <c r="O45" s="801"/>
      <c r="P45" s="801"/>
      <c r="Q45" s="801"/>
      <c r="R45" s="387">
        <f t="shared" ref="R45:R53" si="11">SUM(E45:Q45)</f>
        <v>2595406</v>
      </c>
      <c r="S45" s="801">
        <v>1524608.4</v>
      </c>
      <c r="T45" s="801"/>
      <c r="U45" s="1083"/>
    </row>
    <row r="46" spans="1:21" s="83" customFormat="1" ht="13">
      <c r="A46" s="181" t="s">
        <v>1839</v>
      </c>
      <c r="B46" s="233">
        <f t="shared" si="10"/>
        <v>241139</v>
      </c>
      <c r="C46" s="801">
        <v>241139</v>
      </c>
      <c r="D46" s="801"/>
      <c r="E46" s="801">
        <v>241139</v>
      </c>
      <c r="F46" s="801"/>
      <c r="G46" s="801"/>
      <c r="H46" s="801"/>
      <c r="I46" s="801"/>
      <c r="J46" s="801"/>
      <c r="K46" s="801"/>
      <c r="L46" s="801"/>
      <c r="M46" s="801"/>
      <c r="N46" s="801"/>
      <c r="O46" s="801"/>
      <c r="P46" s="801"/>
      <c r="Q46" s="801"/>
      <c r="R46" s="387">
        <f t="shared" si="11"/>
        <v>241139</v>
      </c>
      <c r="S46" s="801">
        <v>180854.39999999999</v>
      </c>
      <c r="T46" s="801"/>
      <c r="U46" s="1083"/>
    </row>
    <row r="47" spans="1:21" s="83" customFormat="1">
      <c r="A47" s="1085" t="s">
        <v>1840</v>
      </c>
      <c r="B47" s="233">
        <f t="shared" si="10"/>
        <v>15000</v>
      </c>
      <c r="C47" s="801">
        <v>15000</v>
      </c>
      <c r="D47" s="801"/>
      <c r="E47" s="801">
        <v>15000</v>
      </c>
      <c r="F47" s="801"/>
      <c r="G47" s="801"/>
      <c r="H47" s="801"/>
      <c r="I47" s="801"/>
      <c r="J47" s="801"/>
      <c r="K47" s="801"/>
      <c r="L47" s="801"/>
      <c r="M47" s="801"/>
      <c r="N47" s="801"/>
      <c r="O47" s="801"/>
      <c r="P47" s="801"/>
      <c r="Q47" s="801"/>
      <c r="R47" s="387">
        <f t="shared" si="11"/>
        <v>15000</v>
      </c>
      <c r="S47" s="801">
        <v>11250</v>
      </c>
      <c r="T47" s="801"/>
      <c r="U47" s="1083"/>
    </row>
    <row r="48" spans="1:21" s="83" customFormat="1" ht="13">
      <c r="A48" s="181" t="s">
        <v>1841</v>
      </c>
      <c r="B48" s="233">
        <f t="shared" si="10"/>
        <v>292787</v>
      </c>
      <c r="C48" s="801">
        <v>292787</v>
      </c>
      <c r="D48" s="801"/>
      <c r="E48" s="801">
        <v>292787</v>
      </c>
      <c r="F48" s="801"/>
      <c r="G48" s="801"/>
      <c r="H48" s="801"/>
      <c r="I48" s="801"/>
      <c r="J48" s="801"/>
      <c r="K48" s="801"/>
      <c r="L48" s="801"/>
      <c r="M48" s="801"/>
      <c r="N48" s="801"/>
      <c r="O48" s="801"/>
      <c r="P48" s="801"/>
      <c r="Q48" s="801"/>
      <c r="R48" s="387">
        <f t="shared" si="11"/>
        <v>292787</v>
      </c>
      <c r="S48" s="801">
        <v>292787</v>
      </c>
      <c r="T48" s="801"/>
      <c r="U48" s="1083"/>
    </row>
    <row r="49" spans="1:21" s="83" customFormat="1" ht="13">
      <c r="A49" s="181" t="s">
        <v>1842</v>
      </c>
      <c r="B49" s="233">
        <f t="shared" si="10"/>
        <v>60285</v>
      </c>
      <c r="C49" s="801">
        <v>60285</v>
      </c>
      <c r="D49" s="801"/>
      <c r="E49" s="801">
        <v>60285</v>
      </c>
      <c r="F49" s="801"/>
      <c r="G49" s="801"/>
      <c r="H49" s="801"/>
      <c r="I49" s="801"/>
      <c r="J49" s="801"/>
      <c r="K49" s="801"/>
      <c r="L49" s="801"/>
      <c r="M49" s="801"/>
      <c r="N49" s="801"/>
      <c r="O49" s="801"/>
      <c r="P49" s="801"/>
      <c r="Q49" s="801"/>
      <c r="R49" s="387">
        <f t="shared" si="11"/>
        <v>60285</v>
      </c>
      <c r="S49" s="801">
        <v>60285</v>
      </c>
      <c r="T49" s="801"/>
      <c r="U49" s="1083"/>
    </row>
    <row r="50" spans="1:21" s="83" customFormat="1" ht="13">
      <c r="A50" s="181" t="s">
        <v>1843</v>
      </c>
      <c r="B50" s="233">
        <f t="shared" si="10"/>
        <v>100000</v>
      </c>
      <c r="C50" s="801">
        <v>100000</v>
      </c>
      <c r="D50" s="801"/>
      <c r="E50" s="801">
        <v>100000</v>
      </c>
      <c r="F50" s="801"/>
      <c r="G50" s="801"/>
      <c r="H50" s="801"/>
      <c r="I50" s="801"/>
      <c r="J50" s="801"/>
      <c r="K50" s="801"/>
      <c r="L50" s="801"/>
      <c r="M50" s="801"/>
      <c r="N50" s="801"/>
      <c r="O50" s="801"/>
      <c r="P50" s="801"/>
      <c r="Q50" s="801"/>
      <c r="R50" s="387">
        <f t="shared" si="11"/>
        <v>100000</v>
      </c>
      <c r="S50" s="801">
        <v>75000</v>
      </c>
      <c r="T50" s="801"/>
      <c r="U50" s="1083"/>
    </row>
    <row r="51" spans="1:21" s="83" customFormat="1" ht="13">
      <c r="A51" s="181" t="s">
        <v>1844</v>
      </c>
      <c r="B51" s="233">
        <f t="shared" si="10"/>
        <v>105000</v>
      </c>
      <c r="C51" s="801">
        <v>105000</v>
      </c>
      <c r="D51" s="801"/>
      <c r="E51" s="801">
        <v>105000</v>
      </c>
      <c r="F51" s="801"/>
      <c r="G51" s="801"/>
      <c r="H51" s="801"/>
      <c r="I51" s="801"/>
      <c r="J51" s="801"/>
      <c r="K51" s="801"/>
      <c r="L51" s="801"/>
      <c r="M51" s="801"/>
      <c r="N51" s="801"/>
      <c r="O51" s="801"/>
      <c r="P51" s="801"/>
      <c r="Q51" s="801"/>
      <c r="R51" s="387">
        <f t="shared" si="11"/>
        <v>105000</v>
      </c>
      <c r="S51" s="801">
        <v>105000</v>
      </c>
      <c r="T51" s="801"/>
      <c r="U51" s="1083"/>
    </row>
    <row r="52" spans="1:21" s="83" customFormat="1" ht="13">
      <c r="A52" s="181" t="s">
        <v>1845</v>
      </c>
      <c r="B52" s="233">
        <f t="shared" si="10"/>
        <v>497000</v>
      </c>
      <c r="C52" s="801">
        <v>497000</v>
      </c>
      <c r="D52" s="801"/>
      <c r="E52" s="801">
        <v>497000</v>
      </c>
      <c r="F52" s="801"/>
      <c r="G52" s="801"/>
      <c r="H52" s="801"/>
      <c r="I52" s="801"/>
      <c r="J52" s="801"/>
      <c r="K52" s="801"/>
      <c r="L52" s="801"/>
      <c r="M52" s="801"/>
      <c r="N52" s="801"/>
      <c r="O52" s="801"/>
      <c r="P52" s="801"/>
      <c r="Q52" s="801"/>
      <c r="R52" s="387">
        <f t="shared" si="11"/>
        <v>497000</v>
      </c>
      <c r="S52" s="801">
        <v>497000</v>
      </c>
      <c r="T52" s="801"/>
      <c r="U52" s="1083"/>
    </row>
    <row r="53" spans="1:21" s="83" customFormat="1" ht="13">
      <c r="A53" s="961" t="s">
        <v>1846</v>
      </c>
      <c r="B53" s="233">
        <f t="shared" si="10"/>
        <v>25000</v>
      </c>
      <c r="C53" s="801">
        <v>25000</v>
      </c>
      <c r="D53" s="801"/>
      <c r="E53" s="801">
        <v>25000</v>
      </c>
      <c r="F53" s="801"/>
      <c r="G53" s="801"/>
      <c r="H53" s="801"/>
      <c r="I53" s="801"/>
      <c r="J53" s="801"/>
      <c r="K53" s="801"/>
      <c r="L53" s="801"/>
      <c r="M53" s="801"/>
      <c r="N53" s="801"/>
      <c r="O53" s="801"/>
      <c r="P53" s="801"/>
      <c r="Q53" s="801"/>
      <c r="R53" s="387">
        <f t="shared" si="11"/>
        <v>25000</v>
      </c>
      <c r="S53" s="801">
        <v>25000</v>
      </c>
      <c r="T53" s="801"/>
      <c r="U53" s="1083"/>
    </row>
    <row r="54" spans="1:21" s="87" customFormat="1" ht="13">
      <c r="A54" s="84" t="s">
        <v>1847</v>
      </c>
      <c r="B54" s="85">
        <f>SUM(C54:D54)</f>
        <v>3931617</v>
      </c>
      <c r="C54" s="85">
        <f t="shared" ref="C54:T54" si="12">SUM(C45:C53)</f>
        <v>3931617</v>
      </c>
      <c r="D54" s="85">
        <f t="shared" si="12"/>
        <v>0</v>
      </c>
      <c r="E54" s="85">
        <f t="shared" si="12"/>
        <v>3931617</v>
      </c>
      <c r="F54" s="85">
        <f t="shared" si="12"/>
        <v>0</v>
      </c>
      <c r="G54" s="85">
        <f t="shared" si="12"/>
        <v>0</v>
      </c>
      <c r="H54" s="85">
        <f t="shared" si="12"/>
        <v>0</v>
      </c>
      <c r="I54" s="85">
        <f t="shared" si="12"/>
        <v>0</v>
      </c>
      <c r="J54" s="85">
        <f t="shared" si="12"/>
        <v>0</v>
      </c>
      <c r="K54" s="85">
        <f t="shared" si="12"/>
        <v>0</v>
      </c>
      <c r="L54" s="85">
        <f t="shared" si="12"/>
        <v>0</v>
      </c>
      <c r="M54" s="85">
        <f t="shared" si="12"/>
        <v>0</v>
      </c>
      <c r="N54" s="85">
        <f t="shared" si="12"/>
        <v>0</v>
      </c>
      <c r="O54" s="85">
        <f t="shared" si="12"/>
        <v>0</v>
      </c>
      <c r="P54" s="85">
        <f t="shared" si="12"/>
        <v>0</v>
      </c>
      <c r="Q54" s="85">
        <f t="shared" si="12"/>
        <v>0</v>
      </c>
      <c r="R54" s="233">
        <f t="shared" si="12"/>
        <v>3931617</v>
      </c>
      <c r="S54" s="85">
        <f t="shared" si="12"/>
        <v>2771784.8</v>
      </c>
      <c r="T54" s="85">
        <f t="shared" si="12"/>
        <v>0</v>
      </c>
      <c r="U54" s="86"/>
    </row>
    <row r="55" spans="1:21" s="83" customFormat="1" ht="13">
      <c r="A55" s="82" t="s">
        <v>1413</v>
      </c>
      <c r="B55" s="1082"/>
      <c r="C55" s="1082"/>
      <c r="D55" s="1082"/>
      <c r="E55" s="234"/>
      <c r="F55" s="234"/>
      <c r="G55" s="234"/>
      <c r="H55" s="234"/>
      <c r="I55" s="234"/>
      <c r="J55" s="234"/>
      <c r="K55" s="234"/>
      <c r="L55" s="234"/>
      <c r="M55" s="234"/>
      <c r="N55" s="234"/>
      <c r="O55" s="234"/>
      <c r="P55" s="234"/>
      <c r="Q55" s="234"/>
      <c r="R55" s="234"/>
      <c r="S55" s="1082"/>
      <c r="T55" s="1082"/>
      <c r="U55" s="1083"/>
    </row>
    <row r="56" spans="1:21" s="83" customFormat="1" ht="13">
      <c r="A56" s="181" t="s">
        <v>1848</v>
      </c>
      <c r="B56" s="233">
        <f t="shared" ref="B56:B61" si="13">SUM(C56+D56)</f>
        <v>0</v>
      </c>
      <c r="C56" s="801"/>
      <c r="D56" s="801"/>
      <c r="E56" s="801"/>
      <c r="F56" s="801"/>
      <c r="G56" s="801"/>
      <c r="H56" s="801"/>
      <c r="I56" s="801"/>
      <c r="J56" s="801"/>
      <c r="K56" s="801"/>
      <c r="L56" s="801"/>
      <c r="M56" s="801"/>
      <c r="N56" s="801"/>
      <c r="O56" s="801"/>
      <c r="P56" s="801"/>
      <c r="Q56" s="801"/>
      <c r="R56" s="387">
        <f t="shared" ref="R56:R61" si="14">SUM(E56:Q56)</f>
        <v>0</v>
      </c>
      <c r="S56" s="1084"/>
      <c r="T56" s="1084"/>
      <c r="U56" s="1083"/>
    </row>
    <row r="57" spans="1:21" s="112" customFormat="1">
      <c r="A57" s="1085" t="s">
        <v>1840</v>
      </c>
      <c r="B57" s="1086">
        <f t="shared" si="13"/>
        <v>0</v>
      </c>
      <c r="C57" s="1087"/>
      <c r="D57" s="1087"/>
      <c r="E57" s="1087"/>
      <c r="F57" s="1087"/>
      <c r="G57" s="1087"/>
      <c r="H57" s="1087"/>
      <c r="I57" s="1087"/>
      <c r="J57" s="1087"/>
      <c r="K57" s="1087"/>
      <c r="L57" s="1087"/>
      <c r="M57" s="1087"/>
      <c r="N57" s="1087"/>
      <c r="O57" s="1087"/>
      <c r="P57" s="1087"/>
      <c r="Q57" s="1087"/>
      <c r="R57" s="387">
        <f t="shared" si="14"/>
        <v>0</v>
      </c>
      <c r="S57" s="1088"/>
      <c r="T57" s="1088"/>
      <c r="U57" s="1089"/>
    </row>
    <row r="58" spans="1:21" s="83" customFormat="1" ht="13">
      <c r="A58" s="181" t="s">
        <v>1843</v>
      </c>
      <c r="B58" s="233">
        <f t="shared" si="13"/>
        <v>10000</v>
      </c>
      <c r="C58" s="801">
        <v>10000</v>
      </c>
      <c r="D58" s="801"/>
      <c r="E58" s="801">
        <v>10000</v>
      </c>
      <c r="F58" s="801"/>
      <c r="G58" s="801"/>
      <c r="H58" s="801"/>
      <c r="I58" s="801"/>
      <c r="J58" s="801"/>
      <c r="K58" s="801"/>
      <c r="L58" s="801"/>
      <c r="M58" s="801"/>
      <c r="N58" s="801"/>
      <c r="O58" s="801"/>
      <c r="P58" s="801"/>
      <c r="Q58" s="801"/>
      <c r="R58" s="387">
        <f t="shared" si="14"/>
        <v>10000</v>
      </c>
      <c r="S58" s="1084"/>
      <c r="T58" s="1084"/>
      <c r="U58" s="1083"/>
    </row>
    <row r="59" spans="1:21" s="83" customFormat="1" ht="13">
      <c r="A59" s="181" t="s">
        <v>1844</v>
      </c>
      <c r="B59" s="233">
        <f t="shared" si="13"/>
        <v>0</v>
      </c>
      <c r="C59" s="801"/>
      <c r="D59" s="801"/>
      <c r="E59" s="801"/>
      <c r="F59" s="801"/>
      <c r="G59" s="801"/>
      <c r="H59" s="801"/>
      <c r="I59" s="801"/>
      <c r="J59" s="801"/>
      <c r="K59" s="801"/>
      <c r="L59" s="801"/>
      <c r="M59" s="801"/>
      <c r="N59" s="801"/>
      <c r="O59" s="801"/>
      <c r="P59" s="801"/>
      <c r="Q59" s="801"/>
      <c r="R59" s="387">
        <f t="shared" si="14"/>
        <v>0</v>
      </c>
      <c r="S59" s="1084"/>
      <c r="T59" s="1084"/>
      <c r="U59" s="1083"/>
    </row>
    <row r="60" spans="1:21" s="83" customFormat="1" ht="13">
      <c r="A60" s="181" t="s">
        <v>1845</v>
      </c>
      <c r="B60" s="233">
        <f t="shared" si="13"/>
        <v>0</v>
      </c>
      <c r="C60" s="801"/>
      <c r="D60" s="801"/>
      <c r="E60" s="801"/>
      <c r="F60" s="801"/>
      <c r="G60" s="801"/>
      <c r="H60" s="801"/>
      <c r="I60" s="801"/>
      <c r="J60" s="801"/>
      <c r="K60" s="801"/>
      <c r="L60" s="801"/>
      <c r="M60" s="801"/>
      <c r="N60" s="801"/>
      <c r="O60" s="801"/>
      <c r="P60" s="801"/>
      <c r="Q60" s="801"/>
      <c r="R60" s="387">
        <f t="shared" si="14"/>
        <v>0</v>
      </c>
      <c r="S60" s="1084"/>
      <c r="T60" s="1084"/>
      <c r="U60" s="1083"/>
    </row>
    <row r="61" spans="1:21" s="83" customFormat="1" ht="13">
      <c r="A61" s="961" t="s">
        <v>1849</v>
      </c>
      <c r="B61" s="233">
        <f t="shared" si="13"/>
        <v>15000</v>
      </c>
      <c r="C61" s="801">
        <v>15000</v>
      </c>
      <c r="D61" s="801"/>
      <c r="E61" s="801">
        <v>15000</v>
      </c>
      <c r="F61" s="801"/>
      <c r="G61" s="801"/>
      <c r="H61" s="801"/>
      <c r="I61" s="801"/>
      <c r="J61" s="801"/>
      <c r="K61" s="801"/>
      <c r="L61" s="801"/>
      <c r="M61" s="801"/>
      <c r="N61" s="801"/>
      <c r="O61" s="801"/>
      <c r="P61" s="801"/>
      <c r="Q61" s="801"/>
      <c r="R61" s="387">
        <f t="shared" si="14"/>
        <v>15000</v>
      </c>
      <c r="S61" s="1084"/>
      <c r="T61" s="1084"/>
      <c r="U61" s="1083"/>
    </row>
    <row r="62" spans="1:21" s="83" customFormat="1" ht="13.75" customHeight="1">
      <c r="A62" s="84" t="s">
        <v>1850</v>
      </c>
      <c r="B62" s="233">
        <f>SUM(C62:D62)</f>
        <v>25000</v>
      </c>
      <c r="C62" s="233">
        <f t="shared" ref="C62:R62" si="15">SUM(C56:C61)</f>
        <v>25000</v>
      </c>
      <c r="D62" s="233">
        <f t="shared" si="15"/>
        <v>0</v>
      </c>
      <c r="E62" s="233">
        <f t="shared" si="15"/>
        <v>25000</v>
      </c>
      <c r="F62" s="233">
        <f t="shared" si="15"/>
        <v>0</v>
      </c>
      <c r="G62" s="233">
        <f t="shared" si="15"/>
        <v>0</v>
      </c>
      <c r="H62" s="233">
        <f t="shared" si="15"/>
        <v>0</v>
      </c>
      <c r="I62" s="233">
        <f t="shared" si="15"/>
        <v>0</v>
      </c>
      <c r="J62" s="233">
        <f t="shared" si="15"/>
        <v>0</v>
      </c>
      <c r="K62" s="233">
        <f t="shared" si="15"/>
        <v>0</v>
      </c>
      <c r="L62" s="233">
        <f t="shared" si="15"/>
        <v>0</v>
      </c>
      <c r="M62" s="233">
        <f t="shared" si="15"/>
        <v>0</v>
      </c>
      <c r="N62" s="233">
        <f t="shared" si="15"/>
        <v>0</v>
      </c>
      <c r="O62" s="233">
        <f t="shared" si="15"/>
        <v>0</v>
      </c>
      <c r="P62" s="233">
        <f t="shared" si="15"/>
        <v>0</v>
      </c>
      <c r="Q62" s="233">
        <f t="shared" si="15"/>
        <v>0</v>
      </c>
      <c r="R62" s="233">
        <f t="shared" si="15"/>
        <v>25000</v>
      </c>
      <c r="S62" s="1084"/>
      <c r="T62" s="1084"/>
      <c r="U62" s="1083"/>
    </row>
    <row r="63" spans="1:21" s="83" customFormat="1" ht="13">
      <c r="A63" s="88" t="s">
        <v>1851</v>
      </c>
      <c r="B63" s="233">
        <f t="shared" ref="B63:R63" si="16">SUM(B8+B11+B13+B14+B15+B26+B27+B38+B42+B43+B54+B62)</f>
        <v>43103830</v>
      </c>
      <c r="C63" s="233">
        <f t="shared" si="16"/>
        <v>43103830</v>
      </c>
      <c r="D63" s="233">
        <f t="shared" si="16"/>
        <v>0</v>
      </c>
      <c r="E63" s="233">
        <f t="shared" si="16"/>
        <v>26853053</v>
      </c>
      <c r="F63" s="233">
        <f t="shared" si="16"/>
        <v>7197514</v>
      </c>
      <c r="G63" s="233">
        <f t="shared" si="16"/>
        <v>0</v>
      </c>
      <c r="H63" s="233">
        <f t="shared" si="16"/>
        <v>4000000</v>
      </c>
      <c r="I63" s="233">
        <f t="shared" si="16"/>
        <v>4403263</v>
      </c>
      <c r="J63" s="233">
        <f t="shared" si="16"/>
        <v>650000</v>
      </c>
      <c r="K63" s="233">
        <f t="shared" si="16"/>
        <v>0</v>
      </c>
      <c r="L63" s="233">
        <f t="shared" si="16"/>
        <v>0</v>
      </c>
      <c r="M63" s="233">
        <f t="shared" si="16"/>
        <v>0</v>
      </c>
      <c r="N63" s="233">
        <f t="shared" si="16"/>
        <v>0</v>
      </c>
      <c r="O63" s="233">
        <f t="shared" si="16"/>
        <v>0</v>
      </c>
      <c r="P63" s="233">
        <f t="shared" si="16"/>
        <v>0</v>
      </c>
      <c r="Q63" s="233">
        <f t="shared" si="16"/>
        <v>0</v>
      </c>
      <c r="R63" s="233">
        <f t="shared" si="16"/>
        <v>43103830</v>
      </c>
      <c r="S63" s="233">
        <f>SUM(S10+S13+S14+S15+S26+S27+S38+S42+S43+S54)</f>
        <v>37268997.799999997</v>
      </c>
      <c r="T63" s="233">
        <f>SUM(T11+T13+T14+T15+T26+T27+T38+T42+T43+T54)</f>
        <v>0</v>
      </c>
      <c r="U63" s="1083"/>
    </row>
    <row r="64" spans="1:21" s="83" customFormat="1" ht="26">
      <c r="A64" s="82" t="s">
        <v>1852</v>
      </c>
      <c r="B64" s="1082"/>
      <c r="C64" s="1082"/>
      <c r="D64" s="1082"/>
      <c r="E64" s="234"/>
      <c r="F64" s="234"/>
      <c r="G64" s="234"/>
      <c r="H64" s="234"/>
      <c r="I64" s="234"/>
      <c r="J64" s="234"/>
      <c r="K64" s="234"/>
      <c r="L64" s="234"/>
      <c r="M64" s="234"/>
      <c r="N64" s="234"/>
      <c r="O64" s="234"/>
      <c r="P64" s="234"/>
      <c r="Q64" s="234"/>
      <c r="R64" s="234"/>
      <c r="S64" s="1082"/>
      <c r="T64" s="1082"/>
      <c r="U64" s="1083"/>
    </row>
    <row r="65" spans="1:21" s="83" customFormat="1" ht="13">
      <c r="A65" s="181" t="s">
        <v>1853</v>
      </c>
      <c r="B65" s="233">
        <f>SUM(C65+D65)</f>
        <v>100000</v>
      </c>
      <c r="C65" s="801">
        <v>100000</v>
      </c>
      <c r="D65" s="801"/>
      <c r="E65" s="801">
        <v>100000</v>
      </c>
      <c r="F65" s="801"/>
      <c r="G65" s="801"/>
      <c r="H65" s="801"/>
      <c r="I65" s="801"/>
      <c r="J65" s="801"/>
      <c r="K65" s="801"/>
      <c r="L65" s="801"/>
      <c r="M65" s="801"/>
      <c r="N65" s="801"/>
      <c r="O65" s="801"/>
      <c r="P65" s="801"/>
      <c r="Q65" s="801"/>
      <c r="R65" s="387">
        <f>SUM(E65:Q65)</f>
        <v>100000</v>
      </c>
      <c r="S65" s="801">
        <v>100000</v>
      </c>
      <c r="T65" s="801"/>
      <c r="U65" s="1083"/>
    </row>
    <row r="66" spans="1:21" s="83" customFormat="1" ht="24" customHeight="1">
      <c r="A66" s="181" t="s">
        <v>1854</v>
      </c>
      <c r="B66" s="233">
        <f>SUM(C66+D66)</f>
        <v>0</v>
      </c>
      <c r="C66" s="801"/>
      <c r="D66" s="801"/>
      <c r="E66" s="801"/>
      <c r="F66" s="801"/>
      <c r="G66" s="801"/>
      <c r="H66" s="801"/>
      <c r="I66" s="801"/>
      <c r="J66" s="801"/>
      <c r="K66" s="801"/>
      <c r="L66" s="801"/>
      <c r="M66" s="801"/>
      <c r="N66" s="801"/>
      <c r="O66" s="801"/>
      <c r="P66" s="801"/>
      <c r="Q66" s="801"/>
      <c r="R66" s="387">
        <f>SUM(E66:Q66)</f>
        <v>0</v>
      </c>
      <c r="S66" s="801"/>
      <c r="T66" s="801"/>
      <c r="U66" s="1083"/>
    </row>
    <row r="67" spans="1:21" s="83" customFormat="1" ht="24" customHeight="1">
      <c r="A67" s="181" t="s">
        <v>1855</v>
      </c>
      <c r="B67" s="233">
        <f>SUM(C67+D67)</f>
        <v>0</v>
      </c>
      <c r="C67" s="801"/>
      <c r="D67" s="801"/>
      <c r="E67" s="801"/>
      <c r="F67" s="801"/>
      <c r="G67" s="801"/>
      <c r="H67" s="801"/>
      <c r="I67" s="801"/>
      <c r="J67" s="801"/>
      <c r="K67" s="801"/>
      <c r="L67" s="801"/>
      <c r="M67" s="801"/>
      <c r="N67" s="801"/>
      <c r="O67" s="801"/>
      <c r="P67" s="801"/>
      <c r="Q67" s="801"/>
      <c r="R67" s="387">
        <f>SUM(E67:Q67)</f>
        <v>0</v>
      </c>
      <c r="S67" s="801"/>
      <c r="T67" s="801"/>
      <c r="U67" s="1083"/>
    </row>
    <row r="68" spans="1:21" s="83" customFormat="1" ht="12" customHeight="1">
      <c r="A68" s="181" t="s">
        <v>1856</v>
      </c>
      <c r="B68" s="233">
        <f>SUM(C68+D68)</f>
        <v>0</v>
      </c>
      <c r="C68" s="801"/>
      <c r="D68" s="801"/>
      <c r="E68" s="801"/>
      <c r="F68" s="801"/>
      <c r="G68" s="801"/>
      <c r="H68" s="801"/>
      <c r="I68" s="801"/>
      <c r="J68" s="801"/>
      <c r="K68" s="801"/>
      <c r="L68" s="801"/>
      <c r="M68" s="801"/>
      <c r="N68" s="801"/>
      <c r="O68" s="801"/>
      <c r="P68" s="801"/>
      <c r="Q68" s="801"/>
      <c r="R68" s="387">
        <f>SUM(E68:Q68)</f>
        <v>0</v>
      </c>
      <c r="S68" s="801"/>
      <c r="T68" s="801"/>
      <c r="U68" s="1083"/>
    </row>
    <row r="69" spans="1:21" s="83" customFormat="1" ht="26">
      <c r="A69" s="961" t="s">
        <v>1857</v>
      </c>
      <c r="B69" s="233">
        <f>SUM(C69+D69)</f>
        <v>225000</v>
      </c>
      <c r="C69" s="801">
        <v>225000</v>
      </c>
      <c r="D69" s="801"/>
      <c r="E69" s="801">
        <v>225000</v>
      </c>
      <c r="F69" s="801"/>
      <c r="G69" s="801"/>
      <c r="H69" s="801"/>
      <c r="I69" s="801"/>
      <c r="J69" s="801"/>
      <c r="K69" s="801"/>
      <c r="L69" s="801"/>
      <c r="M69" s="801"/>
      <c r="N69" s="801"/>
      <c r="O69" s="801"/>
      <c r="P69" s="801"/>
      <c r="Q69" s="801"/>
      <c r="R69" s="387">
        <f>SUM(E69:Q69)</f>
        <v>225000</v>
      </c>
      <c r="S69" s="801">
        <v>75000</v>
      </c>
      <c r="T69" s="801"/>
      <c r="U69" s="1083"/>
    </row>
    <row r="70" spans="1:21" s="83" customFormat="1" ht="13">
      <c r="A70" s="84" t="s">
        <v>1858</v>
      </c>
      <c r="B70" s="233">
        <f>SUM(C70:D70)</f>
        <v>325000</v>
      </c>
      <c r="C70" s="233">
        <f>SUM(C65:C69)</f>
        <v>325000</v>
      </c>
      <c r="D70" s="233">
        <f>SUM(D65:D69)</f>
        <v>0</v>
      </c>
      <c r="E70" s="233">
        <f t="shared" ref="E70:T70" si="17">SUM(E65:E69)</f>
        <v>325000</v>
      </c>
      <c r="F70" s="233">
        <f t="shared" si="17"/>
        <v>0</v>
      </c>
      <c r="G70" s="233">
        <f t="shared" si="17"/>
        <v>0</v>
      </c>
      <c r="H70" s="233">
        <f t="shared" si="17"/>
        <v>0</v>
      </c>
      <c r="I70" s="233">
        <f t="shared" si="17"/>
        <v>0</v>
      </c>
      <c r="J70" s="233">
        <f t="shared" si="17"/>
        <v>0</v>
      </c>
      <c r="K70" s="233">
        <f t="shared" si="17"/>
        <v>0</v>
      </c>
      <c r="L70" s="233">
        <f t="shared" si="17"/>
        <v>0</v>
      </c>
      <c r="M70" s="233">
        <f t="shared" si="17"/>
        <v>0</v>
      </c>
      <c r="N70" s="233">
        <f t="shared" si="17"/>
        <v>0</v>
      </c>
      <c r="O70" s="233">
        <f t="shared" si="17"/>
        <v>0</v>
      </c>
      <c r="P70" s="233">
        <f t="shared" si="17"/>
        <v>0</v>
      </c>
      <c r="Q70" s="233">
        <f t="shared" si="17"/>
        <v>0</v>
      </c>
      <c r="R70" s="233">
        <f t="shared" si="17"/>
        <v>325000</v>
      </c>
      <c r="S70" s="85">
        <f t="shared" si="17"/>
        <v>175000</v>
      </c>
      <c r="T70" s="85">
        <f t="shared" si="17"/>
        <v>0</v>
      </c>
      <c r="U70" s="1083"/>
    </row>
    <row r="71" spans="1:21" s="83" customFormat="1" ht="13">
      <c r="A71" s="82" t="s">
        <v>1859</v>
      </c>
      <c r="B71" s="234"/>
      <c r="C71" s="234"/>
      <c r="D71" s="234"/>
      <c r="E71" s="234"/>
      <c r="F71" s="234"/>
      <c r="G71" s="234"/>
      <c r="H71" s="234"/>
      <c r="I71" s="234"/>
      <c r="J71" s="234"/>
      <c r="K71" s="234"/>
      <c r="L71" s="234"/>
      <c r="M71" s="234"/>
      <c r="N71" s="234"/>
      <c r="O71" s="234"/>
      <c r="P71" s="234"/>
      <c r="Q71" s="234"/>
      <c r="R71" s="234"/>
      <c r="S71" s="234"/>
      <c r="T71" s="234"/>
      <c r="U71" s="1083"/>
    </row>
    <row r="72" spans="1:21" s="83" customFormat="1" ht="13">
      <c r="A72" s="181" t="s">
        <v>1860</v>
      </c>
      <c r="B72" s="233">
        <f>SUM(C72+D72)</f>
        <v>0</v>
      </c>
      <c r="C72" s="801"/>
      <c r="D72" s="801"/>
      <c r="E72" s="801"/>
      <c r="F72" s="801"/>
      <c r="G72" s="801"/>
      <c r="H72" s="801"/>
      <c r="I72" s="801"/>
      <c r="J72" s="801"/>
      <c r="K72" s="801"/>
      <c r="L72" s="801"/>
      <c r="M72" s="801"/>
      <c r="N72" s="801"/>
      <c r="O72" s="801"/>
      <c r="P72" s="801"/>
      <c r="Q72" s="801"/>
      <c r="R72" s="387">
        <f>SUM(E72:Q72)</f>
        <v>0</v>
      </c>
      <c r="S72" s="1084"/>
      <c r="T72" s="1084"/>
      <c r="U72" s="1083"/>
    </row>
    <row r="73" spans="1:21" s="83" customFormat="1" ht="13">
      <c r="A73" s="181" t="s">
        <v>1861</v>
      </c>
      <c r="B73" s="233">
        <f>SUM(C73+D73)</f>
        <v>0</v>
      </c>
      <c r="C73" s="801"/>
      <c r="D73" s="801"/>
      <c r="E73" s="801"/>
      <c r="F73" s="801"/>
      <c r="G73" s="801"/>
      <c r="H73" s="801"/>
      <c r="I73" s="801"/>
      <c r="J73" s="801"/>
      <c r="K73" s="801"/>
      <c r="L73" s="801"/>
      <c r="M73" s="801"/>
      <c r="N73" s="801"/>
      <c r="O73" s="801"/>
      <c r="P73" s="801"/>
      <c r="Q73" s="801"/>
      <c r="R73" s="387">
        <f>SUM(E73:Q73)</f>
        <v>0</v>
      </c>
      <c r="S73" s="1084"/>
      <c r="T73" s="1084"/>
      <c r="U73" s="1083"/>
    </row>
    <row r="74" spans="1:21" s="83" customFormat="1">
      <c r="A74" s="330" t="s">
        <v>1862</v>
      </c>
      <c r="B74" s="233">
        <f>SUM(C74+D74)</f>
        <v>0</v>
      </c>
      <c r="C74" s="801"/>
      <c r="D74" s="801"/>
      <c r="E74" s="801"/>
      <c r="F74" s="801"/>
      <c r="G74" s="801"/>
      <c r="H74" s="801"/>
      <c r="I74" s="801"/>
      <c r="J74" s="801"/>
      <c r="K74" s="801"/>
      <c r="L74" s="801"/>
      <c r="M74" s="801"/>
      <c r="N74" s="801"/>
      <c r="O74" s="801"/>
      <c r="P74" s="801"/>
      <c r="Q74" s="801"/>
      <c r="R74" s="387">
        <f>SUM(E74:Q74)</f>
        <v>0</v>
      </c>
      <c r="S74" s="1084"/>
      <c r="T74" s="1084"/>
      <c r="U74" s="1083"/>
    </row>
    <row r="75" spans="1:21" s="83" customFormat="1" ht="13">
      <c r="A75" s="181" t="s">
        <v>1863</v>
      </c>
      <c r="B75" s="233">
        <f>SUM(C75+D75)</f>
        <v>298040</v>
      </c>
      <c r="C75" s="801">
        <v>298040</v>
      </c>
      <c r="D75" s="801"/>
      <c r="E75" s="801">
        <f>C75</f>
        <v>298040</v>
      </c>
      <c r="F75" s="801"/>
      <c r="G75" s="801"/>
      <c r="H75" s="801"/>
      <c r="I75" s="801"/>
      <c r="J75" s="801"/>
      <c r="K75" s="801"/>
      <c r="L75" s="801"/>
      <c r="M75" s="801"/>
      <c r="N75" s="801"/>
      <c r="O75" s="801"/>
      <c r="P75" s="801"/>
      <c r="Q75" s="801"/>
      <c r="R75" s="387">
        <f>SUM(E75:Q75)</f>
        <v>298040</v>
      </c>
      <c r="S75" s="1084"/>
      <c r="T75" s="1084"/>
      <c r="U75" s="1083"/>
    </row>
    <row r="76" spans="1:21" s="83" customFormat="1" ht="13">
      <c r="A76" s="961" t="s">
        <v>1827</v>
      </c>
      <c r="B76" s="233">
        <f>SUM(C76+D76)</f>
        <v>0</v>
      </c>
      <c r="C76" s="801"/>
      <c r="D76" s="801"/>
      <c r="E76" s="801"/>
      <c r="F76" s="801"/>
      <c r="G76" s="801"/>
      <c r="H76" s="801"/>
      <c r="I76" s="801"/>
      <c r="J76" s="801"/>
      <c r="K76" s="801"/>
      <c r="L76" s="801"/>
      <c r="M76" s="801"/>
      <c r="N76" s="801"/>
      <c r="O76" s="801"/>
      <c r="P76" s="801"/>
      <c r="Q76" s="801"/>
      <c r="R76" s="387">
        <f>SUM(E76:Q76)</f>
        <v>0</v>
      </c>
      <c r="S76" s="1084"/>
      <c r="T76" s="1084"/>
      <c r="U76" s="1083"/>
    </row>
    <row r="77" spans="1:21" s="83" customFormat="1" ht="13">
      <c r="A77" s="84" t="s">
        <v>1864</v>
      </c>
      <c r="B77" s="233">
        <f>SUM(C77:D77)</f>
        <v>298040</v>
      </c>
      <c r="C77" s="233">
        <f>SUM(C72:C76)</f>
        <v>298040</v>
      </c>
      <c r="D77" s="233">
        <f>SUM(D72:D76)</f>
        <v>0</v>
      </c>
      <c r="E77" s="233">
        <f t="shared" ref="E77:Q77" si="18">SUM(E72:E76)</f>
        <v>298040</v>
      </c>
      <c r="F77" s="233">
        <f t="shared" si="18"/>
        <v>0</v>
      </c>
      <c r="G77" s="233">
        <f t="shared" si="18"/>
        <v>0</v>
      </c>
      <c r="H77" s="233">
        <f t="shared" si="18"/>
        <v>0</v>
      </c>
      <c r="I77" s="233">
        <f t="shared" si="18"/>
        <v>0</v>
      </c>
      <c r="J77" s="233">
        <f t="shared" si="18"/>
        <v>0</v>
      </c>
      <c r="K77" s="233">
        <f t="shared" si="18"/>
        <v>0</v>
      </c>
      <c r="L77" s="233">
        <f t="shared" si="18"/>
        <v>0</v>
      </c>
      <c r="M77" s="233">
        <f t="shared" si="18"/>
        <v>0</v>
      </c>
      <c r="N77" s="233">
        <f t="shared" si="18"/>
        <v>0</v>
      </c>
      <c r="O77" s="233">
        <f t="shared" si="18"/>
        <v>0</v>
      </c>
      <c r="P77" s="233">
        <f t="shared" si="18"/>
        <v>0</v>
      </c>
      <c r="Q77" s="233">
        <f t="shared" si="18"/>
        <v>0</v>
      </c>
      <c r="R77" s="233">
        <f>SUM(R72:R76)</f>
        <v>298040</v>
      </c>
      <c r="S77" s="1084"/>
      <c r="T77" s="1084"/>
      <c r="U77" s="1083"/>
    </row>
    <row r="78" spans="1:21" s="83" customFormat="1" ht="13">
      <c r="A78" s="82" t="s">
        <v>1865</v>
      </c>
      <c r="B78" s="234"/>
      <c r="C78" s="234"/>
      <c r="D78" s="234"/>
      <c r="E78" s="234"/>
      <c r="F78" s="234"/>
      <c r="G78" s="234"/>
      <c r="H78" s="234"/>
      <c r="I78" s="234"/>
      <c r="J78" s="234"/>
      <c r="K78" s="234"/>
      <c r="L78" s="234"/>
      <c r="M78" s="234"/>
      <c r="N78" s="234"/>
      <c r="O78" s="234"/>
      <c r="P78" s="234"/>
      <c r="Q78" s="234"/>
      <c r="R78" s="234"/>
      <c r="S78" s="234"/>
      <c r="T78" s="234"/>
      <c r="U78" s="1083"/>
    </row>
    <row r="79" spans="1:21" s="83" customFormat="1" ht="13">
      <c r="A79" s="181" t="s">
        <v>1866</v>
      </c>
      <c r="B79" s="233">
        <f>SUM(C79:D79)</f>
        <v>1662500</v>
      </c>
      <c r="C79" s="801">
        <v>1662500</v>
      </c>
      <c r="D79" s="801"/>
      <c r="E79" s="801">
        <v>1662500</v>
      </c>
      <c r="F79" s="801"/>
      <c r="G79" s="801"/>
      <c r="H79" s="801"/>
      <c r="I79" s="801"/>
      <c r="J79" s="801"/>
      <c r="K79" s="801"/>
      <c r="L79" s="801"/>
      <c r="M79" s="801"/>
      <c r="N79" s="801"/>
      <c r="O79" s="801"/>
      <c r="P79" s="801"/>
      <c r="Q79" s="801"/>
      <c r="R79" s="387">
        <f>SUM(E79:Q79)</f>
        <v>1662500</v>
      </c>
      <c r="S79" s="801">
        <v>1662500</v>
      </c>
      <c r="T79" s="801"/>
      <c r="U79" s="1083"/>
    </row>
    <row r="80" spans="1:21" s="83" customFormat="1" ht="13">
      <c r="A80" s="181" t="s">
        <v>1867</v>
      </c>
      <c r="B80" s="233">
        <f>SUM(C80:D80)</f>
        <v>381963</v>
      </c>
      <c r="C80" s="801">
        <v>381963</v>
      </c>
      <c r="D80" s="801"/>
      <c r="E80" s="801">
        <v>381963</v>
      </c>
      <c r="F80" s="801"/>
      <c r="G80" s="801"/>
      <c r="H80" s="801"/>
      <c r="I80" s="801"/>
      <c r="J80" s="801"/>
      <c r="K80" s="801"/>
      <c r="L80" s="801"/>
      <c r="M80" s="801"/>
      <c r="N80" s="801"/>
      <c r="O80" s="801"/>
      <c r="P80" s="801"/>
      <c r="Q80" s="801"/>
      <c r="R80" s="387">
        <f>SUM(E80:Q80)</f>
        <v>381963</v>
      </c>
      <c r="S80" s="801">
        <v>381963</v>
      </c>
      <c r="T80" s="801"/>
      <c r="U80" s="1083"/>
    </row>
    <row r="81" spans="1:21" s="83" customFormat="1" ht="13">
      <c r="A81" s="84" t="s">
        <v>1868</v>
      </c>
      <c r="B81" s="233">
        <f>SUM(C81:D81)</f>
        <v>2044463</v>
      </c>
      <c r="C81" s="1090">
        <f>SUM(C79:C80)</f>
        <v>2044463</v>
      </c>
      <c r="D81" s="1090">
        <f t="shared" ref="D81:T81" si="19">SUM(D79:D80)</f>
        <v>0</v>
      </c>
      <c r="E81" s="1090">
        <f t="shared" si="19"/>
        <v>2044463</v>
      </c>
      <c r="F81" s="1090">
        <f t="shared" si="19"/>
        <v>0</v>
      </c>
      <c r="G81" s="1090">
        <f t="shared" si="19"/>
        <v>0</v>
      </c>
      <c r="H81" s="1090">
        <f t="shared" si="19"/>
        <v>0</v>
      </c>
      <c r="I81" s="1090">
        <f t="shared" si="19"/>
        <v>0</v>
      </c>
      <c r="J81" s="1090">
        <f t="shared" si="19"/>
        <v>0</v>
      </c>
      <c r="K81" s="1090">
        <f t="shared" si="19"/>
        <v>0</v>
      </c>
      <c r="L81" s="1090">
        <f t="shared" si="19"/>
        <v>0</v>
      </c>
      <c r="M81" s="1090">
        <f t="shared" si="19"/>
        <v>0</v>
      </c>
      <c r="N81" s="1090">
        <f t="shared" si="19"/>
        <v>0</v>
      </c>
      <c r="O81" s="1090">
        <f t="shared" si="19"/>
        <v>0</v>
      </c>
      <c r="P81" s="1090">
        <f t="shared" si="19"/>
        <v>0</v>
      </c>
      <c r="Q81" s="1090">
        <f t="shared" si="19"/>
        <v>0</v>
      </c>
      <c r="R81" s="1090">
        <f t="shared" si="19"/>
        <v>2044463</v>
      </c>
      <c r="S81" s="1090">
        <f t="shared" si="19"/>
        <v>2044463</v>
      </c>
      <c r="T81" s="1090">
        <f t="shared" si="19"/>
        <v>0</v>
      </c>
      <c r="U81" s="1083"/>
    </row>
    <row r="82" spans="1:21" s="83" customFormat="1" ht="13">
      <c r="A82" s="82" t="s">
        <v>1869</v>
      </c>
      <c r="B82" s="234"/>
      <c r="C82" s="234"/>
      <c r="D82" s="234"/>
      <c r="E82" s="234"/>
      <c r="F82" s="234"/>
      <c r="G82" s="234"/>
      <c r="H82" s="234"/>
      <c r="I82" s="234"/>
      <c r="J82" s="234"/>
      <c r="K82" s="234"/>
      <c r="L82" s="234"/>
      <c r="M82" s="234"/>
      <c r="N82" s="234"/>
      <c r="O82" s="234"/>
      <c r="P82" s="234"/>
      <c r="Q82" s="234"/>
      <c r="R82" s="234"/>
      <c r="S82" s="234"/>
      <c r="T82" s="234"/>
      <c r="U82" s="1083"/>
    </row>
    <row r="83" spans="1:21" s="83" customFormat="1" ht="13.75" customHeight="1">
      <c r="A83" s="181" t="s">
        <v>1870</v>
      </c>
      <c r="B83" s="233">
        <f t="shared" ref="B83:B95" si="20">SUM(C83+D83)</f>
        <v>72141</v>
      </c>
      <c r="C83" s="801">
        <v>72141</v>
      </c>
      <c r="D83" s="801"/>
      <c r="E83" s="801">
        <v>72141</v>
      </c>
      <c r="F83" s="801"/>
      <c r="G83" s="801"/>
      <c r="H83" s="801"/>
      <c r="I83" s="801"/>
      <c r="J83" s="801"/>
      <c r="K83" s="801"/>
      <c r="L83" s="801"/>
      <c r="M83" s="801"/>
      <c r="N83" s="801"/>
      <c r="O83" s="801"/>
      <c r="P83" s="801"/>
      <c r="Q83" s="801"/>
      <c r="R83" s="387">
        <f t="shared" ref="R83:R95" si="21">SUM(E83:Q83)</f>
        <v>72141</v>
      </c>
      <c r="S83" s="1084"/>
      <c r="T83" s="1084"/>
      <c r="U83" s="1083"/>
    </row>
    <row r="84" spans="1:21" s="83" customFormat="1" ht="13">
      <c r="A84" s="181" t="s">
        <v>1871</v>
      </c>
      <c r="B84" s="233">
        <f t="shared" si="20"/>
        <v>50000</v>
      </c>
      <c r="C84" s="801">
        <v>50000</v>
      </c>
      <c r="D84" s="801"/>
      <c r="E84" s="801">
        <v>50000</v>
      </c>
      <c r="F84" s="801"/>
      <c r="G84" s="801"/>
      <c r="H84" s="801"/>
      <c r="I84" s="801"/>
      <c r="J84" s="801"/>
      <c r="K84" s="801"/>
      <c r="L84" s="801"/>
      <c r="M84" s="801"/>
      <c r="N84" s="801"/>
      <c r="O84" s="801"/>
      <c r="P84" s="801"/>
      <c r="Q84" s="801"/>
      <c r="R84" s="387">
        <f t="shared" si="21"/>
        <v>50000</v>
      </c>
      <c r="S84" s="801">
        <v>50000</v>
      </c>
      <c r="T84" s="801"/>
      <c r="U84" s="1083"/>
    </row>
    <row r="85" spans="1:21" s="83" customFormat="1" ht="13">
      <c r="A85" s="181" t="s">
        <v>1872</v>
      </c>
      <c r="B85" s="233">
        <f t="shared" si="20"/>
        <v>2195085</v>
      </c>
      <c r="C85" s="801">
        <f>1300000+895085</f>
        <v>2195085</v>
      </c>
      <c r="D85" s="801"/>
      <c r="E85" s="801">
        <f>C85</f>
        <v>2195085</v>
      </c>
      <c r="F85" s="801"/>
      <c r="G85" s="801"/>
      <c r="H85" s="801"/>
      <c r="I85" s="801"/>
      <c r="J85" s="801"/>
      <c r="K85" s="801"/>
      <c r="L85" s="801"/>
      <c r="M85" s="801"/>
      <c r="N85" s="801"/>
      <c r="O85" s="801"/>
      <c r="P85" s="801"/>
      <c r="Q85" s="801"/>
      <c r="R85" s="387">
        <f t="shared" si="21"/>
        <v>2195085</v>
      </c>
      <c r="S85" s="801">
        <f>R85</f>
        <v>2195085</v>
      </c>
      <c r="T85" s="801"/>
      <c r="U85" s="1083"/>
    </row>
    <row r="86" spans="1:21" s="83" customFormat="1" ht="13">
      <c r="A86" s="181" t="s">
        <v>1873</v>
      </c>
      <c r="B86" s="233">
        <f t="shared" si="20"/>
        <v>79915</v>
      </c>
      <c r="C86" s="801">
        <f>975000-895085</f>
        <v>79915</v>
      </c>
      <c r="D86" s="801"/>
      <c r="E86" s="801">
        <f>C86</f>
        <v>79915</v>
      </c>
      <c r="F86" s="801"/>
      <c r="G86" s="801"/>
      <c r="H86" s="801"/>
      <c r="I86" s="801"/>
      <c r="J86" s="801"/>
      <c r="K86" s="801"/>
      <c r="L86" s="801"/>
      <c r="M86" s="801"/>
      <c r="N86" s="801"/>
      <c r="O86" s="801"/>
      <c r="P86" s="801"/>
      <c r="Q86" s="801"/>
      <c r="R86" s="387">
        <f t="shared" si="21"/>
        <v>79915</v>
      </c>
      <c r="S86" s="801">
        <f>R86</f>
        <v>79915</v>
      </c>
      <c r="T86" s="801"/>
      <c r="U86" s="1083"/>
    </row>
    <row r="87" spans="1:21" s="83" customFormat="1" ht="13">
      <c r="A87" s="181" t="s">
        <v>1874</v>
      </c>
      <c r="B87" s="233">
        <f t="shared" si="20"/>
        <v>0</v>
      </c>
      <c r="C87" s="801"/>
      <c r="D87" s="801"/>
      <c r="E87" s="801"/>
      <c r="F87" s="801"/>
      <c r="G87" s="801"/>
      <c r="H87" s="801"/>
      <c r="I87" s="801"/>
      <c r="J87" s="801"/>
      <c r="K87" s="801"/>
      <c r="L87" s="801"/>
      <c r="M87" s="801"/>
      <c r="N87" s="801"/>
      <c r="O87" s="801"/>
      <c r="P87" s="801"/>
      <c r="Q87" s="801"/>
      <c r="R87" s="387">
        <f t="shared" si="21"/>
        <v>0</v>
      </c>
      <c r="S87" s="801">
        <v>0</v>
      </c>
      <c r="T87" s="801"/>
      <c r="U87" s="1083"/>
    </row>
    <row r="88" spans="1:21" s="83" customFormat="1" ht="13">
      <c r="A88" s="181" t="s">
        <v>1875</v>
      </c>
      <c r="B88" s="233">
        <f t="shared" si="20"/>
        <v>100000</v>
      </c>
      <c r="C88" s="801">
        <v>100000</v>
      </c>
      <c r="D88" s="801"/>
      <c r="E88" s="801">
        <v>100000</v>
      </c>
      <c r="F88" s="801"/>
      <c r="G88" s="801"/>
      <c r="H88" s="801"/>
      <c r="I88" s="801"/>
      <c r="J88" s="801"/>
      <c r="K88" s="801"/>
      <c r="L88" s="801"/>
      <c r="M88" s="801"/>
      <c r="N88" s="801"/>
      <c r="O88" s="801"/>
      <c r="P88" s="801"/>
      <c r="Q88" s="801"/>
      <c r="R88" s="387">
        <f t="shared" si="21"/>
        <v>100000</v>
      </c>
      <c r="S88" s="1084"/>
      <c r="T88" s="1084"/>
      <c r="U88" s="1083"/>
    </row>
    <row r="89" spans="1:21" s="83" customFormat="1" ht="13">
      <c r="A89" s="181" t="s">
        <v>1876</v>
      </c>
      <c r="B89" s="233">
        <f t="shared" si="20"/>
        <v>75000</v>
      </c>
      <c r="C89" s="801">
        <v>75000</v>
      </c>
      <c r="D89" s="801"/>
      <c r="E89" s="801">
        <v>75000</v>
      </c>
      <c r="F89" s="801"/>
      <c r="G89" s="801"/>
      <c r="H89" s="801"/>
      <c r="I89" s="801"/>
      <c r="J89" s="801"/>
      <c r="K89" s="801"/>
      <c r="L89" s="801"/>
      <c r="M89" s="801"/>
      <c r="N89" s="801"/>
      <c r="O89" s="801"/>
      <c r="P89" s="801"/>
      <c r="Q89" s="801"/>
      <c r="R89" s="387">
        <f t="shared" si="21"/>
        <v>75000</v>
      </c>
      <c r="S89" s="801">
        <v>75000</v>
      </c>
      <c r="T89" s="801"/>
      <c r="U89" s="1083"/>
    </row>
    <row r="90" spans="1:21" s="83" customFormat="1" ht="13">
      <c r="A90" s="181" t="s">
        <v>1877</v>
      </c>
      <c r="B90" s="233">
        <f t="shared" si="20"/>
        <v>15000</v>
      </c>
      <c r="C90" s="801">
        <v>15000</v>
      </c>
      <c r="D90" s="801"/>
      <c r="E90" s="801">
        <v>15000</v>
      </c>
      <c r="F90" s="801"/>
      <c r="G90" s="801"/>
      <c r="H90" s="801"/>
      <c r="I90" s="801"/>
      <c r="J90" s="801"/>
      <c r="K90" s="801"/>
      <c r="L90" s="801"/>
      <c r="M90" s="801"/>
      <c r="N90" s="801"/>
      <c r="O90" s="801"/>
      <c r="P90" s="801"/>
      <c r="Q90" s="801"/>
      <c r="R90" s="387">
        <f t="shared" si="21"/>
        <v>15000</v>
      </c>
      <c r="S90" s="801">
        <v>15000</v>
      </c>
      <c r="T90" s="801"/>
      <c r="U90" s="1083"/>
    </row>
    <row r="91" spans="1:21" s="83" customFormat="1" ht="13">
      <c r="A91" s="181" t="s">
        <v>1878</v>
      </c>
      <c r="B91" s="233">
        <f t="shared" si="20"/>
        <v>50000</v>
      </c>
      <c r="C91" s="801">
        <v>50000</v>
      </c>
      <c r="D91" s="801"/>
      <c r="E91" s="801">
        <v>50000</v>
      </c>
      <c r="F91" s="801"/>
      <c r="G91" s="801"/>
      <c r="H91" s="801"/>
      <c r="I91" s="801"/>
      <c r="J91" s="801"/>
      <c r="K91" s="801"/>
      <c r="L91" s="801"/>
      <c r="M91" s="801"/>
      <c r="N91" s="801"/>
      <c r="O91" s="801"/>
      <c r="P91" s="801"/>
      <c r="Q91" s="801"/>
      <c r="R91" s="387">
        <f t="shared" si="21"/>
        <v>50000</v>
      </c>
      <c r="S91" s="801">
        <v>50000</v>
      </c>
      <c r="T91" s="801"/>
      <c r="U91" s="1083"/>
    </row>
    <row r="92" spans="1:21" s="83" customFormat="1" ht="13">
      <c r="A92" s="181" t="s">
        <v>1879</v>
      </c>
      <c r="B92" s="233">
        <f t="shared" si="20"/>
        <v>20000</v>
      </c>
      <c r="C92" s="801">
        <v>20000</v>
      </c>
      <c r="D92" s="801"/>
      <c r="E92" s="801">
        <v>20000</v>
      </c>
      <c r="F92" s="801"/>
      <c r="G92" s="801"/>
      <c r="H92" s="801"/>
      <c r="I92" s="801"/>
      <c r="J92" s="801"/>
      <c r="K92" s="801"/>
      <c r="L92" s="801"/>
      <c r="M92" s="801"/>
      <c r="N92" s="801"/>
      <c r="O92" s="801"/>
      <c r="P92" s="801"/>
      <c r="Q92" s="801"/>
      <c r="R92" s="387">
        <f t="shared" si="21"/>
        <v>20000</v>
      </c>
      <c r="S92" s="801">
        <v>20000</v>
      </c>
      <c r="T92" s="801"/>
      <c r="U92" s="1083"/>
    </row>
    <row r="93" spans="1:21" s="83" customFormat="1" ht="13">
      <c r="A93" s="961" t="s">
        <v>1880</v>
      </c>
      <c r="B93" s="233">
        <f t="shared" si="20"/>
        <v>42000</v>
      </c>
      <c r="C93" s="801">
        <v>42000</v>
      </c>
      <c r="D93" s="801"/>
      <c r="E93" s="801">
        <v>42000</v>
      </c>
      <c r="F93" s="801"/>
      <c r="G93" s="801"/>
      <c r="H93" s="801"/>
      <c r="I93" s="801"/>
      <c r="J93" s="801"/>
      <c r="K93" s="801"/>
      <c r="L93" s="801"/>
      <c r="M93" s="801"/>
      <c r="N93" s="801"/>
      <c r="O93" s="801"/>
      <c r="P93" s="801"/>
      <c r="Q93" s="801"/>
      <c r="R93" s="387">
        <f t="shared" si="21"/>
        <v>42000</v>
      </c>
      <c r="S93" s="801">
        <v>42000</v>
      </c>
      <c r="T93" s="801"/>
      <c r="U93" s="1083"/>
    </row>
    <row r="94" spans="1:21" s="83" customFormat="1" ht="13">
      <c r="A94" s="961" t="s">
        <v>1881</v>
      </c>
      <c r="B94" s="233">
        <f t="shared" si="20"/>
        <v>47000</v>
      </c>
      <c r="C94" s="801">
        <v>47000</v>
      </c>
      <c r="D94" s="801"/>
      <c r="E94" s="801">
        <v>47000</v>
      </c>
      <c r="F94" s="801"/>
      <c r="G94" s="801"/>
      <c r="H94" s="801"/>
      <c r="I94" s="801"/>
      <c r="J94" s="801"/>
      <c r="K94" s="801"/>
      <c r="L94" s="801"/>
      <c r="M94" s="801"/>
      <c r="N94" s="801"/>
      <c r="O94" s="801"/>
      <c r="P94" s="801"/>
      <c r="Q94" s="801"/>
      <c r="R94" s="387">
        <f t="shared" si="21"/>
        <v>47000</v>
      </c>
      <c r="S94" s="801">
        <v>0</v>
      </c>
      <c r="T94" s="801"/>
      <c r="U94" s="1083"/>
    </row>
    <row r="95" spans="1:21" s="83" customFormat="1" ht="13">
      <c r="A95" s="961" t="s">
        <v>1882</v>
      </c>
      <c r="B95" s="233">
        <f t="shared" si="20"/>
        <v>360089</v>
      </c>
      <c r="C95" s="801">
        <f>10089+200000+150000</f>
        <v>360089</v>
      </c>
      <c r="D95" s="801"/>
      <c r="E95" s="801">
        <v>360089</v>
      </c>
      <c r="F95" s="801"/>
      <c r="G95" s="801"/>
      <c r="H95" s="801"/>
      <c r="I95" s="801"/>
      <c r="J95" s="801"/>
      <c r="K95" s="801"/>
      <c r="L95" s="801"/>
      <c r="M95" s="801"/>
      <c r="N95" s="801"/>
      <c r="O95" s="801"/>
      <c r="P95" s="801"/>
      <c r="Q95" s="801"/>
      <c r="R95" s="387">
        <f t="shared" si="21"/>
        <v>360089</v>
      </c>
      <c r="S95" s="801">
        <v>360089</v>
      </c>
      <c r="T95" s="801"/>
      <c r="U95" s="1083"/>
    </row>
    <row r="96" spans="1:21" s="83" customFormat="1" ht="13">
      <c r="A96" s="84" t="s">
        <v>1883</v>
      </c>
      <c r="B96" s="233">
        <f>SUM(C96:D96)</f>
        <v>3106230</v>
      </c>
      <c r="C96" s="233">
        <f t="shared" ref="C96:R96" si="22">SUM(C83:C95)</f>
        <v>3106230</v>
      </c>
      <c r="D96" s="233">
        <f t="shared" si="22"/>
        <v>0</v>
      </c>
      <c r="E96" s="233">
        <f t="shared" si="22"/>
        <v>3106230</v>
      </c>
      <c r="F96" s="233">
        <f t="shared" si="22"/>
        <v>0</v>
      </c>
      <c r="G96" s="233">
        <f t="shared" si="22"/>
        <v>0</v>
      </c>
      <c r="H96" s="233">
        <f t="shared" si="22"/>
        <v>0</v>
      </c>
      <c r="I96" s="233">
        <f t="shared" si="22"/>
        <v>0</v>
      </c>
      <c r="J96" s="233">
        <f t="shared" si="22"/>
        <v>0</v>
      </c>
      <c r="K96" s="233">
        <f t="shared" si="22"/>
        <v>0</v>
      </c>
      <c r="L96" s="233">
        <f t="shared" si="22"/>
        <v>0</v>
      </c>
      <c r="M96" s="233">
        <f t="shared" si="22"/>
        <v>0</v>
      </c>
      <c r="N96" s="233">
        <f t="shared" si="22"/>
        <v>0</v>
      </c>
      <c r="O96" s="233">
        <f t="shared" si="22"/>
        <v>0</v>
      </c>
      <c r="P96" s="233">
        <f t="shared" si="22"/>
        <v>0</v>
      </c>
      <c r="Q96" s="233">
        <f t="shared" si="22"/>
        <v>0</v>
      </c>
      <c r="R96" s="233">
        <f t="shared" si="22"/>
        <v>3106230</v>
      </c>
      <c r="S96" s="85">
        <f>SUM(S84:S87,S89:S95)</f>
        <v>2887089</v>
      </c>
      <c r="T96" s="233">
        <f>SUM(T84:T87,T89:T95)</f>
        <v>0</v>
      </c>
      <c r="U96" s="1083"/>
    </row>
    <row r="97" spans="1:21" s="83" customFormat="1" ht="13">
      <c r="A97" s="84" t="s">
        <v>1884</v>
      </c>
      <c r="B97" s="233">
        <f>SUM(C97:D97)</f>
        <v>48877563</v>
      </c>
      <c r="C97" s="233">
        <f t="shared" ref="C97:R97" si="23">SUM(C63+C70+C77+C81+C96)</f>
        <v>48877563</v>
      </c>
      <c r="D97" s="233">
        <f t="shared" si="23"/>
        <v>0</v>
      </c>
      <c r="E97" s="233">
        <f t="shared" si="23"/>
        <v>32626786</v>
      </c>
      <c r="F97" s="233">
        <f t="shared" si="23"/>
        <v>7197514</v>
      </c>
      <c r="G97" s="233">
        <f t="shared" si="23"/>
        <v>0</v>
      </c>
      <c r="H97" s="233">
        <f t="shared" si="23"/>
        <v>4000000</v>
      </c>
      <c r="I97" s="233">
        <f t="shared" si="23"/>
        <v>4403263</v>
      </c>
      <c r="J97" s="233">
        <f t="shared" si="23"/>
        <v>650000</v>
      </c>
      <c r="K97" s="233">
        <f t="shared" si="23"/>
        <v>0</v>
      </c>
      <c r="L97" s="233">
        <f t="shared" si="23"/>
        <v>0</v>
      </c>
      <c r="M97" s="233">
        <f t="shared" si="23"/>
        <v>0</v>
      </c>
      <c r="N97" s="233">
        <f t="shared" si="23"/>
        <v>0</v>
      </c>
      <c r="O97" s="233">
        <f t="shared" si="23"/>
        <v>0</v>
      </c>
      <c r="P97" s="233">
        <f t="shared" si="23"/>
        <v>0</v>
      </c>
      <c r="Q97" s="233">
        <f t="shared" si="23"/>
        <v>0</v>
      </c>
      <c r="R97" s="233">
        <f t="shared" si="23"/>
        <v>48877563</v>
      </c>
      <c r="S97" s="233">
        <f>SUM(S63+S70+S81+S96)</f>
        <v>42375549.799999997</v>
      </c>
      <c r="T97" s="233">
        <f>SUM(T63+T70+T81+T96)</f>
        <v>0</v>
      </c>
      <c r="U97" s="1083"/>
    </row>
    <row r="98" spans="1:21" s="83" customFormat="1" ht="13">
      <c r="A98" s="82" t="s">
        <v>1885</v>
      </c>
      <c r="B98" s="234"/>
      <c r="C98" s="234"/>
      <c r="D98" s="234"/>
      <c r="E98" s="234"/>
      <c r="F98" s="234"/>
      <c r="G98" s="234"/>
      <c r="H98" s="234"/>
      <c r="I98" s="234"/>
      <c r="J98" s="234"/>
      <c r="K98" s="234"/>
      <c r="L98" s="234"/>
      <c r="M98" s="234"/>
      <c r="N98" s="234"/>
      <c r="O98" s="234"/>
      <c r="P98" s="234"/>
      <c r="Q98" s="234"/>
      <c r="R98" s="234"/>
      <c r="S98" s="234"/>
      <c r="T98" s="234"/>
      <c r="U98" s="1083"/>
    </row>
    <row r="99" spans="1:21" s="83" customFormat="1" ht="13">
      <c r="A99" s="181" t="s">
        <v>1886</v>
      </c>
      <c r="B99" s="233">
        <f>SUM(C99+D99)</f>
        <v>6356332</v>
      </c>
      <c r="C99" s="801">
        <v>6356332</v>
      </c>
      <c r="D99" s="801"/>
      <c r="E99" s="801">
        <f>C99-G99</f>
        <v>1370693</v>
      </c>
      <c r="F99" s="801"/>
      <c r="G99" s="801">
        <v>4985639</v>
      </c>
      <c r="H99" s="801"/>
      <c r="I99" s="801"/>
      <c r="J99" s="801"/>
      <c r="K99" s="801"/>
      <c r="L99" s="801"/>
      <c r="M99" s="801"/>
      <c r="N99" s="801"/>
      <c r="O99" s="801"/>
      <c r="P99" s="801"/>
      <c r="Q99" s="801"/>
      <c r="R99" s="387">
        <f>SUM(E99:Q99)</f>
        <v>6356332</v>
      </c>
      <c r="S99" s="801">
        <v>6356332</v>
      </c>
      <c r="T99" s="801"/>
      <c r="U99" s="1083"/>
    </row>
    <row r="100" spans="1:21" s="83" customFormat="1" ht="13">
      <c r="A100" s="181" t="s">
        <v>1887</v>
      </c>
      <c r="B100" s="233">
        <f>SUM(C100+D100)</f>
        <v>0</v>
      </c>
      <c r="C100" s="801"/>
      <c r="D100" s="801"/>
      <c r="E100" s="801"/>
      <c r="F100" s="801"/>
      <c r="G100" s="801"/>
      <c r="H100" s="801"/>
      <c r="I100" s="801"/>
      <c r="J100" s="801"/>
      <c r="K100" s="801"/>
      <c r="L100" s="801"/>
      <c r="M100" s="801"/>
      <c r="N100" s="801"/>
      <c r="O100" s="801"/>
      <c r="P100" s="801"/>
      <c r="Q100" s="801"/>
      <c r="R100" s="387">
        <f>SUM(E100:Q100)</f>
        <v>0</v>
      </c>
      <c r="S100" s="801"/>
      <c r="T100" s="801"/>
      <c r="U100" s="1083"/>
    </row>
    <row r="101" spans="1:21" s="83" customFormat="1" ht="12" customHeight="1">
      <c r="A101" s="181" t="s">
        <v>1888</v>
      </c>
      <c r="B101" s="233">
        <f>SUM(C101+D101)</f>
        <v>0</v>
      </c>
      <c r="C101" s="801"/>
      <c r="D101" s="801"/>
      <c r="E101" s="801"/>
      <c r="F101" s="801"/>
      <c r="G101" s="801"/>
      <c r="H101" s="801"/>
      <c r="I101" s="801"/>
      <c r="J101" s="801"/>
      <c r="K101" s="801"/>
      <c r="L101" s="801"/>
      <c r="M101" s="801"/>
      <c r="N101" s="801"/>
      <c r="O101" s="801"/>
      <c r="P101" s="801"/>
      <c r="Q101" s="801"/>
      <c r="R101" s="387">
        <f>SUM(E101:Q101)</f>
        <v>0</v>
      </c>
      <c r="S101" s="801"/>
      <c r="T101" s="801"/>
      <c r="U101" s="1083"/>
    </row>
    <row r="102" spans="1:21" s="83" customFormat="1" ht="13">
      <c r="A102" s="181" t="s">
        <v>1889</v>
      </c>
      <c r="B102" s="233">
        <f>SUM(C102+D102)</f>
        <v>0</v>
      </c>
      <c r="C102" s="801"/>
      <c r="D102" s="801"/>
      <c r="E102" s="801"/>
      <c r="F102" s="801"/>
      <c r="G102" s="801"/>
      <c r="H102" s="801"/>
      <c r="I102" s="801"/>
      <c r="J102" s="801"/>
      <c r="K102" s="801"/>
      <c r="L102" s="801"/>
      <c r="M102" s="801"/>
      <c r="N102" s="801"/>
      <c r="O102" s="801"/>
      <c r="P102" s="801"/>
      <c r="Q102" s="801"/>
      <c r="R102" s="387">
        <f>SUM(E102:Q102)</f>
        <v>0</v>
      </c>
      <c r="S102" s="801"/>
      <c r="T102" s="801"/>
      <c r="U102" s="1083"/>
    </row>
    <row r="103" spans="1:21" s="83" customFormat="1" ht="13">
      <c r="A103" s="961" t="s">
        <v>1827</v>
      </c>
      <c r="B103" s="233">
        <f>SUM(C103+D103)</f>
        <v>0</v>
      </c>
      <c r="C103" s="801"/>
      <c r="D103" s="801"/>
      <c r="E103" s="801"/>
      <c r="F103" s="801"/>
      <c r="G103" s="801"/>
      <c r="H103" s="801"/>
      <c r="I103" s="801"/>
      <c r="J103" s="801"/>
      <c r="K103" s="801"/>
      <c r="L103" s="801"/>
      <c r="M103" s="801"/>
      <c r="N103" s="801"/>
      <c r="O103" s="801"/>
      <c r="P103" s="801"/>
      <c r="Q103" s="801"/>
      <c r="R103" s="387">
        <f>SUM(E103:Q103)</f>
        <v>0</v>
      </c>
      <c r="S103" s="801"/>
      <c r="T103" s="801"/>
      <c r="U103" s="1083"/>
    </row>
    <row r="104" spans="1:21" s="83" customFormat="1" ht="13">
      <c r="A104" s="84" t="s">
        <v>1890</v>
      </c>
      <c r="B104" s="233">
        <f>SUM(C104:D104)</f>
        <v>6356332</v>
      </c>
      <c r="C104" s="233">
        <f>SUM(C99:C103)</f>
        <v>6356332</v>
      </c>
      <c r="D104" s="233">
        <f t="shared" ref="D104:T104" si="24">SUM(D99:D103)</f>
        <v>0</v>
      </c>
      <c r="E104" s="233">
        <f t="shared" si="24"/>
        <v>1370693</v>
      </c>
      <c r="F104" s="233">
        <f t="shared" si="24"/>
        <v>0</v>
      </c>
      <c r="G104" s="233">
        <f t="shared" si="24"/>
        <v>4985639</v>
      </c>
      <c r="H104" s="233">
        <f t="shared" si="24"/>
        <v>0</v>
      </c>
      <c r="I104" s="233">
        <f t="shared" si="24"/>
        <v>0</v>
      </c>
      <c r="J104" s="233">
        <f t="shared" si="24"/>
        <v>0</v>
      </c>
      <c r="K104" s="233">
        <f t="shared" si="24"/>
        <v>0</v>
      </c>
      <c r="L104" s="233">
        <f t="shared" si="24"/>
        <v>0</v>
      </c>
      <c r="M104" s="233">
        <f t="shared" si="24"/>
        <v>0</v>
      </c>
      <c r="N104" s="233">
        <f t="shared" si="24"/>
        <v>0</v>
      </c>
      <c r="O104" s="233">
        <f t="shared" si="24"/>
        <v>0</v>
      </c>
      <c r="P104" s="233">
        <f t="shared" si="24"/>
        <v>0</v>
      </c>
      <c r="Q104" s="233">
        <f t="shared" si="24"/>
        <v>0</v>
      </c>
      <c r="R104" s="233">
        <f t="shared" si="24"/>
        <v>6356332</v>
      </c>
      <c r="S104" s="85">
        <f t="shared" si="24"/>
        <v>6356332</v>
      </c>
      <c r="T104" s="85">
        <f t="shared" si="24"/>
        <v>0</v>
      </c>
      <c r="U104" s="1083"/>
    </row>
    <row r="105" spans="1:21" s="83" customFormat="1" ht="13">
      <c r="A105" s="84" t="s">
        <v>1891</v>
      </c>
      <c r="B105" s="85">
        <f>SUM(C105:D105)</f>
        <v>55233895</v>
      </c>
      <c r="C105" s="85">
        <f t="shared" ref="C105:R105" si="25">SUM(C97+C104)</f>
        <v>55233895</v>
      </c>
      <c r="D105" s="85">
        <f t="shared" si="25"/>
        <v>0</v>
      </c>
      <c r="E105" s="85">
        <f t="shared" si="25"/>
        <v>33997479</v>
      </c>
      <c r="F105" s="85">
        <f t="shared" si="25"/>
        <v>7197514</v>
      </c>
      <c r="G105" s="85">
        <f t="shared" si="25"/>
        <v>4985639</v>
      </c>
      <c r="H105" s="85">
        <f t="shared" si="25"/>
        <v>4000000</v>
      </c>
      <c r="I105" s="85">
        <f t="shared" si="25"/>
        <v>4403263</v>
      </c>
      <c r="J105" s="85">
        <f t="shared" si="25"/>
        <v>650000</v>
      </c>
      <c r="K105" s="85">
        <f t="shared" si="25"/>
        <v>0</v>
      </c>
      <c r="L105" s="85">
        <f t="shared" si="25"/>
        <v>0</v>
      </c>
      <c r="M105" s="85">
        <f t="shared" si="25"/>
        <v>0</v>
      </c>
      <c r="N105" s="85">
        <f t="shared" si="25"/>
        <v>0</v>
      </c>
      <c r="O105" s="85">
        <f t="shared" si="25"/>
        <v>0</v>
      </c>
      <c r="P105" s="85">
        <f t="shared" si="25"/>
        <v>0</v>
      </c>
      <c r="Q105" s="85">
        <f t="shared" si="25"/>
        <v>0</v>
      </c>
      <c r="R105" s="233">
        <f t="shared" si="25"/>
        <v>55233895</v>
      </c>
      <c r="S105" s="85">
        <f>S97+S104</f>
        <v>48731881.799999997</v>
      </c>
      <c r="T105" s="85">
        <f>T97+T104</f>
        <v>0</v>
      </c>
      <c r="U105" s="1083"/>
    </row>
    <row r="106" spans="1:21">
      <c r="A106" s="385" t="s">
        <v>1892</v>
      </c>
      <c r="B106" s="1091"/>
      <c r="C106" s="1091"/>
      <c r="D106" s="1091"/>
      <c r="E106" s="1181"/>
      <c r="F106" s="1181"/>
      <c r="G106" s="1181"/>
      <c r="H106" s="220" t="s">
        <v>1893</v>
      </c>
      <c r="I106" s="220"/>
      <c r="J106" s="220"/>
      <c r="K106" s="1181"/>
      <c r="L106" s="1181"/>
      <c r="M106" s="1181"/>
      <c r="N106" s="1181"/>
      <c r="O106" s="1181"/>
      <c r="P106" s="1181"/>
      <c r="Q106" s="1181"/>
      <c r="R106" s="91" t="s">
        <v>1894</v>
      </c>
      <c r="S106" s="801"/>
      <c r="T106" s="801"/>
      <c r="U106" s="221"/>
    </row>
    <row r="107" spans="1:21">
      <c r="A107" s="1091" t="s">
        <v>1895</v>
      </c>
      <c r="B107" s="1181"/>
      <c r="C107" s="1091"/>
      <c r="D107" s="1091"/>
      <c r="E107" s="1181"/>
      <c r="F107" s="1181"/>
      <c r="G107" s="1181"/>
      <c r="H107" s="1181"/>
      <c r="I107" s="93" t="s">
        <v>1896</v>
      </c>
      <c r="J107" s="93"/>
      <c r="K107" s="1181"/>
      <c r="L107" s="1181"/>
      <c r="M107" s="1181"/>
      <c r="N107" s="1181"/>
      <c r="O107" s="1181"/>
      <c r="P107" s="1181"/>
      <c r="Q107" s="1181"/>
      <c r="R107" s="91" t="s">
        <v>1897</v>
      </c>
      <c r="S107" s="85">
        <f>S105+S106</f>
        <v>48731881.799999997</v>
      </c>
      <c r="T107" s="85">
        <f>T105+T106</f>
        <v>0</v>
      </c>
      <c r="U107" s="221"/>
    </row>
    <row r="108" spans="1:21" s="111" customFormat="1">
      <c r="A108" s="93" t="s">
        <v>1898</v>
      </c>
      <c r="B108" s="1091"/>
      <c r="C108" s="1091"/>
      <c r="D108" s="1091"/>
      <c r="E108" s="1092">
        <f>Application!AO640</f>
        <v>33997479</v>
      </c>
      <c r="F108" s="1092">
        <f>Application!AO627</f>
        <v>7197514</v>
      </c>
      <c r="G108" s="1092">
        <f>Application!AO628</f>
        <v>4985639</v>
      </c>
      <c r="H108" s="1092">
        <f>Application!AO629</f>
        <v>4000000</v>
      </c>
      <c r="I108" s="1092">
        <f>Application!AO630</f>
        <v>4403263</v>
      </c>
      <c r="J108" s="1092">
        <f>Application!AO631</f>
        <v>650000</v>
      </c>
      <c r="K108" s="1092">
        <f>Application!AO632</f>
        <v>0</v>
      </c>
      <c r="L108" s="1092">
        <f>Application!AO633</f>
        <v>0</v>
      </c>
      <c r="M108" s="1092">
        <f>Application!AO634</f>
        <v>0</v>
      </c>
      <c r="N108" s="1092">
        <f>Application!AO635</f>
        <v>0</v>
      </c>
      <c r="O108" s="1092">
        <f>Application!AO636</f>
        <v>0</v>
      </c>
      <c r="P108" s="1092">
        <f>Application!AO637</f>
        <v>0</v>
      </c>
      <c r="Q108" s="1092">
        <f>Application!AO638</f>
        <v>0</v>
      </c>
      <c r="R108" s="1181"/>
      <c r="S108" s="1181"/>
      <c r="T108" s="1181"/>
      <c r="U108" s="1093"/>
    </row>
    <row r="109" spans="1:21" ht="10.25" customHeight="1">
      <c r="A109" s="1091"/>
      <c r="B109" s="1091"/>
      <c r="C109" s="1091"/>
      <c r="D109" s="1091"/>
      <c r="E109" s="1181"/>
      <c r="F109" s="1181"/>
      <c r="G109" s="1181"/>
      <c r="H109" s="1181"/>
      <c r="I109" s="1181"/>
      <c r="J109" s="1181"/>
      <c r="K109" s="1181"/>
      <c r="L109" s="1181"/>
      <c r="M109" s="1181"/>
      <c r="N109" s="1181"/>
      <c r="O109" s="1181"/>
      <c r="P109" s="1181"/>
      <c r="Q109" s="1181"/>
      <c r="R109" s="1181"/>
      <c r="S109" s="1181"/>
      <c r="T109" s="1181"/>
      <c r="U109" s="221"/>
    </row>
    <row r="110" spans="1:21">
      <c r="A110" s="93" t="s">
        <v>1899</v>
      </c>
      <c r="B110" s="1091"/>
      <c r="C110" s="1091"/>
      <c r="D110" s="1091"/>
      <c r="E110" s="1181"/>
      <c r="F110" s="1181"/>
      <c r="G110" s="1181"/>
      <c r="H110" s="1181"/>
      <c r="I110" s="1181"/>
      <c r="J110" s="1181"/>
      <c r="K110" s="1181"/>
      <c r="L110" s="1181"/>
      <c r="M110" s="1181"/>
      <c r="N110" s="1181"/>
      <c r="O110" s="1181"/>
      <c r="P110" s="1181"/>
      <c r="Q110" s="1181"/>
      <c r="R110" s="1181"/>
      <c r="S110" s="1181"/>
      <c r="T110" s="1181"/>
      <c r="U110" s="221"/>
    </row>
    <row r="111" spans="1:21">
      <c r="A111" s="89" t="s">
        <v>1900</v>
      </c>
      <c r="B111" s="1091"/>
      <c r="C111" s="1091"/>
      <c r="D111" s="1091"/>
      <c r="E111" s="1181"/>
      <c r="F111" s="1181"/>
      <c r="G111" s="1181"/>
      <c r="H111" s="1181"/>
      <c r="I111" s="1181"/>
      <c r="J111" s="1181"/>
      <c r="K111" s="1181"/>
      <c r="L111" s="1181"/>
      <c r="M111" s="1181"/>
      <c r="N111" s="1181"/>
      <c r="O111" s="1181"/>
      <c r="P111" s="1181"/>
      <c r="Q111" s="1181"/>
      <c r="R111" s="1181"/>
      <c r="S111" s="1181"/>
      <c r="T111" s="1181"/>
      <c r="U111" s="221"/>
    </row>
    <row r="112" spans="1:21" ht="12" customHeight="1">
      <c r="A112" s="1134"/>
      <c r="B112" s="1091"/>
      <c r="C112" s="1091"/>
      <c r="D112" s="1091"/>
      <c r="E112" s="1181"/>
      <c r="F112" s="1181"/>
      <c r="G112" s="1181"/>
      <c r="H112" s="1181"/>
      <c r="I112" s="1181"/>
      <c r="J112" s="1181"/>
      <c r="K112" s="1181"/>
      <c r="L112" s="1181"/>
      <c r="M112" s="1181"/>
      <c r="N112" s="1181"/>
      <c r="O112" s="1181"/>
      <c r="P112" s="1181"/>
      <c r="Q112" s="1181"/>
      <c r="R112" s="1181"/>
      <c r="S112" s="1181"/>
      <c r="T112" s="1181"/>
      <c r="U112" s="221"/>
    </row>
    <row r="113" spans="1:21">
      <c r="A113" s="89" t="s">
        <v>1901</v>
      </c>
      <c r="B113" s="1091"/>
      <c r="C113" s="1091"/>
      <c r="D113" s="1091"/>
      <c r="E113" s="1181"/>
      <c r="F113" s="1181"/>
      <c r="G113" s="1181"/>
      <c r="H113" s="1181"/>
      <c r="I113" s="1181"/>
      <c r="J113" s="1181"/>
      <c r="K113" s="1181"/>
      <c r="L113" s="1181"/>
      <c r="M113" s="1181"/>
      <c r="N113" s="1181"/>
      <c r="O113" s="1181"/>
      <c r="P113" s="1181"/>
      <c r="Q113" s="1181"/>
      <c r="R113" s="1181"/>
      <c r="S113" s="1181"/>
      <c r="T113" s="1181"/>
      <c r="U113" s="221"/>
    </row>
    <row r="114" spans="1:21">
      <c r="A114" s="89" t="s">
        <v>1902</v>
      </c>
      <c r="B114" s="1091"/>
      <c r="C114" s="1091"/>
      <c r="D114" s="1091"/>
      <c r="E114" s="1181"/>
      <c r="F114" s="1181"/>
      <c r="G114" s="1181"/>
      <c r="H114" s="1181"/>
      <c r="I114" s="1181"/>
      <c r="J114" s="1181"/>
      <c r="K114" s="1181"/>
      <c r="L114" s="1181"/>
      <c r="M114" s="1181"/>
      <c r="N114" s="1181"/>
      <c r="O114" s="1181"/>
      <c r="P114" s="1181"/>
      <c r="Q114" s="1181"/>
      <c r="R114" s="1181"/>
      <c r="S114" s="1181"/>
      <c r="T114" s="1181"/>
      <c r="U114" s="221"/>
    </row>
    <row r="115" spans="1:21" ht="12" customHeight="1">
      <c r="A115" s="1134"/>
      <c r="B115" s="1091"/>
      <c r="C115" s="1091"/>
      <c r="D115" s="1091"/>
      <c r="E115" s="1181"/>
      <c r="F115" s="1181"/>
      <c r="G115" s="1181"/>
      <c r="H115" s="1181"/>
      <c r="I115" s="1181"/>
      <c r="J115" s="1181"/>
      <c r="K115" s="1181"/>
      <c r="L115" s="1181"/>
      <c r="M115" s="1181"/>
      <c r="N115" s="1181"/>
      <c r="O115" s="1181"/>
      <c r="P115" s="1181"/>
      <c r="Q115" s="1181"/>
      <c r="R115" s="1181"/>
      <c r="S115" s="1181"/>
      <c r="T115" s="1181"/>
      <c r="U115" s="221"/>
    </row>
    <row r="116" spans="1:21">
      <c r="A116" s="236" t="s">
        <v>1903</v>
      </c>
      <c r="B116" s="1091"/>
      <c r="C116" s="1091"/>
      <c r="D116" s="1091"/>
      <c r="E116" s="1181"/>
      <c r="F116" s="1181"/>
      <c r="G116" s="1181"/>
      <c r="H116" s="1181"/>
      <c r="I116" s="1181"/>
      <c r="J116" s="1181"/>
      <c r="K116" s="1181"/>
      <c r="L116" s="1181"/>
      <c r="M116" s="1181"/>
      <c r="N116" s="1181"/>
      <c r="O116" s="1181"/>
      <c r="P116" s="1181"/>
      <c r="Q116" s="1181"/>
      <c r="R116" s="1181"/>
      <c r="S116" s="1181"/>
      <c r="T116" s="1181"/>
      <c r="U116" s="221"/>
    </row>
    <row r="117" spans="1:21">
      <c r="A117" s="236" t="s">
        <v>1904</v>
      </c>
      <c r="B117" s="1091"/>
      <c r="C117" s="1091"/>
      <c r="D117" s="1091"/>
      <c r="E117" s="1181"/>
      <c r="F117" s="1181"/>
      <c r="G117" s="1181"/>
      <c r="H117" s="1181"/>
      <c r="I117" s="1181"/>
      <c r="J117" s="1181"/>
      <c r="K117" s="1181"/>
      <c r="L117" s="1181"/>
      <c r="M117" s="1181"/>
      <c r="N117" s="1181"/>
      <c r="O117" s="1181"/>
      <c r="P117" s="1181"/>
      <c r="Q117" s="1181"/>
      <c r="R117" s="1181"/>
      <c r="S117" s="1181"/>
      <c r="T117" s="1181"/>
      <c r="U117" s="221"/>
    </row>
    <row r="118" spans="1:21">
      <c r="A118" s="236" t="s">
        <v>1905</v>
      </c>
      <c r="B118" s="1091"/>
      <c r="C118" s="1091"/>
      <c r="D118" s="1091"/>
      <c r="E118" s="1181"/>
      <c r="F118" s="1181"/>
      <c r="G118" s="1181"/>
      <c r="H118" s="1181"/>
      <c r="I118" s="1181"/>
      <c r="J118" s="1181"/>
      <c r="K118" s="1181"/>
      <c r="L118" s="1181"/>
      <c r="M118" s="1181"/>
      <c r="N118" s="1181"/>
      <c r="O118" s="1181"/>
      <c r="P118" s="1181"/>
      <c r="Q118" s="1181"/>
      <c r="R118" s="1181"/>
      <c r="S118" s="1181"/>
      <c r="T118" s="1181"/>
      <c r="U118" s="221"/>
    </row>
    <row r="119" spans="1:21">
      <c r="A119" s="236" t="s">
        <v>1906</v>
      </c>
      <c r="B119" s="1091"/>
      <c r="C119" s="1091"/>
      <c r="D119" s="1091"/>
      <c r="E119" s="1181"/>
      <c r="F119" s="1181"/>
      <c r="G119" s="1181"/>
      <c r="H119" s="1181"/>
      <c r="I119" s="1181"/>
      <c r="J119" s="1181"/>
      <c r="K119" s="1181"/>
      <c r="L119" s="1181"/>
      <c r="M119" s="1181"/>
      <c r="N119" s="1181"/>
      <c r="O119" s="1181"/>
      <c r="P119" s="1181"/>
      <c r="Q119" s="1181"/>
      <c r="R119" s="1181"/>
      <c r="S119" s="1181"/>
      <c r="T119" s="1181"/>
      <c r="U119" s="221"/>
    </row>
    <row r="120" spans="1:21" ht="12" customHeight="1">
      <c r="A120" s="235"/>
      <c r="B120" s="1091"/>
      <c r="C120" s="1091"/>
      <c r="D120" s="1091"/>
      <c r="E120" s="1181"/>
      <c r="F120" s="1181"/>
      <c r="G120" s="1181"/>
      <c r="H120" s="1181"/>
      <c r="I120" s="1181"/>
      <c r="J120" s="1181"/>
      <c r="K120" s="1181"/>
      <c r="L120" s="1181"/>
      <c r="M120" s="1181"/>
      <c r="N120" s="1181"/>
      <c r="O120" s="1181"/>
      <c r="P120" s="1181"/>
      <c r="Q120" s="1181"/>
      <c r="R120" s="1181"/>
      <c r="S120" s="1181"/>
      <c r="T120" s="1181"/>
      <c r="U120" s="221"/>
    </row>
    <row r="121" spans="1:21" ht="16">
      <c r="A121" s="230" t="s">
        <v>1907</v>
      </c>
      <c r="B121" s="1091"/>
      <c r="C121" s="1091"/>
      <c r="D121" s="1091"/>
      <c r="E121" s="1181"/>
      <c r="F121" s="1181"/>
      <c r="G121" s="1181"/>
      <c r="H121" s="1181"/>
      <c r="I121" s="1181"/>
      <c r="J121" s="1181"/>
      <c r="K121" s="1181"/>
      <c r="L121" s="1181"/>
      <c r="M121" s="1181"/>
      <c r="N121" s="1181"/>
      <c r="O121" s="1181"/>
      <c r="P121" s="1181"/>
      <c r="Q121" s="1181"/>
      <c r="R121" s="1181"/>
      <c r="S121" s="1181"/>
      <c r="T121" s="1181"/>
      <c r="U121" s="221"/>
    </row>
    <row r="122" spans="1:21">
      <c r="A122" s="220" t="s">
        <v>1908</v>
      </c>
      <c r="B122" s="1181"/>
      <c r="C122" s="1181"/>
      <c r="D122" s="1801" t="s">
        <v>1909</v>
      </c>
      <c r="E122" s="1801"/>
      <c r="F122" s="1801"/>
      <c r="G122" s="1181"/>
      <c r="H122" s="1181"/>
      <c r="I122" s="1181"/>
      <c r="J122" s="1181"/>
      <c r="K122" s="1181"/>
      <c r="L122" s="1181"/>
      <c r="M122" s="1181"/>
      <c r="N122" s="1181"/>
      <c r="O122" s="1181"/>
      <c r="P122" s="1181"/>
      <c r="Q122" s="1181"/>
      <c r="R122" s="1181"/>
      <c r="S122" s="1181"/>
      <c r="T122" s="1181"/>
      <c r="U122" s="221"/>
    </row>
    <row r="123" spans="1:21" ht="13">
      <c r="A123" s="1181" t="s">
        <v>1910</v>
      </c>
      <c r="B123" s="228"/>
      <c r="C123" s="1181"/>
      <c r="D123" s="1794" t="s">
        <v>1911</v>
      </c>
      <c r="E123" s="1517"/>
      <c r="F123" s="1517"/>
      <c r="G123" s="1517"/>
      <c r="H123" s="1517"/>
      <c r="I123" s="1517"/>
      <c r="J123" s="1517"/>
      <c r="K123" s="1517"/>
      <c r="L123" s="1517"/>
      <c r="M123" s="1517"/>
      <c r="N123" s="1517"/>
      <c r="O123" s="1517"/>
      <c r="P123" s="1517"/>
      <c r="Q123" s="1517"/>
      <c r="R123" s="1517"/>
      <c r="S123" s="1517"/>
      <c r="T123" s="1181"/>
      <c r="U123" s="221"/>
    </row>
    <row r="124" spans="1:21" ht="14">
      <c r="A124" s="1128" t="s">
        <v>1912</v>
      </c>
      <c r="B124" s="228"/>
      <c r="C124" s="1128"/>
      <c r="D124" s="1517"/>
      <c r="E124" s="1517"/>
      <c r="F124" s="1517"/>
      <c r="G124" s="1517"/>
      <c r="H124" s="1517"/>
      <c r="I124" s="1517"/>
      <c r="J124" s="1517"/>
      <c r="K124" s="1517"/>
      <c r="L124" s="1517"/>
      <c r="M124" s="1517"/>
      <c r="N124" s="1517"/>
      <c r="O124" s="1517"/>
      <c r="P124" s="1517"/>
      <c r="Q124" s="1517"/>
      <c r="R124" s="1517"/>
      <c r="S124" s="1517"/>
      <c r="T124" s="1181"/>
      <c r="U124" s="221"/>
    </row>
    <row r="125" spans="1:21" ht="14">
      <c r="A125" s="1128" t="s">
        <v>1913</v>
      </c>
      <c r="B125" s="228"/>
      <c r="C125" s="1128"/>
      <c r="D125" s="1517"/>
      <c r="E125" s="1517"/>
      <c r="F125" s="1517"/>
      <c r="G125" s="1517"/>
      <c r="H125" s="1517"/>
      <c r="I125" s="1517"/>
      <c r="J125" s="1517"/>
      <c r="K125" s="1517"/>
      <c r="L125" s="1517"/>
      <c r="M125" s="1517"/>
      <c r="N125" s="1517"/>
      <c r="O125" s="1517"/>
      <c r="P125" s="1517"/>
      <c r="Q125" s="1517"/>
      <c r="R125" s="1517"/>
      <c r="S125" s="1517"/>
      <c r="T125" s="1181"/>
      <c r="U125" s="221"/>
    </row>
    <row r="126" spans="1:21" ht="14">
      <c r="A126" s="1128" t="s">
        <v>1914</v>
      </c>
      <c r="B126" s="228"/>
      <c r="C126" s="1128"/>
      <c r="D126" s="69"/>
      <c r="E126" s="69"/>
      <c r="F126" s="69"/>
      <c r="G126" s="69"/>
      <c r="H126" s="69"/>
      <c r="I126" s="69"/>
      <c r="J126" s="69"/>
      <c r="K126" s="69"/>
      <c r="L126" s="69"/>
      <c r="M126" s="69"/>
      <c r="N126" s="69"/>
      <c r="O126" s="1128"/>
      <c r="P126" s="1128"/>
      <c r="Q126" s="1128"/>
      <c r="R126" s="1128"/>
      <c r="S126" s="1128"/>
      <c r="T126" s="1181"/>
      <c r="U126" s="221"/>
    </row>
    <row r="127" spans="1:21" ht="14">
      <c r="A127" s="1128" t="s">
        <v>1915</v>
      </c>
      <c r="B127" s="228"/>
      <c r="C127" s="1128"/>
      <c r="D127" s="69"/>
      <c r="E127" s="69"/>
      <c r="F127" s="69"/>
      <c r="G127" s="69"/>
      <c r="H127" s="69"/>
      <c r="I127" s="69"/>
      <c r="J127" s="69"/>
      <c r="K127" s="69"/>
      <c r="L127" s="69"/>
      <c r="M127" s="69"/>
      <c r="N127" s="69"/>
      <c r="O127" s="1128"/>
      <c r="P127" s="1128"/>
      <c r="Q127" s="1128"/>
      <c r="R127" s="1128"/>
      <c r="S127" s="1128"/>
      <c r="T127" s="1181"/>
      <c r="U127" s="221"/>
    </row>
    <row r="128" spans="1:21" ht="14">
      <c r="A128" s="1128" t="s">
        <v>1916</v>
      </c>
      <c r="B128" s="228"/>
      <c r="C128" s="1128"/>
      <c r="D128" s="1796"/>
      <c r="E128" s="1796"/>
      <c r="F128" s="1796"/>
      <c r="G128" s="1796"/>
      <c r="H128" s="1796"/>
      <c r="I128" s="1128"/>
      <c r="J128" s="1793"/>
      <c r="K128" s="1793"/>
      <c r="L128" s="1128"/>
      <c r="M128" s="1128"/>
      <c r="N128" s="1128"/>
      <c r="O128" s="1128"/>
      <c r="P128" s="1128"/>
      <c r="Q128" s="1128"/>
      <c r="R128" s="1128"/>
      <c r="S128" s="1128"/>
      <c r="T128" s="1181"/>
      <c r="U128" s="221"/>
    </row>
    <row r="129" spans="1:21" ht="14">
      <c r="A129" s="1128" t="s">
        <v>1101</v>
      </c>
      <c r="B129" s="228"/>
      <c r="C129" s="1128"/>
      <c r="D129" s="1800" t="s">
        <v>1917</v>
      </c>
      <c r="E129" s="1800"/>
      <c r="F129" s="1800"/>
      <c r="G129" s="1800"/>
      <c r="H129" s="1800"/>
      <c r="I129" s="1128"/>
      <c r="J129" s="1128" t="s">
        <v>1918</v>
      </c>
      <c r="K129" s="1128"/>
      <c r="L129" s="1128"/>
      <c r="M129" s="1128"/>
      <c r="N129" s="1128"/>
      <c r="O129" s="1128"/>
      <c r="P129" s="1128"/>
      <c r="Q129" s="1128"/>
      <c r="R129" s="1128"/>
      <c r="S129" s="1128"/>
      <c r="T129" s="1181"/>
      <c r="U129" s="221"/>
    </row>
    <row r="130" spans="1:21" ht="12" customHeight="1">
      <c r="A130" s="1128"/>
      <c r="B130" s="227"/>
      <c r="C130" s="1128"/>
      <c r="D130" s="1128"/>
      <c r="E130" s="1128"/>
      <c r="F130" s="1128"/>
      <c r="G130" s="1128"/>
      <c r="H130" s="1128"/>
      <c r="I130" s="1128"/>
      <c r="J130" s="1128"/>
      <c r="K130" s="1128"/>
      <c r="L130" s="1128"/>
      <c r="M130" s="1128"/>
      <c r="N130" s="1128"/>
      <c r="O130" s="1128"/>
      <c r="P130" s="1128"/>
      <c r="Q130" s="1128"/>
      <c r="R130" s="1128"/>
      <c r="S130" s="1128"/>
      <c r="T130" s="1181"/>
      <c r="U130" s="221"/>
    </row>
    <row r="131" spans="1:21" ht="14">
      <c r="A131" s="1105" t="s">
        <v>1919</v>
      </c>
      <c r="B131" s="229">
        <f>SUM(B123:B129)</f>
        <v>0</v>
      </c>
      <c r="C131" s="1128"/>
      <c r="D131" s="1420" t="s">
        <v>864</v>
      </c>
      <c r="E131" s="1420"/>
      <c r="F131" s="1420"/>
      <c r="G131" s="1420"/>
      <c r="H131" s="1420"/>
      <c r="I131" s="1128"/>
      <c r="J131" s="1420" t="s">
        <v>1920</v>
      </c>
      <c r="K131" s="1420"/>
      <c r="L131" s="1420"/>
      <c r="M131" s="1420"/>
      <c r="N131" s="1128"/>
      <c r="O131" s="1128"/>
      <c r="P131" s="1128"/>
      <c r="Q131" s="1128"/>
      <c r="R131" s="1128"/>
      <c r="S131" s="1128"/>
      <c r="T131" s="1181"/>
      <c r="U131" s="221"/>
    </row>
    <row r="132" spans="1:21" ht="12" customHeight="1">
      <c r="A132" s="1094"/>
      <c r="B132" s="1128"/>
      <c r="C132" s="1128"/>
      <c r="D132" s="1305" t="s">
        <v>1921</v>
      </c>
      <c r="E132" s="1305"/>
      <c r="F132" s="1305"/>
      <c r="G132" s="1305"/>
      <c r="H132" s="1305"/>
      <c r="I132" s="1128"/>
      <c r="J132" s="1305" t="s">
        <v>1922</v>
      </c>
      <c r="K132" s="1305"/>
      <c r="L132" s="1305"/>
      <c r="M132" s="1305"/>
      <c r="N132" s="1128"/>
      <c r="O132" s="1128"/>
      <c r="P132" s="1128"/>
      <c r="Q132" s="1128"/>
      <c r="R132" s="1128"/>
      <c r="S132" s="1128"/>
      <c r="T132" s="1181"/>
      <c r="U132" s="221"/>
    </row>
    <row r="133" spans="1:21" ht="12" customHeight="1">
      <c r="A133" s="1094"/>
      <c r="B133" s="1128"/>
      <c r="C133" s="1128"/>
      <c r="D133" s="1128"/>
      <c r="E133" s="1128"/>
      <c r="F133" s="1128"/>
      <c r="G133" s="1128"/>
      <c r="H133" s="1128"/>
      <c r="I133" s="1128"/>
      <c r="J133" s="1128"/>
      <c r="K133" s="1128"/>
      <c r="L133" s="1128"/>
      <c r="M133" s="1128"/>
      <c r="N133" s="1128"/>
      <c r="O133" s="1128"/>
      <c r="P133" s="1128"/>
      <c r="Q133" s="1128"/>
      <c r="R133" s="1128"/>
      <c r="S133" s="1128"/>
      <c r="T133" s="1181"/>
      <c r="U133" s="221"/>
    </row>
    <row r="134" spans="1:21" ht="13">
      <c r="A134" s="1115" t="s">
        <v>1923</v>
      </c>
      <c r="B134" s="1128"/>
      <c r="C134" s="1128"/>
      <c r="D134" s="1128"/>
      <c r="E134" s="1128"/>
      <c r="F134" s="1128"/>
      <c r="G134" s="1128"/>
      <c r="H134" s="1128"/>
      <c r="I134" s="1128"/>
      <c r="J134" s="1128"/>
      <c r="K134" s="1128"/>
      <c r="L134" s="1128"/>
      <c r="M134" s="1128"/>
      <c r="N134" s="1128"/>
      <c r="O134" s="1128"/>
      <c r="P134" s="1128"/>
      <c r="Q134" s="1128"/>
      <c r="R134" s="1128"/>
      <c r="S134" s="1128"/>
      <c r="T134" s="1181"/>
      <c r="U134" s="221"/>
    </row>
    <row r="135" spans="1:21" ht="13">
      <c r="A135" s="1134" t="s">
        <v>1924</v>
      </c>
      <c r="B135" s="1128"/>
      <c r="C135" s="1128"/>
      <c r="D135" s="1128"/>
      <c r="E135" s="1128"/>
      <c r="F135" s="1128"/>
      <c r="G135" s="1128"/>
      <c r="H135" s="1128"/>
      <c r="I135" s="1128"/>
      <c r="J135" s="1128"/>
      <c r="K135" s="1128"/>
      <c r="L135" s="1128"/>
      <c r="M135" s="1128"/>
      <c r="N135" s="1095">
        <v>0.54</v>
      </c>
      <c r="O135" s="1128"/>
      <c r="P135" s="1128"/>
      <c r="Q135" s="1128"/>
      <c r="R135" s="1128"/>
      <c r="S135" s="1128"/>
      <c r="T135" s="1181"/>
      <c r="U135" s="221"/>
    </row>
    <row r="136" spans="1:21" ht="12" customHeight="1">
      <c r="A136" s="1094"/>
      <c r="B136" s="1128"/>
      <c r="C136" s="1128"/>
      <c r="D136" s="1128"/>
      <c r="E136" s="1128"/>
      <c r="F136" s="1128"/>
      <c r="G136" s="1128"/>
      <c r="H136" s="1128"/>
      <c r="I136" s="1128"/>
      <c r="J136" s="1128"/>
      <c r="K136" s="1128"/>
      <c r="L136" s="1128"/>
      <c r="M136" s="1128"/>
      <c r="N136" s="1128"/>
      <c r="O136" s="1128"/>
      <c r="P136" s="1128"/>
      <c r="Q136" s="1128"/>
      <c r="R136" s="1128"/>
      <c r="S136" s="1128"/>
      <c r="T136" s="225"/>
      <c r="U136" s="226"/>
    </row>
    <row r="137" spans="1:21" ht="13">
      <c r="A137" s="1094"/>
      <c r="B137" s="1128"/>
      <c r="C137" s="1128"/>
      <c r="D137" s="1128"/>
      <c r="E137" s="1128"/>
      <c r="F137" s="1128"/>
      <c r="G137" s="1128"/>
      <c r="H137" s="1128"/>
      <c r="I137" s="1128"/>
      <c r="J137" s="1128"/>
      <c r="K137" s="1128"/>
      <c r="L137" s="1128"/>
      <c r="M137" s="1128"/>
      <c r="N137" s="1128"/>
      <c r="O137" s="1128"/>
      <c r="P137" s="1128"/>
      <c r="Q137" s="1128"/>
      <c r="R137" s="1128"/>
      <c r="S137" s="1128"/>
      <c r="T137" s="225"/>
      <c r="U137" s="226"/>
    </row>
    <row r="138" spans="1:21" ht="12" customHeight="1">
      <c r="A138" s="1795"/>
      <c r="B138" s="1796"/>
      <c r="C138" s="1796"/>
      <c r="D138" s="223"/>
      <c r="E138" s="1793"/>
      <c r="F138" s="1793"/>
      <c r="G138" s="1128"/>
      <c r="H138" s="1128"/>
      <c r="I138" s="1128"/>
      <c r="J138" s="1128"/>
      <c r="K138" s="1128"/>
      <c r="L138" s="1128"/>
      <c r="M138" s="1128"/>
      <c r="N138" s="1128"/>
      <c r="O138" s="1128"/>
      <c r="P138" s="1128"/>
      <c r="Q138" s="1128"/>
      <c r="R138" s="1128"/>
      <c r="S138" s="1128"/>
      <c r="T138" s="225"/>
      <c r="U138" s="226"/>
    </row>
    <row r="139" spans="1:21" ht="14">
      <c r="A139" s="1792" t="s">
        <v>1925</v>
      </c>
      <c r="B139" s="1792"/>
      <c r="C139" s="1792"/>
      <c r="D139" s="223"/>
      <c r="E139" s="1128" t="s">
        <v>1918</v>
      </c>
      <c r="F139" s="1128"/>
      <c r="G139" s="1128"/>
      <c r="H139" s="1128"/>
      <c r="I139" s="1128"/>
      <c r="J139" s="1128"/>
      <c r="K139" s="1128"/>
      <c r="L139" s="1128"/>
      <c r="M139" s="1128"/>
      <c r="N139" s="1128"/>
      <c r="O139" s="1128"/>
      <c r="P139" s="1128"/>
      <c r="Q139" s="1128"/>
      <c r="R139" s="1128"/>
      <c r="S139" s="1128"/>
      <c r="T139" s="225"/>
      <c r="U139" s="226"/>
    </row>
    <row r="140" spans="1:21" ht="13">
      <c r="A140" s="1094"/>
      <c r="B140" s="1128"/>
      <c r="C140" s="1128"/>
      <c r="D140" s="223"/>
      <c r="E140" s="1128"/>
      <c r="F140" s="1128"/>
      <c r="G140" s="1128"/>
      <c r="H140" s="1128"/>
      <c r="I140" s="1128"/>
      <c r="J140" s="1128"/>
      <c r="K140" s="1128"/>
      <c r="L140" s="1128"/>
      <c r="M140" s="1128"/>
      <c r="N140" s="1128"/>
      <c r="O140" s="1128"/>
      <c r="P140" s="1128"/>
      <c r="Q140" s="1128"/>
      <c r="R140" s="1128"/>
      <c r="S140" s="1128"/>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F87" sqref="F87"/>
    </sheetView>
  </sheetViews>
  <sheetFormatPr baseColWidth="10" defaultColWidth="0" defaultRowHeight="12" zeroHeight="1"/>
  <cols>
    <col min="1" max="1" width="32.5" style="286" customWidth="1"/>
    <col min="2" max="3" width="12.1640625" style="282" customWidth="1"/>
    <col min="4" max="6" width="12.83203125" style="282" customWidth="1"/>
    <col min="7" max="9" width="12.1640625" style="282" customWidth="1"/>
    <col min="10" max="10" width="12.1640625" style="283" customWidth="1"/>
    <col min="11" max="11" width="8.83203125" style="284" hidden="1" customWidth="1"/>
    <col min="12" max="21" width="8.83203125" style="282" hidden="1" customWidth="1"/>
    <col min="22" max="23" width="0" style="282" hidden="1"/>
    <col min="24" max="256" width="8.83203125" style="282" hidden="1"/>
    <col min="257" max="257" width="32.5" style="282" hidden="1" customWidth="1"/>
    <col min="258" max="259" width="12.1640625" style="282" hidden="1" customWidth="1"/>
    <col min="260" max="260" width="12.83203125" style="282" hidden="1" customWidth="1"/>
    <col min="261" max="266" width="12.1640625" style="282" hidden="1" customWidth="1"/>
    <col min="267" max="277" width="8.83203125" style="282" hidden="1" customWidth="1"/>
    <col min="278" max="512" width="8.83203125" style="282" hidden="1"/>
    <col min="513" max="513" width="32.5" style="282" hidden="1" customWidth="1"/>
    <col min="514" max="515" width="12.1640625" style="282" hidden="1" customWidth="1"/>
    <col min="516" max="516" width="12.83203125" style="282" hidden="1" customWidth="1"/>
    <col min="517" max="522" width="12.1640625" style="282" hidden="1" customWidth="1"/>
    <col min="523" max="533" width="8.83203125" style="282" hidden="1" customWidth="1"/>
    <col min="534" max="768" width="8.83203125" style="282" hidden="1"/>
    <col min="769" max="769" width="32.5" style="282" hidden="1" customWidth="1"/>
    <col min="770" max="771" width="12.1640625" style="282" hidden="1" customWidth="1"/>
    <col min="772" max="772" width="12.83203125" style="282" hidden="1" customWidth="1"/>
    <col min="773" max="778" width="12.1640625" style="282" hidden="1" customWidth="1"/>
    <col min="779" max="789" width="8.83203125" style="282" hidden="1" customWidth="1"/>
    <col min="790" max="1024" width="8.83203125" style="282" hidden="1"/>
    <col min="1025" max="1025" width="32.5" style="282" hidden="1" customWidth="1"/>
    <col min="1026" max="1027" width="12.1640625" style="282" hidden="1" customWidth="1"/>
    <col min="1028" max="1028" width="12.83203125" style="282" hidden="1" customWidth="1"/>
    <col min="1029" max="1034" width="12.1640625" style="282" hidden="1" customWidth="1"/>
    <col min="1035" max="1045" width="8.83203125" style="282" hidden="1" customWidth="1"/>
    <col min="1046" max="1280" width="8.83203125" style="282" hidden="1"/>
    <col min="1281" max="1281" width="32.5" style="282" hidden="1" customWidth="1"/>
    <col min="1282" max="1283" width="12.1640625" style="282" hidden="1" customWidth="1"/>
    <col min="1284" max="1284" width="12.83203125" style="282" hidden="1" customWidth="1"/>
    <col min="1285" max="1290" width="12.1640625" style="282" hidden="1" customWidth="1"/>
    <col min="1291" max="1301" width="8.83203125" style="282" hidden="1" customWidth="1"/>
    <col min="1302" max="1536" width="8.83203125" style="282" hidden="1"/>
    <col min="1537" max="1537" width="32.5" style="282" hidden="1" customWidth="1"/>
    <col min="1538" max="1539" width="12.1640625" style="282" hidden="1" customWidth="1"/>
    <col min="1540" max="1540" width="12.83203125" style="282" hidden="1" customWidth="1"/>
    <col min="1541" max="1546" width="12.1640625" style="282" hidden="1" customWidth="1"/>
    <col min="1547" max="1557" width="8.83203125" style="282" hidden="1" customWidth="1"/>
    <col min="1558" max="1792" width="8.83203125" style="282" hidden="1"/>
    <col min="1793" max="1793" width="32.5" style="282" hidden="1" customWidth="1"/>
    <col min="1794" max="1795" width="12.1640625" style="282" hidden="1" customWidth="1"/>
    <col min="1796" max="1796" width="12.83203125" style="282" hidden="1" customWidth="1"/>
    <col min="1797" max="1802" width="12.1640625" style="282" hidden="1" customWidth="1"/>
    <col min="1803" max="1813" width="8.83203125" style="282" hidden="1" customWidth="1"/>
    <col min="1814" max="2048" width="8.83203125" style="282" hidden="1"/>
    <col min="2049" max="2049" width="32.5" style="282" hidden="1" customWidth="1"/>
    <col min="2050" max="2051" width="12.1640625" style="282" hidden="1" customWidth="1"/>
    <col min="2052" max="2052" width="12.83203125" style="282" hidden="1" customWidth="1"/>
    <col min="2053" max="2058" width="12.1640625" style="282" hidden="1" customWidth="1"/>
    <col min="2059" max="2069" width="8.83203125" style="282" hidden="1" customWidth="1"/>
    <col min="2070" max="2304" width="8.83203125" style="282" hidden="1"/>
    <col min="2305" max="2305" width="32.5" style="282" hidden="1" customWidth="1"/>
    <col min="2306" max="2307" width="12.1640625" style="282" hidden="1" customWidth="1"/>
    <col min="2308" max="2308" width="12.83203125" style="282" hidden="1" customWidth="1"/>
    <col min="2309" max="2314" width="12.1640625" style="282" hidden="1" customWidth="1"/>
    <col min="2315" max="2325" width="8.83203125" style="282" hidden="1" customWidth="1"/>
    <col min="2326" max="2560" width="8.83203125" style="282" hidden="1"/>
    <col min="2561" max="2561" width="32.5" style="282" hidden="1" customWidth="1"/>
    <col min="2562" max="2563" width="12.1640625" style="282" hidden="1" customWidth="1"/>
    <col min="2564" max="2564" width="12.83203125" style="282" hidden="1" customWidth="1"/>
    <col min="2565" max="2570" width="12.1640625" style="282" hidden="1" customWidth="1"/>
    <col min="2571" max="2581" width="8.83203125" style="282" hidden="1" customWidth="1"/>
    <col min="2582" max="2816" width="8.83203125" style="282" hidden="1"/>
    <col min="2817" max="2817" width="32.5" style="282" hidden="1" customWidth="1"/>
    <col min="2818" max="2819" width="12.1640625" style="282" hidden="1" customWidth="1"/>
    <col min="2820" max="2820" width="12.83203125" style="282" hidden="1" customWidth="1"/>
    <col min="2821" max="2826" width="12.1640625" style="282" hidden="1" customWidth="1"/>
    <col min="2827" max="2837" width="8.83203125" style="282" hidden="1" customWidth="1"/>
    <col min="2838" max="3072" width="8.83203125" style="282" hidden="1"/>
    <col min="3073" max="3073" width="32.5" style="282" hidden="1" customWidth="1"/>
    <col min="3074" max="3075" width="12.1640625" style="282" hidden="1" customWidth="1"/>
    <col min="3076" max="3076" width="12.83203125" style="282" hidden="1" customWidth="1"/>
    <col min="3077" max="3082" width="12.1640625" style="282" hidden="1" customWidth="1"/>
    <col min="3083" max="3093" width="8.83203125" style="282" hidden="1" customWidth="1"/>
    <col min="3094" max="3328" width="8.83203125" style="282" hidden="1"/>
    <col min="3329" max="3329" width="32.5" style="282" hidden="1" customWidth="1"/>
    <col min="3330" max="3331" width="12.1640625" style="282" hidden="1" customWidth="1"/>
    <col min="3332" max="3332" width="12.83203125" style="282" hidden="1" customWidth="1"/>
    <col min="3333" max="3338" width="12.1640625" style="282" hidden="1" customWidth="1"/>
    <col min="3339" max="3349" width="8.83203125" style="282" hidden="1" customWidth="1"/>
    <col min="3350" max="3584" width="8.83203125" style="282" hidden="1"/>
    <col min="3585" max="3585" width="32.5" style="282" hidden="1" customWidth="1"/>
    <col min="3586" max="3587" width="12.1640625" style="282" hidden="1" customWidth="1"/>
    <col min="3588" max="3588" width="12.83203125" style="282" hidden="1" customWidth="1"/>
    <col min="3589" max="3594" width="12.1640625" style="282" hidden="1" customWidth="1"/>
    <col min="3595" max="3605" width="8.83203125" style="282" hidden="1" customWidth="1"/>
    <col min="3606" max="3840" width="8.83203125" style="282" hidden="1"/>
    <col min="3841" max="3841" width="32.5" style="282" hidden="1" customWidth="1"/>
    <col min="3842" max="3843" width="12.1640625" style="282" hidden="1" customWidth="1"/>
    <col min="3844" max="3844" width="12.83203125" style="282" hidden="1" customWidth="1"/>
    <col min="3845" max="3850" width="12.1640625" style="282" hidden="1" customWidth="1"/>
    <col min="3851" max="3861" width="8.83203125" style="282" hidden="1" customWidth="1"/>
    <col min="3862" max="4096" width="8.83203125" style="282" hidden="1"/>
    <col min="4097" max="4097" width="32.5" style="282" hidden="1" customWidth="1"/>
    <col min="4098" max="4099" width="12.1640625" style="282" hidden="1" customWidth="1"/>
    <col min="4100" max="4100" width="12.83203125" style="282" hidden="1" customWidth="1"/>
    <col min="4101" max="4106" width="12.1640625" style="282" hidden="1" customWidth="1"/>
    <col min="4107" max="4117" width="8.83203125" style="282" hidden="1" customWidth="1"/>
    <col min="4118" max="4352" width="8.83203125" style="282" hidden="1"/>
    <col min="4353" max="4353" width="32.5" style="282" hidden="1" customWidth="1"/>
    <col min="4354" max="4355" width="12.1640625" style="282" hidden="1" customWidth="1"/>
    <col min="4356" max="4356" width="12.83203125" style="282" hidden="1" customWidth="1"/>
    <col min="4357" max="4362" width="12.1640625" style="282" hidden="1" customWidth="1"/>
    <col min="4363" max="4373" width="8.83203125" style="282" hidden="1" customWidth="1"/>
    <col min="4374" max="4608" width="8.83203125" style="282" hidden="1"/>
    <col min="4609" max="4609" width="32.5" style="282" hidden="1" customWidth="1"/>
    <col min="4610" max="4611" width="12.1640625" style="282" hidden="1" customWidth="1"/>
    <col min="4612" max="4612" width="12.83203125" style="282" hidden="1" customWidth="1"/>
    <col min="4613" max="4618" width="12.1640625" style="282" hidden="1" customWidth="1"/>
    <col min="4619" max="4629" width="8.83203125" style="282" hidden="1" customWidth="1"/>
    <col min="4630" max="4864" width="8.83203125" style="282" hidden="1"/>
    <col min="4865" max="4865" width="32.5" style="282" hidden="1" customWidth="1"/>
    <col min="4866" max="4867" width="12.1640625" style="282" hidden="1" customWidth="1"/>
    <col min="4868" max="4868" width="12.83203125" style="282" hidden="1" customWidth="1"/>
    <col min="4869" max="4874" width="12.1640625" style="282" hidden="1" customWidth="1"/>
    <col min="4875" max="4885" width="8.83203125" style="282" hidden="1" customWidth="1"/>
    <col min="4886" max="5120" width="8.83203125" style="282" hidden="1"/>
    <col min="5121" max="5121" width="32.5" style="282" hidden="1" customWidth="1"/>
    <col min="5122" max="5123" width="12.1640625" style="282" hidden="1" customWidth="1"/>
    <col min="5124" max="5124" width="12.83203125" style="282" hidden="1" customWidth="1"/>
    <col min="5125" max="5130" width="12.1640625" style="282" hidden="1" customWidth="1"/>
    <col min="5131" max="5141" width="8.83203125" style="282" hidden="1" customWidth="1"/>
    <col min="5142" max="5376" width="8.83203125" style="282" hidden="1"/>
    <col min="5377" max="5377" width="32.5" style="282" hidden="1" customWidth="1"/>
    <col min="5378" max="5379" width="12.1640625" style="282" hidden="1" customWidth="1"/>
    <col min="5380" max="5380" width="12.83203125" style="282" hidden="1" customWidth="1"/>
    <col min="5381" max="5386" width="12.1640625" style="282" hidden="1" customWidth="1"/>
    <col min="5387" max="5397" width="8.83203125" style="282" hidden="1" customWidth="1"/>
    <col min="5398" max="5632" width="8.83203125" style="282" hidden="1"/>
    <col min="5633" max="5633" width="32.5" style="282" hidden="1" customWidth="1"/>
    <col min="5634" max="5635" width="12.1640625" style="282" hidden="1" customWidth="1"/>
    <col min="5636" max="5636" width="12.83203125" style="282" hidden="1" customWidth="1"/>
    <col min="5637" max="5642" width="12.1640625" style="282" hidden="1" customWidth="1"/>
    <col min="5643" max="5653" width="8.83203125" style="282" hidden="1" customWidth="1"/>
    <col min="5654" max="5888" width="8.83203125" style="282" hidden="1"/>
    <col min="5889" max="5889" width="32.5" style="282" hidden="1" customWidth="1"/>
    <col min="5890" max="5891" width="12.1640625" style="282" hidden="1" customWidth="1"/>
    <col min="5892" max="5892" width="12.83203125" style="282" hidden="1" customWidth="1"/>
    <col min="5893" max="5898" width="12.1640625" style="282" hidden="1" customWidth="1"/>
    <col min="5899" max="5909" width="8.83203125" style="282" hidden="1" customWidth="1"/>
    <col min="5910" max="6144" width="8.83203125" style="282" hidden="1"/>
    <col min="6145" max="6145" width="32.5" style="282" hidden="1" customWidth="1"/>
    <col min="6146" max="6147" width="12.1640625" style="282" hidden="1" customWidth="1"/>
    <col min="6148" max="6148" width="12.83203125" style="282" hidden="1" customWidth="1"/>
    <col min="6149" max="6154" width="12.1640625" style="282" hidden="1" customWidth="1"/>
    <col min="6155" max="6165" width="8.83203125" style="282" hidden="1" customWidth="1"/>
    <col min="6166" max="6400" width="8.83203125" style="282" hidden="1"/>
    <col min="6401" max="6401" width="32.5" style="282" hidden="1" customWidth="1"/>
    <col min="6402" max="6403" width="12.1640625" style="282" hidden="1" customWidth="1"/>
    <col min="6404" max="6404" width="12.83203125" style="282" hidden="1" customWidth="1"/>
    <col min="6405" max="6410" width="12.1640625" style="282" hidden="1" customWidth="1"/>
    <col min="6411" max="6421" width="8.83203125" style="282" hidden="1" customWidth="1"/>
    <col min="6422" max="6656" width="8.83203125" style="282" hidden="1"/>
    <col min="6657" max="6657" width="32.5" style="282" hidden="1" customWidth="1"/>
    <col min="6658" max="6659" width="12.1640625" style="282" hidden="1" customWidth="1"/>
    <col min="6660" max="6660" width="12.83203125" style="282" hidden="1" customWidth="1"/>
    <col min="6661" max="6666" width="12.1640625" style="282" hidden="1" customWidth="1"/>
    <col min="6667" max="6677" width="8.83203125" style="282" hidden="1" customWidth="1"/>
    <col min="6678" max="6912" width="8.83203125" style="282" hidden="1"/>
    <col min="6913" max="6913" width="32.5" style="282" hidden="1" customWidth="1"/>
    <col min="6914" max="6915" width="12.1640625" style="282" hidden="1" customWidth="1"/>
    <col min="6916" max="6916" width="12.83203125" style="282" hidden="1" customWidth="1"/>
    <col min="6917" max="6922" width="12.1640625" style="282" hidden="1" customWidth="1"/>
    <col min="6923" max="6933" width="8.83203125" style="282" hidden="1" customWidth="1"/>
    <col min="6934" max="7168" width="8.83203125" style="282" hidden="1"/>
    <col min="7169" max="7169" width="32.5" style="282" hidden="1" customWidth="1"/>
    <col min="7170" max="7171" width="12.1640625" style="282" hidden="1" customWidth="1"/>
    <col min="7172" max="7172" width="12.83203125" style="282" hidden="1" customWidth="1"/>
    <col min="7173" max="7178" width="12.1640625" style="282" hidden="1" customWidth="1"/>
    <col min="7179" max="7189" width="8.83203125" style="282" hidden="1" customWidth="1"/>
    <col min="7190" max="7424" width="8.83203125" style="282" hidden="1"/>
    <col min="7425" max="7425" width="32.5" style="282" hidden="1" customWidth="1"/>
    <col min="7426" max="7427" width="12.1640625" style="282" hidden="1" customWidth="1"/>
    <col min="7428" max="7428" width="12.83203125" style="282" hidden="1" customWidth="1"/>
    <col min="7429" max="7434" width="12.1640625" style="282" hidden="1" customWidth="1"/>
    <col min="7435" max="7445" width="8.83203125" style="282" hidden="1" customWidth="1"/>
    <col min="7446" max="7680" width="8.83203125" style="282" hidden="1"/>
    <col min="7681" max="7681" width="32.5" style="282" hidden="1" customWidth="1"/>
    <col min="7682" max="7683" width="12.1640625" style="282" hidden="1" customWidth="1"/>
    <col min="7684" max="7684" width="12.83203125" style="282" hidden="1" customWidth="1"/>
    <col min="7685" max="7690" width="12.1640625" style="282" hidden="1" customWidth="1"/>
    <col min="7691" max="7701" width="8.83203125" style="282" hidden="1" customWidth="1"/>
    <col min="7702" max="7936" width="8.83203125" style="282" hidden="1"/>
    <col min="7937" max="7937" width="32.5" style="282" hidden="1" customWidth="1"/>
    <col min="7938" max="7939" width="12.1640625" style="282" hidden="1" customWidth="1"/>
    <col min="7940" max="7940" width="12.83203125" style="282" hidden="1" customWidth="1"/>
    <col min="7941" max="7946" width="12.1640625" style="282" hidden="1" customWidth="1"/>
    <col min="7947" max="7957" width="8.83203125" style="282" hidden="1" customWidth="1"/>
    <col min="7958" max="8192" width="8.83203125" style="282" hidden="1"/>
    <col min="8193" max="8193" width="32.5" style="282" hidden="1" customWidth="1"/>
    <col min="8194" max="8195" width="12.1640625" style="282" hidden="1" customWidth="1"/>
    <col min="8196" max="8196" width="12.83203125" style="282" hidden="1" customWidth="1"/>
    <col min="8197" max="8202" width="12.1640625" style="282" hidden="1" customWidth="1"/>
    <col min="8203" max="8213" width="8.83203125" style="282" hidden="1" customWidth="1"/>
    <col min="8214" max="8448" width="8.83203125" style="282" hidden="1"/>
    <col min="8449" max="8449" width="32.5" style="282" hidden="1" customWidth="1"/>
    <col min="8450" max="8451" width="12.1640625" style="282" hidden="1" customWidth="1"/>
    <col min="8452" max="8452" width="12.83203125" style="282" hidden="1" customWidth="1"/>
    <col min="8453" max="8458" width="12.1640625" style="282" hidden="1" customWidth="1"/>
    <col min="8459" max="8469" width="8.83203125" style="282" hidden="1" customWidth="1"/>
    <col min="8470" max="8704" width="8.83203125" style="282" hidden="1"/>
    <col min="8705" max="8705" width="32.5" style="282" hidden="1" customWidth="1"/>
    <col min="8706" max="8707" width="12.1640625" style="282" hidden="1" customWidth="1"/>
    <col min="8708" max="8708" width="12.83203125" style="282" hidden="1" customWidth="1"/>
    <col min="8709" max="8714" width="12.1640625" style="282" hidden="1" customWidth="1"/>
    <col min="8715" max="8725" width="8.83203125" style="282" hidden="1" customWidth="1"/>
    <col min="8726" max="8960" width="8.83203125" style="282" hidden="1"/>
    <col min="8961" max="8961" width="32.5" style="282" hidden="1" customWidth="1"/>
    <col min="8962" max="8963" width="12.1640625" style="282" hidden="1" customWidth="1"/>
    <col min="8964" max="8964" width="12.83203125" style="282" hidden="1" customWidth="1"/>
    <col min="8965" max="8970" width="12.1640625" style="282" hidden="1" customWidth="1"/>
    <col min="8971" max="8981" width="8.83203125" style="282" hidden="1" customWidth="1"/>
    <col min="8982" max="9216" width="8.83203125" style="282" hidden="1"/>
    <col min="9217" max="9217" width="32.5" style="282" hidden="1" customWidth="1"/>
    <col min="9218" max="9219" width="12.1640625" style="282" hidden="1" customWidth="1"/>
    <col min="9220" max="9220" width="12.83203125" style="282" hidden="1" customWidth="1"/>
    <col min="9221" max="9226" width="12.1640625" style="282" hidden="1" customWidth="1"/>
    <col min="9227" max="9237" width="8.83203125" style="282" hidden="1" customWidth="1"/>
    <col min="9238" max="9472" width="8.83203125" style="282" hidden="1"/>
    <col min="9473" max="9473" width="32.5" style="282" hidden="1" customWidth="1"/>
    <col min="9474" max="9475" width="12.1640625" style="282" hidden="1" customWidth="1"/>
    <col min="9476" max="9476" width="12.83203125" style="282" hidden="1" customWidth="1"/>
    <col min="9477" max="9482" width="12.1640625" style="282" hidden="1" customWidth="1"/>
    <col min="9483" max="9493" width="8.83203125" style="282" hidden="1" customWidth="1"/>
    <col min="9494" max="9728" width="8.83203125" style="282" hidden="1"/>
    <col min="9729" max="9729" width="32.5" style="282" hidden="1" customWidth="1"/>
    <col min="9730" max="9731" width="12.1640625" style="282" hidden="1" customWidth="1"/>
    <col min="9732" max="9732" width="12.83203125" style="282" hidden="1" customWidth="1"/>
    <col min="9733" max="9738" width="12.1640625" style="282" hidden="1" customWidth="1"/>
    <col min="9739" max="9749" width="8.83203125" style="282" hidden="1" customWidth="1"/>
    <col min="9750" max="9984" width="8.83203125" style="282" hidden="1"/>
    <col min="9985" max="9985" width="32.5" style="282" hidden="1" customWidth="1"/>
    <col min="9986" max="9987" width="12.1640625" style="282" hidden="1" customWidth="1"/>
    <col min="9988" max="9988" width="12.83203125" style="282" hidden="1" customWidth="1"/>
    <col min="9989" max="9994" width="12.1640625" style="282" hidden="1" customWidth="1"/>
    <col min="9995" max="10005" width="8.83203125" style="282" hidden="1" customWidth="1"/>
    <col min="10006" max="10240" width="8.83203125" style="282" hidden="1"/>
    <col min="10241" max="10241" width="32.5" style="282" hidden="1" customWidth="1"/>
    <col min="10242" max="10243" width="12.1640625" style="282" hidden="1" customWidth="1"/>
    <col min="10244" max="10244" width="12.83203125" style="282" hidden="1" customWidth="1"/>
    <col min="10245" max="10250" width="12.1640625" style="282" hidden="1" customWidth="1"/>
    <col min="10251" max="10261" width="8.83203125" style="282" hidden="1" customWidth="1"/>
    <col min="10262" max="10496" width="8.83203125" style="282" hidden="1"/>
    <col min="10497" max="10497" width="32.5" style="282" hidden="1" customWidth="1"/>
    <col min="10498" max="10499" width="12.1640625" style="282" hidden="1" customWidth="1"/>
    <col min="10500" max="10500" width="12.83203125" style="282" hidden="1" customWidth="1"/>
    <col min="10501" max="10506" width="12.1640625" style="282" hidden="1" customWidth="1"/>
    <col min="10507" max="10517" width="8.83203125" style="282" hidden="1" customWidth="1"/>
    <col min="10518" max="10752" width="8.83203125" style="282" hidden="1"/>
    <col min="10753" max="10753" width="32.5" style="282" hidden="1" customWidth="1"/>
    <col min="10754" max="10755" width="12.1640625" style="282" hidden="1" customWidth="1"/>
    <col min="10756" max="10756" width="12.83203125" style="282" hidden="1" customWidth="1"/>
    <col min="10757" max="10762" width="12.1640625" style="282" hidden="1" customWidth="1"/>
    <col min="10763" max="10773" width="8.83203125" style="282" hidden="1" customWidth="1"/>
    <col min="10774" max="11008" width="8.83203125" style="282" hidden="1"/>
    <col min="11009" max="11009" width="32.5" style="282" hidden="1" customWidth="1"/>
    <col min="11010" max="11011" width="12.1640625" style="282" hidden="1" customWidth="1"/>
    <col min="11012" max="11012" width="12.83203125" style="282" hidden="1" customWidth="1"/>
    <col min="11013" max="11018" width="12.1640625" style="282" hidden="1" customWidth="1"/>
    <col min="11019" max="11029" width="8.83203125" style="282" hidden="1" customWidth="1"/>
    <col min="11030" max="11264" width="8.83203125" style="282" hidden="1"/>
    <col min="11265" max="11265" width="32.5" style="282" hidden="1" customWidth="1"/>
    <col min="11266" max="11267" width="12.1640625" style="282" hidden="1" customWidth="1"/>
    <col min="11268" max="11268" width="12.83203125" style="282" hidden="1" customWidth="1"/>
    <col min="11269" max="11274" width="12.1640625" style="282" hidden="1" customWidth="1"/>
    <col min="11275" max="11285" width="8.83203125" style="282" hidden="1" customWidth="1"/>
    <col min="11286" max="11520" width="8.83203125" style="282" hidden="1"/>
    <col min="11521" max="11521" width="32.5" style="282" hidden="1" customWidth="1"/>
    <col min="11522" max="11523" width="12.1640625" style="282" hidden="1" customWidth="1"/>
    <col min="11524" max="11524" width="12.83203125" style="282" hidden="1" customWidth="1"/>
    <col min="11525" max="11530" width="12.1640625" style="282" hidden="1" customWidth="1"/>
    <col min="11531" max="11541" width="8.83203125" style="282" hidden="1" customWidth="1"/>
    <col min="11542" max="11776" width="8.83203125" style="282" hidden="1"/>
    <col min="11777" max="11777" width="32.5" style="282" hidden="1" customWidth="1"/>
    <col min="11778" max="11779" width="12.1640625" style="282" hidden="1" customWidth="1"/>
    <col min="11780" max="11780" width="12.83203125" style="282" hidden="1" customWidth="1"/>
    <col min="11781" max="11786" width="12.1640625" style="282" hidden="1" customWidth="1"/>
    <col min="11787" max="11797" width="8.83203125" style="282" hidden="1" customWidth="1"/>
    <col min="11798" max="12032" width="8.83203125" style="282" hidden="1"/>
    <col min="12033" max="12033" width="32.5" style="282" hidden="1" customWidth="1"/>
    <col min="12034" max="12035" width="12.1640625" style="282" hidden="1" customWidth="1"/>
    <col min="12036" max="12036" width="12.83203125" style="282" hidden="1" customWidth="1"/>
    <col min="12037" max="12042" width="12.1640625" style="282" hidden="1" customWidth="1"/>
    <col min="12043" max="12053" width="8.83203125" style="282" hidden="1" customWidth="1"/>
    <col min="12054" max="12288" width="8.83203125" style="282" hidden="1"/>
    <col min="12289" max="12289" width="32.5" style="282" hidden="1" customWidth="1"/>
    <col min="12290" max="12291" width="12.1640625" style="282" hidden="1" customWidth="1"/>
    <col min="12292" max="12292" width="12.83203125" style="282" hidden="1" customWidth="1"/>
    <col min="12293" max="12298" width="12.1640625" style="282" hidden="1" customWidth="1"/>
    <col min="12299" max="12309" width="8.83203125" style="282" hidden="1" customWidth="1"/>
    <col min="12310" max="12544" width="8.83203125" style="282" hidden="1"/>
    <col min="12545" max="12545" width="32.5" style="282" hidden="1" customWidth="1"/>
    <col min="12546" max="12547" width="12.1640625" style="282" hidden="1" customWidth="1"/>
    <col min="12548" max="12548" width="12.83203125" style="282" hidden="1" customWidth="1"/>
    <col min="12549" max="12554" width="12.1640625" style="282" hidden="1" customWidth="1"/>
    <col min="12555" max="12565" width="8.83203125" style="282" hidden="1" customWidth="1"/>
    <col min="12566" max="12800" width="8.83203125" style="282" hidden="1"/>
    <col min="12801" max="12801" width="32.5" style="282" hidden="1" customWidth="1"/>
    <col min="12802" max="12803" width="12.1640625" style="282" hidden="1" customWidth="1"/>
    <col min="12804" max="12804" width="12.83203125" style="282" hidden="1" customWidth="1"/>
    <col min="12805" max="12810" width="12.1640625" style="282" hidden="1" customWidth="1"/>
    <col min="12811" max="12821" width="8.83203125" style="282" hidden="1" customWidth="1"/>
    <col min="12822" max="13056" width="8.83203125" style="282" hidden="1"/>
    <col min="13057" max="13057" width="32.5" style="282" hidden="1" customWidth="1"/>
    <col min="13058" max="13059" width="12.1640625" style="282" hidden="1" customWidth="1"/>
    <col min="13060" max="13060" width="12.83203125" style="282" hidden="1" customWidth="1"/>
    <col min="13061" max="13066" width="12.1640625" style="282" hidden="1" customWidth="1"/>
    <col min="13067" max="13077" width="8.83203125" style="282" hidden="1" customWidth="1"/>
    <col min="13078" max="13312" width="8.83203125" style="282" hidden="1"/>
    <col min="13313" max="13313" width="32.5" style="282" hidden="1" customWidth="1"/>
    <col min="13314" max="13315" width="12.1640625" style="282" hidden="1" customWidth="1"/>
    <col min="13316" max="13316" width="12.83203125" style="282" hidden="1" customWidth="1"/>
    <col min="13317" max="13322" width="12.1640625" style="282" hidden="1" customWidth="1"/>
    <col min="13323" max="13333" width="8.83203125" style="282" hidden="1" customWidth="1"/>
    <col min="13334" max="13568" width="8.83203125" style="282" hidden="1"/>
    <col min="13569" max="13569" width="32.5" style="282" hidden="1" customWidth="1"/>
    <col min="13570" max="13571" width="12.1640625" style="282" hidden="1" customWidth="1"/>
    <col min="13572" max="13572" width="12.83203125" style="282" hidden="1" customWidth="1"/>
    <col min="13573" max="13578" width="12.1640625" style="282" hidden="1" customWidth="1"/>
    <col min="13579" max="13589" width="8.83203125" style="282" hidden="1" customWidth="1"/>
    <col min="13590" max="13824" width="8.83203125" style="282" hidden="1"/>
    <col min="13825" max="13825" width="32.5" style="282" hidden="1" customWidth="1"/>
    <col min="13826" max="13827" width="12.1640625" style="282" hidden="1" customWidth="1"/>
    <col min="13828" max="13828" width="12.83203125" style="282" hidden="1" customWidth="1"/>
    <col min="13829" max="13834" width="12.1640625" style="282" hidden="1" customWidth="1"/>
    <col min="13835" max="13845" width="8.83203125" style="282" hidden="1" customWidth="1"/>
    <col min="13846" max="14080" width="8.83203125" style="282" hidden="1"/>
    <col min="14081" max="14081" width="32.5" style="282" hidden="1" customWidth="1"/>
    <col min="14082" max="14083" width="12.1640625" style="282" hidden="1" customWidth="1"/>
    <col min="14084" max="14084" width="12.83203125" style="282" hidden="1" customWidth="1"/>
    <col min="14085" max="14090" width="12.1640625" style="282" hidden="1" customWidth="1"/>
    <col min="14091" max="14101" width="8.83203125" style="282" hidden="1" customWidth="1"/>
    <col min="14102" max="14336" width="8.83203125" style="282" hidden="1"/>
    <col min="14337" max="14337" width="32.5" style="282" hidden="1" customWidth="1"/>
    <col min="14338" max="14339" width="12.1640625" style="282" hidden="1" customWidth="1"/>
    <col min="14340" max="14340" width="12.83203125" style="282" hidden="1" customWidth="1"/>
    <col min="14341" max="14346" width="12.1640625" style="282" hidden="1" customWidth="1"/>
    <col min="14347" max="14357" width="8.83203125" style="282" hidden="1" customWidth="1"/>
    <col min="14358" max="14592" width="8.83203125" style="282" hidden="1"/>
    <col min="14593" max="14593" width="32.5" style="282" hidden="1" customWidth="1"/>
    <col min="14594" max="14595" width="12.1640625" style="282" hidden="1" customWidth="1"/>
    <col min="14596" max="14596" width="12.83203125" style="282" hidden="1" customWidth="1"/>
    <col min="14597" max="14602" width="12.1640625" style="282" hidden="1" customWidth="1"/>
    <col min="14603" max="14613" width="8.83203125" style="282" hidden="1" customWidth="1"/>
    <col min="14614" max="14848" width="8.83203125" style="282" hidden="1"/>
    <col min="14849" max="14849" width="32.5" style="282" hidden="1" customWidth="1"/>
    <col min="14850" max="14851" width="12.1640625" style="282" hidden="1" customWidth="1"/>
    <col min="14852" max="14852" width="12.83203125" style="282" hidden="1" customWidth="1"/>
    <col min="14853" max="14858" width="12.1640625" style="282" hidden="1" customWidth="1"/>
    <col min="14859" max="14869" width="8.83203125" style="282" hidden="1" customWidth="1"/>
    <col min="14870" max="15104" width="8.83203125" style="282" hidden="1"/>
    <col min="15105" max="15105" width="32.5" style="282" hidden="1" customWidth="1"/>
    <col min="15106" max="15107" width="12.1640625" style="282" hidden="1" customWidth="1"/>
    <col min="15108" max="15108" width="12.83203125" style="282" hidden="1" customWidth="1"/>
    <col min="15109" max="15114" width="12.1640625" style="282" hidden="1" customWidth="1"/>
    <col min="15115" max="15125" width="8.83203125" style="282" hidden="1" customWidth="1"/>
    <col min="15126" max="15360" width="8.83203125" style="282" hidden="1"/>
    <col min="15361" max="15361" width="32.5" style="282" hidden="1" customWidth="1"/>
    <col min="15362" max="15363" width="12.1640625" style="282" hidden="1" customWidth="1"/>
    <col min="15364" max="15364" width="12.83203125" style="282" hidden="1" customWidth="1"/>
    <col min="15365" max="15370" width="12.1640625" style="282" hidden="1" customWidth="1"/>
    <col min="15371" max="15381" width="8.83203125" style="282" hidden="1" customWidth="1"/>
    <col min="15382" max="15616" width="8.83203125" style="282" hidden="1"/>
    <col min="15617" max="15617" width="32.5" style="282" hidden="1" customWidth="1"/>
    <col min="15618" max="15619" width="12.1640625" style="282" hidden="1" customWidth="1"/>
    <col min="15620" max="15620" width="12.83203125" style="282" hidden="1" customWidth="1"/>
    <col min="15621" max="15626" width="12.1640625" style="282" hidden="1" customWidth="1"/>
    <col min="15627" max="15637" width="8.83203125" style="282" hidden="1" customWidth="1"/>
    <col min="15638" max="15872" width="8.83203125" style="282" hidden="1"/>
    <col min="15873" max="15873" width="32.5" style="282" hidden="1" customWidth="1"/>
    <col min="15874" max="15875" width="12.1640625" style="282" hidden="1" customWidth="1"/>
    <col min="15876" max="15876" width="12.83203125" style="282" hidden="1" customWidth="1"/>
    <col min="15877" max="15882" width="12.1640625" style="282" hidden="1" customWidth="1"/>
    <col min="15883" max="15893" width="8.83203125" style="282" hidden="1" customWidth="1"/>
    <col min="15894" max="16128" width="8.83203125" style="282" hidden="1"/>
    <col min="16129" max="16129" width="32.5" style="282" hidden="1" customWidth="1"/>
    <col min="16130" max="16131" width="12.1640625" style="282" hidden="1" customWidth="1"/>
    <col min="16132" max="16132" width="12.83203125" style="282" hidden="1" customWidth="1"/>
    <col min="16133" max="16138" width="12.1640625" style="282" hidden="1" customWidth="1"/>
    <col min="16139" max="16149" width="8.83203125" style="282" hidden="1" customWidth="1"/>
    <col min="16150" max="16384" width="8.83203125" style="282" hidden="1"/>
  </cols>
  <sheetData>
    <row r="1" spans="1:11" s="249" customFormat="1" ht="13">
      <c r="A1" s="1804" t="s">
        <v>1926</v>
      </c>
      <c r="B1" s="1805"/>
      <c r="C1" s="1805"/>
      <c r="D1" s="1805"/>
      <c r="E1" s="1805"/>
      <c r="F1" s="1805"/>
      <c r="G1" s="1805"/>
      <c r="H1" s="1805"/>
      <c r="I1" s="1805"/>
      <c r="J1" s="1806"/>
      <c r="K1" s="248"/>
    </row>
    <row r="2" spans="1:11" s="290" customFormat="1" ht="78">
      <c r="A2" s="287"/>
      <c r="B2" s="288" t="s">
        <v>1927</v>
      </c>
      <c r="C2" s="288" t="s">
        <v>1928</v>
      </c>
      <c r="D2" s="288" t="s">
        <v>1929</v>
      </c>
      <c r="E2" s="288" t="s">
        <v>1930</v>
      </c>
      <c r="F2" s="288" t="s">
        <v>1931</v>
      </c>
      <c r="G2" s="288" t="s">
        <v>1932</v>
      </c>
      <c r="H2" s="288" t="s">
        <v>1933</v>
      </c>
      <c r="I2" s="288" t="s">
        <v>1934</v>
      </c>
      <c r="J2" s="288" t="s">
        <v>1935</v>
      </c>
      <c r="K2" s="289"/>
    </row>
    <row r="3" spans="1:11" s="253" customFormat="1" ht="13">
      <c r="A3" s="250" t="s">
        <v>1805</v>
      </c>
      <c r="B3" s="251"/>
      <c r="C3" s="251"/>
      <c r="D3" s="251"/>
      <c r="E3" s="251"/>
      <c r="F3" s="251"/>
      <c r="G3" s="251"/>
      <c r="H3" s="251"/>
      <c r="I3" s="251"/>
      <c r="J3" s="251"/>
      <c r="K3" s="252"/>
    </row>
    <row r="4" spans="1:11" s="253" customFormat="1" ht="13">
      <c r="A4" s="257" t="s">
        <v>1806</v>
      </c>
      <c r="B4" s="254">
        <f>'Sources and Uses Budget'!C4</f>
        <v>4550000</v>
      </c>
      <c r="C4" s="255">
        <v>4550000</v>
      </c>
      <c r="D4" s="255"/>
      <c r="E4" s="256"/>
      <c r="F4" s="256"/>
      <c r="G4" s="256"/>
      <c r="H4" s="256"/>
      <c r="I4" s="256"/>
      <c r="J4" s="256"/>
      <c r="K4" s="252"/>
    </row>
    <row r="5" spans="1:11" s="253" customFormat="1" ht="13">
      <c r="A5" s="257" t="s">
        <v>1807</v>
      </c>
      <c r="B5" s="254">
        <f>'Sources and Uses Budget'!C5</f>
        <v>100000</v>
      </c>
      <c r="C5" s="255">
        <v>100000</v>
      </c>
      <c r="D5" s="255"/>
      <c r="E5" s="256"/>
      <c r="F5" s="256"/>
      <c r="G5" s="256"/>
      <c r="H5" s="256"/>
      <c r="I5" s="256"/>
      <c r="J5" s="256"/>
      <c r="K5" s="252"/>
    </row>
    <row r="6" spans="1:11" s="253" customFormat="1" ht="13">
      <c r="A6" s="257" t="s">
        <v>1808</v>
      </c>
      <c r="B6" s="254">
        <f>'Sources and Uses Budget'!C6</f>
        <v>0</v>
      </c>
      <c r="C6" s="255"/>
      <c r="D6" s="255"/>
      <c r="E6" s="256"/>
      <c r="F6" s="256"/>
      <c r="G6" s="256"/>
      <c r="H6" s="256"/>
      <c r="I6" s="256"/>
      <c r="J6" s="256"/>
      <c r="K6" s="252"/>
    </row>
    <row r="7" spans="1:11" s="253" customFormat="1" ht="13">
      <c r="A7" s="257" t="s">
        <v>1809</v>
      </c>
      <c r="B7" s="254">
        <f>'Sources and Uses Budget'!C7</f>
        <v>0</v>
      </c>
      <c r="C7" s="255"/>
      <c r="D7" s="255"/>
      <c r="E7" s="256"/>
      <c r="F7" s="256"/>
      <c r="G7" s="256"/>
      <c r="H7" s="256"/>
      <c r="I7" s="256"/>
      <c r="J7" s="256"/>
      <c r="K7" s="252"/>
    </row>
    <row r="8" spans="1:11" s="253" customFormat="1" ht="13">
      <c r="A8" s="258" t="s">
        <v>1810</v>
      </c>
      <c r="B8" s="254">
        <f>'Sources and Uses Budget'!C8</f>
        <v>4650000</v>
      </c>
      <c r="C8" s="254">
        <f>SUM(C4:C7)</f>
        <v>4650000</v>
      </c>
      <c r="D8" s="254">
        <f>SUM(D4:D7)</f>
        <v>0</v>
      </c>
      <c r="E8" s="256"/>
      <c r="F8" s="256"/>
      <c r="G8" s="256"/>
      <c r="H8" s="256"/>
      <c r="I8" s="256"/>
      <c r="J8" s="256"/>
      <c r="K8" s="252"/>
    </row>
    <row r="9" spans="1:11" s="253" customFormat="1" ht="13">
      <c r="A9" s="257" t="s">
        <v>1811</v>
      </c>
      <c r="B9" s="254">
        <f>'Sources and Uses Budget'!C9</f>
        <v>0</v>
      </c>
      <c r="C9" s="255"/>
      <c r="D9" s="255"/>
      <c r="E9" s="256"/>
      <c r="F9" s="256"/>
      <c r="G9" s="256"/>
      <c r="H9" s="254">
        <f>'Sources and Uses Budget'!T9</f>
        <v>0</v>
      </c>
      <c r="I9" s="255"/>
      <c r="J9" s="255"/>
      <c r="K9" s="252"/>
    </row>
    <row r="10" spans="1:11" s="253" customFormat="1" ht="13">
      <c r="A10" s="257" t="s">
        <v>1812</v>
      </c>
      <c r="B10" s="254">
        <f>'Sources and Uses Budget'!C10</f>
        <v>500000</v>
      </c>
      <c r="C10" s="255">
        <v>500000</v>
      </c>
      <c r="D10" s="255"/>
      <c r="E10" s="254">
        <f>'Sources and Uses Budget'!S10</f>
        <v>500000</v>
      </c>
      <c r="F10" s="255">
        <v>500000</v>
      </c>
      <c r="G10" s="255"/>
      <c r="H10" s="254">
        <f>'Sources and Uses Budget'!T10</f>
        <v>0</v>
      </c>
      <c r="I10" s="255"/>
      <c r="J10" s="255"/>
      <c r="K10" s="252"/>
    </row>
    <row r="11" spans="1:11" s="253" customFormat="1" ht="13">
      <c r="A11" s="258" t="s">
        <v>1813</v>
      </c>
      <c r="B11" s="254">
        <f>'Sources and Uses Budget'!C11</f>
        <v>500000</v>
      </c>
      <c r="C11" s="254">
        <f>SUM(C9:C10)</f>
        <v>500000</v>
      </c>
      <c r="D11" s="254">
        <f>SUM(D9:D10)</f>
        <v>0</v>
      </c>
      <c r="E11" s="256"/>
      <c r="F11" s="256"/>
      <c r="G11" s="256"/>
      <c r="H11" s="254">
        <f>'Sources and Uses Budget'!T11</f>
        <v>0</v>
      </c>
      <c r="I11" s="254">
        <f>SUM(I9:I10)</f>
        <v>0</v>
      </c>
      <c r="J11" s="254">
        <f>SUM(J9:J10)</f>
        <v>0</v>
      </c>
      <c r="K11" s="252"/>
    </row>
    <row r="12" spans="1:11" s="253" customFormat="1" ht="13">
      <c r="A12" s="258" t="s">
        <v>1814</v>
      </c>
      <c r="B12" s="254">
        <f>'Sources and Uses Budget'!C12</f>
        <v>5150000</v>
      </c>
      <c r="C12" s="254">
        <f>SUM(C8+C11)</f>
        <v>5150000</v>
      </c>
      <c r="D12" s="254">
        <f>SUM(D8+D11)</f>
        <v>0</v>
      </c>
      <c r="E12" s="256"/>
      <c r="F12" s="256"/>
      <c r="G12" s="256"/>
      <c r="H12" s="256"/>
      <c r="I12" s="256"/>
      <c r="J12" s="256"/>
      <c r="K12" s="252"/>
    </row>
    <row r="13" spans="1:11" s="253" customFormat="1">
      <c r="A13" s="259" t="s">
        <v>1815</v>
      </c>
      <c r="B13" s="254">
        <f>'Sources and Uses Budget'!C13</f>
        <v>0</v>
      </c>
      <c r="C13" s="255"/>
      <c r="D13" s="255"/>
      <c r="E13" s="254">
        <f>'Sources and Uses Budget'!S13</f>
        <v>0</v>
      </c>
      <c r="F13" s="255"/>
      <c r="G13" s="255"/>
      <c r="H13" s="254">
        <f>'Sources and Uses Budget'!T13</f>
        <v>0</v>
      </c>
      <c r="I13" s="255"/>
      <c r="J13" s="255"/>
      <c r="K13" s="252"/>
    </row>
    <row r="14" spans="1:11" s="253" customFormat="1" ht="26">
      <c r="A14" s="257" t="s">
        <v>1936</v>
      </c>
      <c r="B14" s="254">
        <f>'Sources and Uses Budget'!C14</f>
        <v>0</v>
      </c>
      <c r="C14" s="255"/>
      <c r="D14" s="255"/>
      <c r="E14" s="254">
        <f>'Sources and Uses Budget'!S14</f>
        <v>0</v>
      </c>
      <c r="F14" s="255"/>
      <c r="G14" s="255"/>
      <c r="H14" s="254">
        <f>'Sources and Uses Budget'!T14</f>
        <v>0</v>
      </c>
      <c r="I14" s="255"/>
      <c r="J14" s="255"/>
      <c r="K14" s="252"/>
    </row>
    <row r="15" spans="1:11" s="253" customFormat="1" ht="13">
      <c r="A15" s="257" t="s">
        <v>1817</v>
      </c>
      <c r="B15" s="254">
        <f>'Sources and Uses Budget'!C15</f>
        <v>0</v>
      </c>
      <c r="C15" s="255"/>
      <c r="D15" s="255"/>
      <c r="E15" s="256">
        <f>'Sources and Uses Budget'!S15</f>
        <v>0</v>
      </c>
      <c r="F15" s="256"/>
      <c r="G15" s="256"/>
      <c r="H15" s="256">
        <f>'Sources and Uses Budget'!T15</f>
        <v>0</v>
      </c>
      <c r="I15" s="256"/>
      <c r="J15" s="256"/>
      <c r="K15" s="252"/>
    </row>
    <row r="16" spans="1:11" s="253" customFormat="1" ht="13">
      <c r="A16" s="250" t="s">
        <v>1818</v>
      </c>
      <c r="B16" s="251"/>
      <c r="C16" s="251"/>
      <c r="D16" s="251"/>
      <c r="E16" s="251"/>
      <c r="F16" s="251"/>
      <c r="G16" s="251"/>
      <c r="H16" s="251"/>
      <c r="I16" s="251"/>
      <c r="J16" s="251"/>
      <c r="K16" s="252"/>
    </row>
    <row r="17" spans="1:11" s="253" customFormat="1" ht="13">
      <c r="A17" s="257" t="s">
        <v>1819</v>
      </c>
      <c r="B17" s="254">
        <f>'Sources and Uses Budget'!C17</f>
        <v>0</v>
      </c>
      <c r="C17" s="255"/>
      <c r="D17" s="255"/>
      <c r="E17" s="254">
        <f>'Sources and Uses Budget'!S17</f>
        <v>0</v>
      </c>
      <c r="F17" s="255"/>
      <c r="G17" s="255"/>
      <c r="H17" s="254">
        <f>'Sources and Uses Budget'!T17</f>
        <v>0</v>
      </c>
      <c r="I17" s="255"/>
      <c r="J17" s="255"/>
      <c r="K17" s="252"/>
    </row>
    <row r="18" spans="1:11" s="253" customFormat="1" ht="13">
      <c r="A18" s="257" t="s">
        <v>1820</v>
      </c>
      <c r="B18" s="254">
        <f>'Sources and Uses Budget'!C18</f>
        <v>0</v>
      </c>
      <c r="C18" s="255"/>
      <c r="D18" s="255"/>
      <c r="E18" s="254">
        <f>'Sources and Uses Budget'!S18</f>
        <v>0</v>
      </c>
      <c r="F18" s="255"/>
      <c r="G18" s="255"/>
      <c r="H18" s="254">
        <f>'Sources and Uses Budget'!T18</f>
        <v>0</v>
      </c>
      <c r="I18" s="255"/>
      <c r="J18" s="255"/>
      <c r="K18" s="252"/>
    </row>
    <row r="19" spans="1:11" s="253" customFormat="1" ht="13">
      <c r="A19" s="257" t="s">
        <v>1821</v>
      </c>
      <c r="B19" s="254">
        <f>'Sources and Uses Budget'!C19</f>
        <v>0</v>
      </c>
      <c r="C19" s="255"/>
      <c r="D19" s="255"/>
      <c r="E19" s="254">
        <f>'Sources and Uses Budget'!S19</f>
        <v>0</v>
      </c>
      <c r="F19" s="255"/>
      <c r="G19" s="255"/>
      <c r="H19" s="254">
        <f>'Sources and Uses Budget'!T19</f>
        <v>0</v>
      </c>
      <c r="I19" s="255"/>
      <c r="J19" s="255"/>
      <c r="K19" s="252"/>
    </row>
    <row r="20" spans="1:11" s="253" customFormat="1" ht="13">
      <c r="A20" s="257" t="s">
        <v>1822</v>
      </c>
      <c r="B20" s="254">
        <f>'Sources and Uses Budget'!C20</f>
        <v>0</v>
      </c>
      <c r="C20" s="255"/>
      <c r="D20" s="255"/>
      <c r="E20" s="254">
        <f>'Sources and Uses Budget'!S20</f>
        <v>0</v>
      </c>
      <c r="F20" s="255"/>
      <c r="G20" s="255"/>
      <c r="H20" s="254">
        <f>'Sources and Uses Budget'!T20</f>
        <v>0</v>
      </c>
      <c r="I20" s="255"/>
      <c r="J20" s="255"/>
      <c r="K20" s="252"/>
    </row>
    <row r="21" spans="1:11" s="253" customFormat="1" ht="13">
      <c r="A21" s="257" t="s">
        <v>1823</v>
      </c>
      <c r="B21" s="254">
        <f>'Sources and Uses Budget'!C21</f>
        <v>0</v>
      </c>
      <c r="C21" s="255"/>
      <c r="D21" s="255"/>
      <c r="E21" s="254">
        <f>'Sources and Uses Budget'!S21</f>
        <v>0</v>
      </c>
      <c r="F21" s="255"/>
      <c r="G21" s="255"/>
      <c r="H21" s="254">
        <f>'Sources and Uses Budget'!T21</f>
        <v>0</v>
      </c>
      <c r="I21" s="255"/>
      <c r="J21" s="255"/>
      <c r="K21" s="252"/>
    </row>
    <row r="22" spans="1:11" s="253" customFormat="1" ht="13">
      <c r="A22" s="257" t="s">
        <v>1824</v>
      </c>
      <c r="B22" s="254">
        <f>'Sources and Uses Budget'!C22</f>
        <v>0</v>
      </c>
      <c r="C22" s="255"/>
      <c r="D22" s="255"/>
      <c r="E22" s="254">
        <f>'Sources and Uses Budget'!S22</f>
        <v>0</v>
      </c>
      <c r="F22" s="255"/>
      <c r="G22" s="255"/>
      <c r="H22" s="254">
        <f>'Sources and Uses Budget'!T22</f>
        <v>0</v>
      </c>
      <c r="I22" s="255"/>
      <c r="J22" s="255"/>
      <c r="K22" s="252"/>
    </row>
    <row r="23" spans="1:11" s="253" customFormat="1" ht="13">
      <c r="A23" s="257" t="s">
        <v>1825</v>
      </c>
      <c r="B23" s="254">
        <f>'Sources and Uses Budget'!C23</f>
        <v>0</v>
      </c>
      <c r="C23" s="255"/>
      <c r="D23" s="255"/>
      <c r="E23" s="254">
        <f>'Sources and Uses Budget'!S23</f>
        <v>0</v>
      </c>
      <c r="F23" s="255"/>
      <c r="G23" s="255"/>
      <c r="H23" s="254">
        <f>'Sources and Uses Budget'!T23</f>
        <v>0</v>
      </c>
      <c r="I23" s="255"/>
      <c r="J23" s="255"/>
      <c r="K23" s="252"/>
    </row>
    <row r="24" spans="1:11" s="253" customFormat="1" ht="13">
      <c r="A24" s="380" t="s">
        <v>1826</v>
      </c>
      <c r="B24" s="254">
        <f>'Sources and Uses Budget'!C24</f>
        <v>0</v>
      </c>
      <c r="C24" s="255"/>
      <c r="D24" s="255"/>
      <c r="E24" s="254">
        <f>'Sources and Uses Budget'!S24</f>
        <v>0</v>
      </c>
      <c r="F24" s="255"/>
      <c r="G24" s="255"/>
      <c r="H24" s="254">
        <f>'Sources and Uses Budget'!T24</f>
        <v>0</v>
      </c>
      <c r="I24" s="255"/>
      <c r="J24" s="255"/>
      <c r="K24" s="252"/>
    </row>
    <row r="25" spans="1:11" s="253" customFormat="1" ht="13">
      <c r="A25" s="257" t="str">
        <f>'Sources and Uses Budget'!$A25</f>
        <v>Other: (Specify)</v>
      </c>
      <c r="B25" s="254">
        <f>'Sources and Uses Budget'!C25</f>
        <v>0</v>
      </c>
      <c r="C25" s="255"/>
      <c r="D25" s="255"/>
      <c r="E25" s="254">
        <f>'Sources and Uses Budget'!S25</f>
        <v>0</v>
      </c>
      <c r="F25" s="255"/>
      <c r="G25" s="255"/>
      <c r="H25" s="254">
        <f>'Sources and Uses Budget'!T25</f>
        <v>0</v>
      </c>
      <c r="I25" s="255"/>
      <c r="J25" s="255"/>
      <c r="K25" s="252"/>
    </row>
    <row r="26" spans="1:11" s="253" customFormat="1" ht="13">
      <c r="A26" s="258" t="s">
        <v>1828</v>
      </c>
      <c r="B26" s="254">
        <f>'Sources and Uses Budget'!C26</f>
        <v>0</v>
      </c>
      <c r="C26" s="254">
        <f>SUM(C17:C25)</f>
        <v>0</v>
      </c>
      <c r="D26" s="254">
        <f>SUM(D17:D25)</f>
        <v>0</v>
      </c>
      <c r="E26" s="254">
        <f>'Sources and Uses Budget'!S26</f>
        <v>0</v>
      </c>
      <c r="F26" s="260">
        <f>SUM(F17:F25)</f>
        <v>0</v>
      </c>
      <c r="G26" s="260">
        <f>SUM(G17:G25)</f>
        <v>0</v>
      </c>
      <c r="H26" s="254">
        <f>'Sources and Uses Budget'!T26</f>
        <v>0</v>
      </c>
      <c r="I26" s="260">
        <f>SUM(I17:I25)</f>
        <v>0</v>
      </c>
      <c r="J26" s="260">
        <f>SUM(J17:J25)</f>
        <v>0</v>
      </c>
      <c r="K26" s="252"/>
    </row>
    <row r="27" spans="1:11" s="253" customFormat="1" ht="13">
      <c r="A27" s="258" t="s">
        <v>1829</v>
      </c>
      <c r="B27" s="254">
        <f>'Sources and Uses Budget'!C27</f>
        <v>0</v>
      </c>
      <c r="C27" s="255"/>
      <c r="D27" s="255"/>
      <c r="E27" s="254">
        <f>'Sources and Uses Budget'!S27</f>
        <v>0</v>
      </c>
      <c r="F27" s="255"/>
      <c r="G27" s="255"/>
      <c r="H27" s="254">
        <f>'Sources and Uses Budget'!T27</f>
        <v>0</v>
      </c>
      <c r="I27" s="255"/>
      <c r="J27" s="255"/>
      <c r="K27" s="252"/>
    </row>
    <row r="28" spans="1:11" s="253" customFormat="1" ht="13">
      <c r="A28" s="250" t="s">
        <v>1830</v>
      </c>
      <c r="B28" s="251"/>
      <c r="C28" s="251"/>
      <c r="D28" s="251"/>
      <c r="E28" s="251"/>
      <c r="F28" s="251"/>
      <c r="G28" s="251"/>
      <c r="H28" s="251"/>
      <c r="I28" s="251"/>
      <c r="J28" s="251"/>
      <c r="K28" s="252"/>
    </row>
    <row r="29" spans="1:11" s="253" customFormat="1" ht="13">
      <c r="A29" s="181" t="s">
        <v>1819</v>
      </c>
      <c r="B29" s="254">
        <f>'Sources and Uses Budget'!C29</f>
        <v>1000000</v>
      </c>
      <c r="C29" s="255">
        <v>1000000</v>
      </c>
      <c r="D29" s="255"/>
      <c r="E29" s="254">
        <f>'Sources and Uses Budget'!S29</f>
        <v>1000000</v>
      </c>
      <c r="F29" s="255">
        <v>1000000</v>
      </c>
      <c r="G29" s="255"/>
      <c r="H29" s="254">
        <f>'Sources and Uses Budget'!T29</f>
        <v>0</v>
      </c>
      <c r="I29" s="255"/>
      <c r="J29" s="255"/>
      <c r="K29" s="252"/>
    </row>
    <row r="30" spans="1:11" s="253" customFormat="1" ht="13">
      <c r="A30" s="181" t="s">
        <v>1820</v>
      </c>
      <c r="B30" s="254">
        <f>'Sources and Uses Budget'!C30</f>
        <v>22280624</v>
      </c>
      <c r="C30" s="255">
        <v>22280624</v>
      </c>
      <c r="D30" s="255"/>
      <c r="E30" s="254">
        <f>'Sources and Uses Budget'!S30</f>
        <v>22280624</v>
      </c>
      <c r="F30" s="255">
        <v>22280624</v>
      </c>
      <c r="G30" s="255"/>
      <c r="H30" s="254">
        <f>'Sources and Uses Budget'!T30</f>
        <v>0</v>
      </c>
      <c r="I30" s="255"/>
      <c r="J30" s="255"/>
      <c r="K30" s="252"/>
    </row>
    <row r="31" spans="1:11" s="253" customFormat="1" ht="13">
      <c r="A31" s="181" t="s">
        <v>1821</v>
      </c>
      <c r="B31" s="254">
        <f>'Sources and Uses Budget'!C31</f>
        <v>1712205</v>
      </c>
      <c r="C31" s="255">
        <v>1712205</v>
      </c>
      <c r="D31" s="255"/>
      <c r="E31" s="254">
        <f>'Sources and Uses Budget'!S31</f>
        <v>1712205</v>
      </c>
      <c r="F31" s="255">
        <v>1712205</v>
      </c>
      <c r="G31" s="255"/>
      <c r="H31" s="254">
        <f>'Sources and Uses Budget'!T31</f>
        <v>0</v>
      </c>
      <c r="I31" s="255"/>
      <c r="J31" s="255"/>
      <c r="K31" s="252"/>
    </row>
    <row r="32" spans="1:11" s="253" customFormat="1" ht="13">
      <c r="A32" s="181" t="s">
        <v>1822</v>
      </c>
      <c r="B32" s="254">
        <f>'Sources and Uses Budget'!C32</f>
        <v>1141470</v>
      </c>
      <c r="C32" s="255">
        <v>1141470</v>
      </c>
      <c r="D32" s="255"/>
      <c r="E32" s="254">
        <f>'Sources and Uses Budget'!S32</f>
        <v>1141470</v>
      </c>
      <c r="F32" s="255">
        <v>1141470</v>
      </c>
      <c r="G32" s="255"/>
      <c r="H32" s="254">
        <f>'Sources and Uses Budget'!T32</f>
        <v>0</v>
      </c>
      <c r="I32" s="255"/>
      <c r="J32" s="255"/>
      <c r="K32" s="252"/>
    </row>
    <row r="33" spans="1:11" s="253" customFormat="1" ht="13">
      <c r="A33" s="181" t="s">
        <v>1823</v>
      </c>
      <c r="B33" s="254">
        <f>'Sources and Uses Budget'!C33</f>
        <v>1141470</v>
      </c>
      <c r="C33" s="255">
        <v>1141470</v>
      </c>
      <c r="D33" s="255"/>
      <c r="E33" s="254">
        <f>'Sources and Uses Budget'!S33</f>
        <v>1141470</v>
      </c>
      <c r="F33" s="255">
        <v>1141470</v>
      </c>
      <c r="G33" s="255"/>
      <c r="H33" s="254">
        <f>'Sources and Uses Budget'!T33</f>
        <v>0</v>
      </c>
      <c r="I33" s="255"/>
      <c r="J33" s="255"/>
      <c r="K33" s="252"/>
    </row>
    <row r="34" spans="1:11" s="253" customFormat="1" ht="13">
      <c r="A34" s="181" t="s">
        <v>1824</v>
      </c>
      <c r="B34" s="254">
        <f>'Sources and Uses Budget'!C34</f>
        <v>4756125</v>
      </c>
      <c r="C34" s="255">
        <v>4756125</v>
      </c>
      <c r="D34" s="255"/>
      <c r="E34" s="254">
        <f>'Sources and Uses Budget'!S34</f>
        <v>4756125</v>
      </c>
      <c r="F34" s="255">
        <v>4756125</v>
      </c>
      <c r="G34" s="255"/>
      <c r="H34" s="254">
        <f>'Sources and Uses Budget'!T34</f>
        <v>0</v>
      </c>
      <c r="I34" s="255"/>
      <c r="J34" s="255"/>
      <c r="K34" s="252"/>
    </row>
    <row r="35" spans="1:11" s="253" customFormat="1" ht="13">
      <c r="A35" s="181" t="s">
        <v>1825</v>
      </c>
      <c r="B35" s="254">
        <f>'Sources and Uses Budget'!C35</f>
        <v>325319</v>
      </c>
      <c r="C35" s="255">
        <v>325319</v>
      </c>
      <c r="D35" s="255"/>
      <c r="E35" s="254">
        <f>'Sources and Uses Budget'!S35</f>
        <v>325319</v>
      </c>
      <c r="F35" s="255">
        <v>325319</v>
      </c>
      <c r="G35" s="255"/>
      <c r="H35" s="254">
        <f>'Sources and Uses Budget'!T35</f>
        <v>0</v>
      </c>
      <c r="I35" s="255"/>
      <c r="J35" s="255"/>
      <c r="K35" s="252"/>
    </row>
    <row r="36" spans="1:11" s="253" customFormat="1" ht="13">
      <c r="A36" s="380" t="s">
        <v>1826</v>
      </c>
      <c r="B36" s="254">
        <f>'Sources and Uses Budget'!C36</f>
        <v>0</v>
      </c>
      <c r="C36" s="255"/>
      <c r="D36" s="255"/>
      <c r="E36" s="254">
        <f>'Sources and Uses Budget'!S36</f>
        <v>0</v>
      </c>
      <c r="F36" s="255"/>
      <c r="G36" s="255"/>
      <c r="H36" s="254">
        <f>'Sources and Uses Budget'!T36</f>
        <v>0</v>
      </c>
      <c r="I36" s="255"/>
      <c r="J36" s="255"/>
      <c r="K36" s="252"/>
    </row>
    <row r="37" spans="1:11" s="253" customFormat="1" ht="13">
      <c r="A37" s="257" t="str">
        <f>'Sources and Uses Budget'!$A37</f>
        <v>Other: (Specify)</v>
      </c>
      <c r="B37" s="254">
        <f>'Sources and Uses Budget'!C37</f>
        <v>0</v>
      </c>
      <c r="C37" s="255"/>
      <c r="D37" s="255"/>
      <c r="E37" s="254">
        <f>'Sources and Uses Budget'!S37</f>
        <v>0</v>
      </c>
      <c r="F37" s="255"/>
      <c r="G37" s="255"/>
      <c r="H37" s="254">
        <f>'Sources and Uses Budget'!T37</f>
        <v>0</v>
      </c>
      <c r="I37" s="255"/>
      <c r="J37" s="255"/>
      <c r="K37" s="252"/>
    </row>
    <row r="38" spans="1:11" s="253" customFormat="1" ht="13">
      <c r="A38" s="258" t="s">
        <v>1831</v>
      </c>
      <c r="B38" s="254">
        <f>'Sources and Uses Budget'!C38</f>
        <v>32357213</v>
      </c>
      <c r="C38" s="254">
        <f>SUM(C29:C37)</f>
        <v>32357213</v>
      </c>
      <c r="D38" s="254">
        <f>SUM(D29:D37)</f>
        <v>0</v>
      </c>
      <c r="E38" s="254">
        <f>'Sources and Uses Budget'!S38</f>
        <v>32357213</v>
      </c>
      <c r="F38" s="260">
        <f>SUM(F29:F37)</f>
        <v>32357213</v>
      </c>
      <c r="G38" s="260">
        <f>SUM(G29:G37)</f>
        <v>0</v>
      </c>
      <c r="H38" s="254">
        <f>'Sources and Uses Budget'!T38</f>
        <v>0</v>
      </c>
      <c r="I38" s="260">
        <f>SUM(I29:I37)</f>
        <v>0</v>
      </c>
      <c r="J38" s="260">
        <f>SUM(J29:J37)</f>
        <v>0</v>
      </c>
      <c r="K38" s="252"/>
    </row>
    <row r="39" spans="1:11" s="253" customFormat="1" ht="13">
      <c r="A39" s="250" t="s">
        <v>1832</v>
      </c>
      <c r="B39" s="251"/>
      <c r="C39" s="251"/>
      <c r="D39" s="251"/>
      <c r="E39" s="251"/>
      <c r="F39" s="251"/>
      <c r="G39" s="251"/>
      <c r="H39" s="251"/>
      <c r="I39" s="251"/>
      <c r="J39" s="251"/>
      <c r="K39" s="252"/>
    </row>
    <row r="40" spans="1:11" s="253" customFormat="1" ht="13">
      <c r="A40" s="257" t="s">
        <v>1833</v>
      </c>
      <c r="B40" s="254">
        <f>'Sources and Uses Budget'!C40</f>
        <v>990000</v>
      </c>
      <c r="C40" s="255">
        <v>990000</v>
      </c>
      <c r="D40" s="255"/>
      <c r="E40" s="254">
        <f>'Sources and Uses Budget'!S40</f>
        <v>990000</v>
      </c>
      <c r="F40" s="255">
        <v>990000</v>
      </c>
      <c r="G40" s="255"/>
      <c r="H40" s="254">
        <f>'Sources and Uses Budget'!T40</f>
        <v>0</v>
      </c>
      <c r="I40" s="255"/>
      <c r="J40" s="255"/>
      <c r="K40" s="252"/>
    </row>
    <row r="41" spans="1:11" s="253" customFormat="1" ht="13">
      <c r="A41" s="257" t="s">
        <v>1834</v>
      </c>
      <c r="B41" s="254">
        <f>'Sources and Uses Budget'!C41</f>
        <v>0</v>
      </c>
      <c r="C41" s="255">
        <v>0</v>
      </c>
      <c r="D41" s="255"/>
      <c r="E41" s="254">
        <f>'Sources and Uses Budget'!S41</f>
        <v>0</v>
      </c>
      <c r="F41" s="255">
        <v>0</v>
      </c>
      <c r="G41" s="255"/>
      <c r="H41" s="254">
        <f>'Sources and Uses Budget'!T41</f>
        <v>0</v>
      </c>
      <c r="I41" s="255"/>
      <c r="J41" s="255"/>
      <c r="K41" s="252"/>
    </row>
    <row r="42" spans="1:11" s="253" customFormat="1" ht="13">
      <c r="A42" s="258" t="s">
        <v>1835</v>
      </c>
      <c r="B42" s="254">
        <f>'Sources and Uses Budget'!C42</f>
        <v>990000</v>
      </c>
      <c r="C42" s="254">
        <f>SUM(C39:C41)</f>
        <v>990000</v>
      </c>
      <c r="D42" s="254">
        <f>SUM(D39:D41)</f>
        <v>0</v>
      </c>
      <c r="E42" s="254">
        <f>'Sources and Uses Budget'!S42</f>
        <v>990000</v>
      </c>
      <c r="F42" s="260">
        <f>SUM(F40:F41)</f>
        <v>990000</v>
      </c>
      <c r="G42" s="260">
        <f>SUM(G40:G41)</f>
        <v>0</v>
      </c>
      <c r="H42" s="254">
        <f>'Sources and Uses Budget'!T42</f>
        <v>0</v>
      </c>
      <c r="I42" s="260">
        <f>SUM(I40:I41)</f>
        <v>0</v>
      </c>
      <c r="J42" s="260">
        <f>SUM(J40:J41)</f>
        <v>0</v>
      </c>
      <c r="K42" s="252"/>
    </row>
    <row r="43" spans="1:11" s="253" customFormat="1" ht="13">
      <c r="A43" s="258" t="s">
        <v>1836</v>
      </c>
      <c r="B43" s="254">
        <f>'Sources and Uses Budget'!C43</f>
        <v>650000</v>
      </c>
      <c r="C43" s="255">
        <v>650000</v>
      </c>
      <c r="D43" s="255"/>
      <c r="E43" s="254">
        <f>'Sources and Uses Budget'!S43</f>
        <v>650000</v>
      </c>
      <c r="F43" s="255">
        <f>E43</f>
        <v>650000</v>
      </c>
      <c r="G43" s="255"/>
      <c r="H43" s="254">
        <f>'Sources and Uses Budget'!T43</f>
        <v>0</v>
      </c>
      <c r="I43" s="255"/>
      <c r="J43" s="255"/>
      <c r="K43" s="252"/>
    </row>
    <row r="44" spans="1:11" s="253" customFormat="1" ht="13">
      <c r="A44" s="250" t="s">
        <v>1837</v>
      </c>
      <c r="B44" s="251"/>
      <c r="C44" s="251"/>
      <c r="D44" s="251"/>
      <c r="E44" s="251"/>
      <c r="F44" s="251"/>
      <c r="G44" s="251"/>
      <c r="H44" s="251"/>
      <c r="I44" s="251"/>
      <c r="J44" s="251"/>
      <c r="K44" s="252"/>
    </row>
    <row r="45" spans="1:11" s="253" customFormat="1" ht="13">
      <c r="A45" s="257" t="s">
        <v>1838</v>
      </c>
      <c r="B45" s="254">
        <f>'Sources and Uses Budget'!C45</f>
        <v>2595406</v>
      </c>
      <c r="C45" s="255">
        <v>2595406</v>
      </c>
      <c r="D45" s="255"/>
      <c r="E45" s="254">
        <f>'Sources and Uses Budget'!S45</f>
        <v>1524608.4</v>
      </c>
      <c r="F45" s="255">
        <v>1524608.4</v>
      </c>
      <c r="G45" s="255"/>
      <c r="H45" s="254">
        <f>'Sources and Uses Budget'!T45</f>
        <v>0</v>
      </c>
      <c r="I45" s="255"/>
      <c r="J45" s="255"/>
      <c r="K45" s="252"/>
    </row>
    <row r="46" spans="1:11" s="253" customFormat="1" ht="13">
      <c r="A46" s="257" t="s">
        <v>1839</v>
      </c>
      <c r="B46" s="254">
        <f>'Sources and Uses Budget'!C46</f>
        <v>241139</v>
      </c>
      <c r="C46" s="255">
        <v>241139</v>
      </c>
      <c r="D46" s="255"/>
      <c r="E46" s="254">
        <f>'Sources and Uses Budget'!S46</f>
        <v>180854.39999999999</v>
      </c>
      <c r="F46" s="255">
        <v>180854.39999999999</v>
      </c>
      <c r="G46" s="255"/>
      <c r="H46" s="254">
        <f>'Sources and Uses Budget'!T46</f>
        <v>0</v>
      </c>
      <c r="I46" s="255"/>
      <c r="J46" s="255"/>
      <c r="K46" s="252"/>
    </row>
    <row r="47" spans="1:11" s="253" customFormat="1" ht="12" customHeight="1">
      <c r="A47" s="257" t="s">
        <v>1840</v>
      </c>
      <c r="B47" s="254">
        <f>'Sources and Uses Budget'!C47</f>
        <v>15000</v>
      </c>
      <c r="C47" s="255">
        <v>15000</v>
      </c>
      <c r="D47" s="255"/>
      <c r="E47" s="254">
        <f>'Sources and Uses Budget'!S47</f>
        <v>11250</v>
      </c>
      <c r="F47" s="255">
        <v>11250</v>
      </c>
      <c r="G47" s="255"/>
      <c r="H47" s="254">
        <f>'Sources and Uses Budget'!T47</f>
        <v>0</v>
      </c>
      <c r="I47" s="255"/>
      <c r="J47" s="255"/>
      <c r="K47" s="252"/>
    </row>
    <row r="48" spans="1:11" s="253" customFormat="1" ht="13">
      <c r="A48" s="257" t="s">
        <v>1841</v>
      </c>
      <c r="B48" s="254">
        <f>'Sources and Uses Budget'!C48</f>
        <v>292787</v>
      </c>
      <c r="C48" s="255">
        <v>292787</v>
      </c>
      <c r="D48" s="255"/>
      <c r="E48" s="254">
        <f>'Sources and Uses Budget'!S48</f>
        <v>292787</v>
      </c>
      <c r="F48" s="255">
        <v>292787</v>
      </c>
      <c r="G48" s="255"/>
      <c r="H48" s="254">
        <f>'Sources and Uses Budget'!T48</f>
        <v>0</v>
      </c>
      <c r="I48" s="255"/>
      <c r="J48" s="255"/>
      <c r="K48" s="252"/>
    </row>
    <row r="49" spans="1:11" s="253" customFormat="1" ht="13">
      <c r="A49" s="181" t="s">
        <v>1842</v>
      </c>
      <c r="B49" s="254">
        <f>'Sources and Uses Budget'!C49</f>
        <v>60285</v>
      </c>
      <c r="C49" s="255">
        <v>60285</v>
      </c>
      <c r="D49" s="255"/>
      <c r="E49" s="254">
        <f>'Sources and Uses Budget'!S49</f>
        <v>60285</v>
      </c>
      <c r="F49" s="255">
        <v>60285</v>
      </c>
      <c r="G49" s="255"/>
      <c r="H49" s="254">
        <f>'Sources and Uses Budget'!T49</f>
        <v>0</v>
      </c>
      <c r="I49" s="255"/>
      <c r="J49" s="255"/>
      <c r="K49" s="252"/>
    </row>
    <row r="50" spans="1:11" s="253" customFormat="1" ht="13">
      <c r="A50" s="257" t="s">
        <v>1843</v>
      </c>
      <c r="B50" s="254">
        <f>'Sources and Uses Budget'!C50</f>
        <v>100000</v>
      </c>
      <c r="C50" s="255">
        <v>100000</v>
      </c>
      <c r="D50" s="255"/>
      <c r="E50" s="254">
        <f>'Sources and Uses Budget'!S50</f>
        <v>75000</v>
      </c>
      <c r="F50" s="255">
        <v>75000</v>
      </c>
      <c r="G50" s="255"/>
      <c r="H50" s="254">
        <f>'Sources and Uses Budget'!T50</f>
        <v>0</v>
      </c>
      <c r="I50" s="255"/>
      <c r="J50" s="255"/>
      <c r="K50" s="252"/>
    </row>
    <row r="51" spans="1:11" s="253" customFormat="1" ht="13">
      <c r="A51" s="257" t="s">
        <v>1844</v>
      </c>
      <c r="B51" s="254">
        <f>'Sources and Uses Budget'!C51</f>
        <v>105000</v>
      </c>
      <c r="C51" s="255">
        <v>105000</v>
      </c>
      <c r="D51" s="255"/>
      <c r="E51" s="254">
        <f>'Sources and Uses Budget'!S51</f>
        <v>105000</v>
      </c>
      <c r="F51" s="255">
        <v>105000</v>
      </c>
      <c r="G51" s="255"/>
      <c r="H51" s="254">
        <f>'Sources and Uses Budget'!T51</f>
        <v>0</v>
      </c>
      <c r="I51" s="255"/>
      <c r="J51" s="255"/>
      <c r="K51" s="252"/>
    </row>
    <row r="52" spans="1:11" s="253" customFormat="1" ht="13">
      <c r="A52" s="257" t="s">
        <v>1845</v>
      </c>
      <c r="B52" s="254">
        <f>'Sources and Uses Budget'!C52</f>
        <v>497000</v>
      </c>
      <c r="C52" s="255">
        <v>497000</v>
      </c>
      <c r="D52" s="255"/>
      <c r="E52" s="254">
        <f>'Sources and Uses Budget'!S52</f>
        <v>497000</v>
      </c>
      <c r="F52" s="255">
        <v>497000</v>
      </c>
      <c r="G52" s="255"/>
      <c r="H52" s="254">
        <f>'Sources and Uses Budget'!T52</f>
        <v>0</v>
      </c>
      <c r="I52" s="255"/>
      <c r="J52" s="255"/>
      <c r="K52" s="252"/>
    </row>
    <row r="53" spans="1:11" s="253" customFormat="1" ht="13">
      <c r="A53" s="257" t="str">
        <f>'Sources and Uses Budget'!$A53</f>
        <v>Other: Employment Reporting</v>
      </c>
      <c r="B53" s="254">
        <f>'Sources and Uses Budget'!C53</f>
        <v>25000</v>
      </c>
      <c r="C53" s="255">
        <v>25000</v>
      </c>
      <c r="D53" s="255"/>
      <c r="E53" s="254">
        <f>'Sources and Uses Budget'!S53</f>
        <v>25000</v>
      </c>
      <c r="F53" s="255">
        <v>25000</v>
      </c>
      <c r="G53" s="255"/>
      <c r="H53" s="254">
        <f>'Sources and Uses Budget'!T53</f>
        <v>0</v>
      </c>
      <c r="I53" s="255"/>
      <c r="J53" s="255"/>
      <c r="K53" s="252"/>
    </row>
    <row r="54" spans="1:11" s="262" customFormat="1" ht="13">
      <c r="A54" s="258" t="s">
        <v>1847</v>
      </c>
      <c r="B54" s="254">
        <f>'Sources and Uses Budget'!C54</f>
        <v>3931617</v>
      </c>
      <c r="C54" s="260">
        <f>SUM(C45:C53)</f>
        <v>3931617</v>
      </c>
      <c r="D54" s="260">
        <f>SUM(D45:D53)</f>
        <v>0</v>
      </c>
      <c r="E54" s="254">
        <f>'Sources and Uses Budget'!S54</f>
        <v>2771784.8</v>
      </c>
      <c r="F54" s="260">
        <f>SUM(F45:F53)</f>
        <v>2771784.8</v>
      </c>
      <c r="G54" s="260">
        <f>SUM(G45:G53)</f>
        <v>0</v>
      </c>
      <c r="H54" s="254">
        <f>'Sources and Uses Budget'!T54</f>
        <v>0</v>
      </c>
      <c r="I54" s="260">
        <f>SUM(I45:I53)</f>
        <v>0</v>
      </c>
      <c r="J54" s="260">
        <f>SUM(J45:J53)</f>
        <v>0</v>
      </c>
      <c r="K54" s="261"/>
    </row>
    <row r="55" spans="1:11" s="253" customFormat="1" ht="13">
      <c r="A55" s="250" t="s">
        <v>1413</v>
      </c>
      <c r="B55" s="251"/>
      <c r="C55" s="251"/>
      <c r="D55" s="251"/>
      <c r="E55" s="251"/>
      <c r="F55" s="251"/>
      <c r="G55" s="251"/>
      <c r="H55" s="251"/>
      <c r="I55" s="251"/>
      <c r="J55" s="251"/>
      <c r="K55" s="252"/>
    </row>
    <row r="56" spans="1:11" s="253" customFormat="1" ht="13">
      <c r="A56" s="257" t="s">
        <v>1848</v>
      </c>
      <c r="B56" s="254">
        <f>'Sources and Uses Budget'!C56</f>
        <v>0</v>
      </c>
      <c r="C56" s="255"/>
      <c r="D56" s="255"/>
      <c r="E56" s="256"/>
      <c r="F56" s="256"/>
      <c r="G56" s="256"/>
      <c r="H56" s="256"/>
      <c r="I56" s="256"/>
      <c r="J56" s="256"/>
      <c r="K56" s="252"/>
    </row>
    <row r="57" spans="1:11" s="253" customFormat="1" ht="12" customHeight="1">
      <c r="A57" s="257" t="s">
        <v>1840</v>
      </c>
      <c r="B57" s="254">
        <f>'Sources and Uses Budget'!C57</f>
        <v>0</v>
      </c>
      <c r="C57" s="255"/>
      <c r="D57" s="255"/>
      <c r="E57" s="256"/>
      <c r="F57" s="256"/>
      <c r="G57" s="256"/>
      <c r="H57" s="256"/>
      <c r="I57" s="256"/>
      <c r="J57" s="256"/>
      <c r="K57" s="252"/>
    </row>
    <row r="58" spans="1:11" s="253" customFormat="1" ht="13">
      <c r="A58" s="257" t="s">
        <v>1843</v>
      </c>
      <c r="B58" s="254">
        <f>'Sources and Uses Budget'!C58</f>
        <v>10000</v>
      </c>
      <c r="C58" s="255">
        <v>10000</v>
      </c>
      <c r="D58" s="255"/>
      <c r="E58" s="256"/>
      <c r="F58" s="256"/>
      <c r="G58" s="256"/>
      <c r="H58" s="256"/>
      <c r="I58" s="256"/>
      <c r="J58" s="256"/>
      <c r="K58" s="252"/>
    </row>
    <row r="59" spans="1:11" s="253" customFormat="1" ht="13">
      <c r="A59" s="257" t="s">
        <v>1844</v>
      </c>
      <c r="B59" s="254">
        <f>'Sources and Uses Budget'!C59</f>
        <v>0</v>
      </c>
      <c r="C59" s="255"/>
      <c r="D59" s="255"/>
      <c r="E59" s="256"/>
      <c r="F59" s="256"/>
      <c r="G59" s="256"/>
      <c r="H59" s="256"/>
      <c r="I59" s="256"/>
      <c r="J59" s="256"/>
      <c r="K59" s="252"/>
    </row>
    <row r="60" spans="1:11" s="253" customFormat="1" ht="13">
      <c r="A60" s="257" t="s">
        <v>1845</v>
      </c>
      <c r="B60" s="254">
        <f>'Sources and Uses Budget'!C60</f>
        <v>0</v>
      </c>
      <c r="C60" s="255"/>
      <c r="D60" s="255"/>
      <c r="E60" s="256"/>
      <c r="F60" s="256"/>
      <c r="G60" s="256"/>
      <c r="H60" s="256"/>
      <c r="I60" s="256"/>
      <c r="J60" s="256"/>
      <c r="K60" s="252"/>
    </row>
    <row r="61" spans="1:11" s="253" customFormat="1" ht="13">
      <c r="A61" s="257" t="str">
        <f>'Sources and Uses Budget'!$A61</f>
        <v>Other: Legal Fees</v>
      </c>
      <c r="B61" s="254">
        <f>'Sources and Uses Budget'!C61</f>
        <v>15000</v>
      </c>
      <c r="C61" s="255">
        <v>15000</v>
      </c>
      <c r="D61" s="255"/>
      <c r="E61" s="256"/>
      <c r="F61" s="256"/>
      <c r="G61" s="256"/>
      <c r="H61" s="256"/>
      <c r="I61" s="256"/>
      <c r="J61" s="256"/>
      <c r="K61" s="252"/>
    </row>
    <row r="62" spans="1:11" s="253" customFormat="1" ht="13.75" customHeight="1">
      <c r="A62" s="258" t="s">
        <v>1850</v>
      </c>
      <c r="B62" s="254">
        <f>'Sources and Uses Budget'!C62</f>
        <v>25000</v>
      </c>
      <c r="C62" s="254">
        <f>SUM(C56:C61)</f>
        <v>25000</v>
      </c>
      <c r="D62" s="254">
        <f>SUM(D56:D61)</f>
        <v>0</v>
      </c>
      <c r="E62" s="256"/>
      <c r="F62" s="256"/>
      <c r="G62" s="256"/>
      <c r="H62" s="256"/>
      <c r="I62" s="256"/>
      <c r="J62" s="256"/>
      <c r="K62" s="252"/>
    </row>
    <row r="63" spans="1:11" s="253" customFormat="1" ht="13">
      <c r="A63" s="263" t="s">
        <v>1851</v>
      </c>
      <c r="B63" s="254">
        <f>'Sources and Uses Budget'!C63</f>
        <v>43103830</v>
      </c>
      <c r="C63" s="254">
        <f>SUM(C8+C11+C13+C14+C15+C26+C27+C38+C42+C43+C54+C62)</f>
        <v>43103830</v>
      </c>
      <c r="D63" s="254">
        <f>SUM(D8+D11+D13+D14+D15+D26+D27+D38+D42+D43+D54+D62)</f>
        <v>0</v>
      </c>
      <c r="E63" s="254">
        <f>'Sources and Uses Budget'!S63</f>
        <v>37268997.799999997</v>
      </c>
      <c r="F63" s="254">
        <f>SUM(F10+F13+F14+F15+F26+F27+F38+F42+F43+F54)</f>
        <v>37268997.799999997</v>
      </c>
      <c r="G63" s="254">
        <f>SUM(G10+G13+G14+G15+G26+G27+G38+G42+G43+G54)</f>
        <v>0</v>
      </c>
      <c r="H63" s="254">
        <f>'Sources and Uses Budget'!T63</f>
        <v>0</v>
      </c>
      <c r="I63" s="254">
        <f>SUM(I11+I13+I14+I15+I26+I27+I38+I42+I43+I54)</f>
        <v>0</v>
      </c>
      <c r="J63" s="254">
        <f>SUM(J11+J13+J14+J15+J26+J27+J38+J42+J43+J54)</f>
        <v>0</v>
      </c>
      <c r="K63" s="252"/>
    </row>
    <row r="64" spans="1:11" s="253" customFormat="1" ht="26">
      <c r="A64" s="82" t="s">
        <v>1852</v>
      </c>
      <c r="B64" s="251"/>
      <c r="C64" s="251"/>
      <c r="D64" s="251"/>
      <c r="E64" s="251"/>
      <c r="F64" s="251"/>
      <c r="G64" s="251"/>
      <c r="H64" s="251"/>
      <c r="I64" s="251"/>
      <c r="J64" s="251"/>
      <c r="K64" s="252"/>
    </row>
    <row r="65" spans="1:11" s="253" customFormat="1" ht="13">
      <c r="A65" s="181" t="s">
        <v>1853</v>
      </c>
      <c r="B65" s="254">
        <f>'Sources and Uses Budget'!C65</f>
        <v>100000</v>
      </c>
      <c r="C65" s="255">
        <v>100000</v>
      </c>
      <c r="D65" s="255"/>
      <c r="E65" s="254">
        <f>'Sources and Uses Budget'!S65</f>
        <v>100000</v>
      </c>
      <c r="F65" s="255">
        <v>100000</v>
      </c>
      <c r="G65" s="255"/>
      <c r="H65" s="254">
        <f>'Sources and Uses Budget'!T65</f>
        <v>0</v>
      </c>
      <c r="I65" s="255"/>
      <c r="J65" s="255"/>
      <c r="K65" s="252"/>
    </row>
    <row r="66" spans="1:11" s="253" customFormat="1" ht="26">
      <c r="A66" s="181" t="s">
        <v>1854</v>
      </c>
      <c r="B66" s="254">
        <f>'Sources and Uses Budget'!C66</f>
        <v>0</v>
      </c>
      <c r="C66" s="255"/>
      <c r="D66" s="255"/>
      <c r="E66" s="254">
        <f>'Sources and Uses Budget'!S66</f>
        <v>0</v>
      </c>
      <c r="F66" s="255"/>
      <c r="G66" s="255"/>
      <c r="H66" s="254">
        <f>'Sources and Uses Budget'!T66</f>
        <v>0</v>
      </c>
      <c r="I66" s="255"/>
      <c r="J66" s="255"/>
      <c r="K66" s="252"/>
    </row>
    <row r="67" spans="1:11" s="253" customFormat="1" ht="26">
      <c r="A67" s="181" t="s">
        <v>1855</v>
      </c>
      <c r="B67" s="254">
        <f>'Sources and Uses Budget'!C67</f>
        <v>0</v>
      </c>
      <c r="C67" s="255"/>
      <c r="D67" s="255"/>
      <c r="E67" s="254">
        <f>'Sources and Uses Budget'!S67</f>
        <v>0</v>
      </c>
      <c r="F67" s="255"/>
      <c r="G67" s="255"/>
      <c r="H67" s="254">
        <f>'Sources and Uses Budget'!T67</f>
        <v>0</v>
      </c>
      <c r="I67" s="255"/>
      <c r="J67" s="255"/>
      <c r="K67" s="252"/>
    </row>
    <row r="68" spans="1:11" s="253" customFormat="1" ht="13">
      <c r="A68" s="181" t="s">
        <v>1856</v>
      </c>
      <c r="B68" s="254">
        <f>'Sources and Uses Budget'!C68</f>
        <v>0</v>
      </c>
      <c r="C68" s="255"/>
      <c r="D68" s="255"/>
      <c r="E68" s="254">
        <f>'Sources and Uses Budget'!S68</f>
        <v>0</v>
      </c>
      <c r="F68" s="255"/>
      <c r="G68" s="255"/>
      <c r="H68" s="254">
        <f>'Sources and Uses Budget'!T68</f>
        <v>0</v>
      </c>
      <c r="I68" s="255"/>
      <c r="J68" s="255"/>
      <c r="K68" s="252"/>
    </row>
    <row r="69" spans="1:11" s="253" customFormat="1" ht="26">
      <c r="A69" s="257" t="str">
        <f>'Sources and Uses Budget'!$A69</f>
        <v>Other: Lender Legal, Investor Lega, Bond Issuer Legal, MGP Legal</v>
      </c>
      <c r="B69" s="254">
        <f>'Sources and Uses Budget'!C69</f>
        <v>225000</v>
      </c>
      <c r="C69" s="255">
        <v>225000</v>
      </c>
      <c r="D69" s="255"/>
      <c r="E69" s="254">
        <f>'Sources and Uses Budget'!S69</f>
        <v>75000</v>
      </c>
      <c r="F69" s="255">
        <v>75000</v>
      </c>
      <c r="G69" s="255"/>
      <c r="H69" s="254">
        <f>'Sources and Uses Budget'!T69</f>
        <v>0</v>
      </c>
      <c r="I69" s="255"/>
      <c r="J69" s="255"/>
      <c r="K69" s="252"/>
    </row>
    <row r="70" spans="1:11" s="253" customFormat="1" ht="13">
      <c r="A70" s="258" t="s">
        <v>1937</v>
      </c>
      <c r="B70" s="254">
        <f>'Sources and Uses Budget'!C70</f>
        <v>325000</v>
      </c>
      <c r="C70" s="254">
        <f>SUM(C64:C69)</f>
        <v>325000</v>
      </c>
      <c r="D70" s="254">
        <f>SUM(D64:D69)</f>
        <v>0</v>
      </c>
      <c r="E70" s="254">
        <f>'Sources and Uses Budget'!S70</f>
        <v>175000</v>
      </c>
      <c r="F70" s="260">
        <f>SUM(F65:F69)</f>
        <v>175000</v>
      </c>
      <c r="G70" s="260">
        <f>SUM(G65:G69)</f>
        <v>0</v>
      </c>
      <c r="H70" s="254">
        <f>'Sources and Uses Budget'!T70</f>
        <v>0</v>
      </c>
      <c r="I70" s="260">
        <f>SUM(I65:I69)</f>
        <v>0</v>
      </c>
      <c r="J70" s="260">
        <f>SUM(J65:J69)</f>
        <v>0</v>
      </c>
      <c r="K70" s="252"/>
    </row>
    <row r="71" spans="1:11" s="253" customFormat="1" ht="13">
      <c r="A71" s="250" t="s">
        <v>1859</v>
      </c>
      <c r="B71" s="251"/>
      <c r="C71" s="251"/>
      <c r="D71" s="251"/>
      <c r="E71" s="251"/>
      <c r="F71" s="251"/>
      <c r="G71" s="251"/>
      <c r="H71" s="251"/>
      <c r="I71" s="251"/>
      <c r="J71" s="251"/>
      <c r="K71" s="252"/>
    </row>
    <row r="72" spans="1:11" s="253" customFormat="1" ht="13">
      <c r="A72" s="257" t="s">
        <v>1860</v>
      </c>
      <c r="B72" s="254">
        <f>'Sources and Uses Budget'!C72</f>
        <v>0</v>
      </c>
      <c r="C72" s="255"/>
      <c r="D72" s="255"/>
      <c r="E72" s="256"/>
      <c r="F72" s="256"/>
      <c r="G72" s="256"/>
      <c r="H72" s="256"/>
      <c r="I72" s="256"/>
      <c r="J72" s="256"/>
      <c r="K72" s="252"/>
    </row>
    <row r="73" spans="1:11" s="253" customFormat="1" ht="13">
      <c r="A73" s="257" t="s">
        <v>1861</v>
      </c>
      <c r="B73" s="254">
        <f>'Sources and Uses Budget'!C73</f>
        <v>0</v>
      </c>
      <c r="C73" s="255"/>
      <c r="D73" s="255"/>
      <c r="E73" s="256"/>
      <c r="F73" s="256"/>
      <c r="G73" s="256"/>
      <c r="H73" s="256"/>
      <c r="I73" s="256"/>
      <c r="J73" s="256"/>
      <c r="K73" s="252"/>
    </row>
    <row r="74" spans="1:11" s="253" customFormat="1">
      <c r="A74" s="259" t="s">
        <v>1862</v>
      </c>
      <c r="B74" s="254">
        <f>'Sources and Uses Budget'!C74</f>
        <v>0</v>
      </c>
      <c r="C74" s="255"/>
      <c r="D74" s="255"/>
      <c r="E74" s="256"/>
      <c r="F74" s="256"/>
      <c r="G74" s="256"/>
      <c r="H74" s="256"/>
      <c r="I74" s="256"/>
      <c r="J74" s="256"/>
      <c r="K74" s="252"/>
    </row>
    <row r="75" spans="1:11" s="253" customFormat="1" ht="13">
      <c r="A75" s="257" t="s">
        <v>1863</v>
      </c>
      <c r="B75" s="254">
        <f>'Sources and Uses Budget'!C75</f>
        <v>298040</v>
      </c>
      <c r="C75" s="255">
        <f>B75</f>
        <v>298040</v>
      </c>
      <c r="D75" s="255"/>
      <c r="E75" s="256"/>
      <c r="F75" s="256"/>
      <c r="G75" s="256"/>
      <c r="H75" s="256"/>
      <c r="I75" s="256"/>
      <c r="J75" s="256"/>
      <c r="K75" s="252"/>
    </row>
    <row r="76" spans="1:11" s="253" customFormat="1" ht="13">
      <c r="A76" s="257" t="str">
        <f>'Sources and Uses Budget'!$A76</f>
        <v>Other: (Specify)</v>
      </c>
      <c r="B76" s="254">
        <f>'Sources and Uses Budget'!C76</f>
        <v>0</v>
      </c>
      <c r="C76" s="255"/>
      <c r="D76" s="255"/>
      <c r="E76" s="256"/>
      <c r="F76" s="256"/>
      <c r="G76" s="256"/>
      <c r="H76" s="256"/>
      <c r="I76" s="256"/>
      <c r="J76" s="256"/>
      <c r="K76" s="252"/>
    </row>
    <row r="77" spans="1:11" s="253" customFormat="1" ht="13">
      <c r="A77" s="258" t="s">
        <v>1864</v>
      </c>
      <c r="B77" s="254">
        <f>'Sources and Uses Budget'!C77</f>
        <v>298040</v>
      </c>
      <c r="C77" s="254">
        <f>SUM(C72:C76)</f>
        <v>298040</v>
      </c>
      <c r="D77" s="254">
        <f>SUM(D72:D76)</f>
        <v>0</v>
      </c>
      <c r="E77" s="256"/>
      <c r="F77" s="256"/>
      <c r="G77" s="256"/>
      <c r="H77" s="256"/>
      <c r="I77" s="256"/>
      <c r="J77" s="256"/>
      <c r="K77" s="252"/>
    </row>
    <row r="78" spans="1:11" s="253" customFormat="1" ht="13">
      <c r="A78" s="250" t="s">
        <v>1865</v>
      </c>
      <c r="B78" s="251"/>
      <c r="C78" s="251"/>
      <c r="D78" s="251"/>
      <c r="E78" s="251"/>
      <c r="F78" s="251"/>
      <c r="G78" s="251"/>
      <c r="H78" s="251"/>
      <c r="I78" s="251"/>
      <c r="J78" s="251"/>
      <c r="K78" s="252"/>
    </row>
    <row r="79" spans="1:11" s="253" customFormat="1" ht="13">
      <c r="A79" s="257" t="s">
        <v>1866</v>
      </c>
      <c r="B79" s="254">
        <f>'Sources and Uses Budget'!C79</f>
        <v>1662500</v>
      </c>
      <c r="C79" s="255">
        <v>1662500</v>
      </c>
      <c r="D79" s="255"/>
      <c r="E79" s="254">
        <f>'Sources and Uses Budget'!S79</f>
        <v>1662500</v>
      </c>
      <c r="F79" s="255">
        <v>1662500</v>
      </c>
      <c r="G79" s="255"/>
      <c r="H79" s="254">
        <f>'Sources and Uses Budget'!T79</f>
        <v>0</v>
      </c>
      <c r="I79" s="255"/>
      <c r="J79" s="255"/>
      <c r="K79" s="252"/>
    </row>
    <row r="80" spans="1:11" s="253" customFormat="1" ht="13">
      <c r="A80" s="257" t="s">
        <v>1867</v>
      </c>
      <c r="B80" s="254">
        <f>'Sources and Uses Budget'!C80</f>
        <v>381963</v>
      </c>
      <c r="C80" s="255">
        <v>381963</v>
      </c>
      <c r="D80" s="255"/>
      <c r="E80" s="254">
        <f>'Sources and Uses Budget'!S80</f>
        <v>381963</v>
      </c>
      <c r="F80" s="255">
        <v>381963</v>
      </c>
      <c r="G80" s="255"/>
      <c r="H80" s="254">
        <f>'Sources and Uses Budget'!T80</f>
        <v>0</v>
      </c>
      <c r="I80" s="255"/>
      <c r="J80" s="255"/>
      <c r="K80" s="252"/>
    </row>
    <row r="81" spans="1:11" s="253" customFormat="1" ht="13">
      <c r="A81" s="258" t="s">
        <v>1868</v>
      </c>
      <c r="B81" s="254">
        <f>'Sources and Uses Budget'!C81</f>
        <v>2044463</v>
      </c>
      <c r="C81" s="254">
        <f>SUM(C79:C80)</f>
        <v>2044463</v>
      </c>
      <c r="D81" s="254">
        <f>SUM(D79:D80)</f>
        <v>0</v>
      </c>
      <c r="E81" s="254">
        <f>'Sources and Uses Budget'!S81</f>
        <v>2044463</v>
      </c>
      <c r="F81" s="254">
        <f>SUM(F79:F80)</f>
        <v>2044463</v>
      </c>
      <c r="G81" s="254">
        <f>SUM(G79:G80)</f>
        <v>0</v>
      </c>
      <c r="H81" s="254">
        <f>'Sources and Uses Budget'!T81</f>
        <v>0</v>
      </c>
      <c r="I81" s="254">
        <f>SUM(I79:I80)</f>
        <v>0</v>
      </c>
      <c r="J81" s="254">
        <f>SUM(J79:J80)</f>
        <v>0</v>
      </c>
      <c r="K81" s="252"/>
    </row>
    <row r="82" spans="1:11" s="253" customFormat="1" ht="13">
      <c r="A82" s="250" t="s">
        <v>1869</v>
      </c>
      <c r="B82" s="251"/>
      <c r="C82" s="251"/>
      <c r="D82" s="251"/>
      <c r="E82" s="251"/>
      <c r="F82" s="251"/>
      <c r="G82" s="251"/>
      <c r="H82" s="251"/>
      <c r="I82" s="251"/>
      <c r="J82" s="251"/>
      <c r="K82" s="252"/>
    </row>
    <row r="83" spans="1:11" s="253" customFormat="1" ht="13.75" customHeight="1">
      <c r="A83" s="181" t="s">
        <v>1870</v>
      </c>
      <c r="B83" s="254">
        <f>'Sources and Uses Budget'!C83</f>
        <v>72141</v>
      </c>
      <c r="C83" s="255">
        <v>72141</v>
      </c>
      <c r="D83" s="255"/>
      <c r="E83" s="256"/>
      <c r="F83" s="256"/>
      <c r="G83" s="256"/>
      <c r="H83" s="256"/>
      <c r="I83" s="256"/>
      <c r="J83" s="256"/>
      <c r="K83" s="252"/>
    </row>
    <row r="84" spans="1:11" s="253" customFormat="1" ht="13">
      <c r="A84" s="181" t="s">
        <v>1871</v>
      </c>
      <c r="B84" s="254">
        <f>'Sources and Uses Budget'!C84</f>
        <v>50000</v>
      </c>
      <c r="C84" s="255">
        <v>50000</v>
      </c>
      <c r="D84" s="255"/>
      <c r="E84" s="254">
        <f>'Sources and Uses Budget'!S84</f>
        <v>50000</v>
      </c>
      <c r="F84" s="255">
        <v>50000</v>
      </c>
      <c r="G84" s="255"/>
      <c r="H84" s="254">
        <f>'Sources and Uses Budget'!T84</f>
        <v>0</v>
      </c>
      <c r="I84" s="255"/>
      <c r="J84" s="255"/>
      <c r="K84" s="252"/>
    </row>
    <row r="85" spans="1:11" s="253" customFormat="1" ht="13">
      <c r="A85" s="181" t="s">
        <v>1872</v>
      </c>
      <c r="B85" s="254">
        <f>'Sources and Uses Budget'!C85</f>
        <v>2195085</v>
      </c>
      <c r="C85" s="255">
        <f>B85</f>
        <v>2195085</v>
      </c>
      <c r="D85" s="255"/>
      <c r="E85" s="254">
        <f>'Sources and Uses Budget'!S85</f>
        <v>2195085</v>
      </c>
      <c r="F85" s="255">
        <f>E85</f>
        <v>2195085</v>
      </c>
      <c r="G85" s="255"/>
      <c r="H85" s="254">
        <f>'Sources and Uses Budget'!T85</f>
        <v>0</v>
      </c>
      <c r="I85" s="255"/>
      <c r="J85" s="255"/>
      <c r="K85" s="252"/>
    </row>
    <row r="86" spans="1:11" s="253" customFormat="1" ht="13">
      <c r="A86" s="181" t="s">
        <v>1873</v>
      </c>
      <c r="B86" s="254">
        <f>'Sources and Uses Budget'!C86</f>
        <v>79915</v>
      </c>
      <c r="C86" s="255">
        <f>B86</f>
        <v>79915</v>
      </c>
      <c r="D86" s="255"/>
      <c r="E86" s="254">
        <f>'Sources and Uses Budget'!S86</f>
        <v>79915</v>
      </c>
      <c r="F86" s="255">
        <f>E86</f>
        <v>79915</v>
      </c>
      <c r="G86" s="255"/>
      <c r="H86" s="254">
        <f>'Sources and Uses Budget'!T86</f>
        <v>0</v>
      </c>
      <c r="I86" s="255"/>
      <c r="J86" s="255"/>
      <c r="K86" s="252"/>
    </row>
    <row r="87" spans="1:11" s="253" customFormat="1" ht="13">
      <c r="A87" s="181" t="s">
        <v>1874</v>
      </c>
      <c r="B87" s="254">
        <f>'Sources and Uses Budget'!C87</f>
        <v>0</v>
      </c>
      <c r="C87" s="255"/>
      <c r="D87" s="255"/>
      <c r="E87" s="254">
        <f>'Sources and Uses Budget'!S87</f>
        <v>0</v>
      </c>
      <c r="F87" s="255"/>
      <c r="G87" s="255"/>
      <c r="H87" s="254">
        <f>'Sources and Uses Budget'!T87</f>
        <v>0</v>
      </c>
      <c r="I87" s="255"/>
      <c r="J87" s="255"/>
      <c r="K87" s="252"/>
    </row>
    <row r="88" spans="1:11" s="253" customFormat="1" ht="13">
      <c r="A88" s="181" t="s">
        <v>1875</v>
      </c>
      <c r="B88" s="254">
        <f>'Sources and Uses Budget'!C88</f>
        <v>100000</v>
      </c>
      <c r="C88" s="255">
        <v>100000</v>
      </c>
      <c r="D88" s="255"/>
      <c r="E88" s="256"/>
      <c r="F88" s="256"/>
      <c r="G88" s="256"/>
      <c r="H88" s="256"/>
      <c r="I88" s="256"/>
      <c r="J88" s="256"/>
      <c r="K88" s="252"/>
    </row>
    <row r="89" spans="1:11" s="253" customFormat="1" ht="13">
      <c r="A89" s="181" t="s">
        <v>1876</v>
      </c>
      <c r="B89" s="254">
        <f>'Sources and Uses Budget'!C89</f>
        <v>75000</v>
      </c>
      <c r="C89" s="255">
        <v>75000</v>
      </c>
      <c r="D89" s="255"/>
      <c r="E89" s="254">
        <f>'Sources and Uses Budget'!S89</f>
        <v>75000</v>
      </c>
      <c r="F89" s="255">
        <v>75000</v>
      </c>
      <c r="G89" s="255"/>
      <c r="H89" s="254">
        <f>'Sources and Uses Budget'!T89</f>
        <v>0</v>
      </c>
      <c r="I89" s="255"/>
      <c r="J89" s="255"/>
      <c r="K89" s="252"/>
    </row>
    <row r="90" spans="1:11" s="253" customFormat="1" ht="13">
      <c r="A90" s="181" t="s">
        <v>1877</v>
      </c>
      <c r="B90" s="254">
        <f>'Sources and Uses Budget'!C90</f>
        <v>15000</v>
      </c>
      <c r="C90" s="255">
        <v>15000</v>
      </c>
      <c r="D90" s="255"/>
      <c r="E90" s="254">
        <f>'Sources and Uses Budget'!S90</f>
        <v>15000</v>
      </c>
      <c r="F90" s="255">
        <v>15000</v>
      </c>
      <c r="G90" s="255"/>
      <c r="H90" s="254">
        <f>'Sources and Uses Budget'!T90</f>
        <v>0</v>
      </c>
      <c r="I90" s="255"/>
      <c r="J90" s="255"/>
      <c r="K90" s="252"/>
    </row>
    <row r="91" spans="1:11" s="253" customFormat="1" ht="13">
      <c r="A91" s="380" t="s">
        <v>1878</v>
      </c>
      <c r="B91" s="254">
        <f>'Sources and Uses Budget'!C91</f>
        <v>50000</v>
      </c>
      <c r="C91" s="255">
        <v>50000</v>
      </c>
      <c r="D91" s="255"/>
      <c r="E91" s="254">
        <f>'Sources and Uses Budget'!S91</f>
        <v>50000</v>
      </c>
      <c r="F91" s="255">
        <v>50000</v>
      </c>
      <c r="G91" s="255"/>
      <c r="H91" s="254">
        <f>'Sources and Uses Budget'!T91</f>
        <v>0</v>
      </c>
      <c r="I91" s="255"/>
      <c r="J91" s="255"/>
      <c r="K91" s="252"/>
    </row>
    <row r="92" spans="1:11" s="253" customFormat="1" ht="13">
      <c r="A92" s="380" t="s">
        <v>1879</v>
      </c>
      <c r="B92" s="254">
        <f>'Sources and Uses Budget'!C92</f>
        <v>20000</v>
      </c>
      <c r="C92" s="255">
        <v>20000</v>
      </c>
      <c r="D92" s="255"/>
      <c r="E92" s="254">
        <f>'Sources and Uses Budget'!S92</f>
        <v>20000</v>
      </c>
      <c r="F92" s="255">
        <v>20000</v>
      </c>
      <c r="G92" s="255"/>
      <c r="H92" s="254">
        <f>'Sources and Uses Budget'!T92</f>
        <v>0</v>
      </c>
      <c r="I92" s="255"/>
      <c r="J92" s="255"/>
      <c r="K92" s="252"/>
    </row>
    <row r="93" spans="1:11" s="253" customFormat="1" ht="13">
      <c r="A93" s="257" t="str">
        <f>'Sources and Uses Budget'!$A93</f>
        <v>Prevaling Wage Monitoring</v>
      </c>
      <c r="B93" s="254">
        <f>'Sources and Uses Budget'!C93</f>
        <v>42000</v>
      </c>
      <c r="C93" s="255">
        <v>42000</v>
      </c>
      <c r="D93" s="255"/>
      <c r="E93" s="254">
        <f>'Sources and Uses Budget'!S93</f>
        <v>42000</v>
      </c>
      <c r="F93" s="255">
        <v>42000</v>
      </c>
      <c r="G93" s="255"/>
      <c r="H93" s="254">
        <f>'Sources and Uses Budget'!T93</f>
        <v>0</v>
      </c>
      <c r="I93" s="255"/>
      <c r="J93" s="255"/>
      <c r="K93" s="252"/>
    </row>
    <row r="94" spans="1:11" s="253" customFormat="1" ht="13">
      <c r="A94" s="257" t="str">
        <f>'Sources and Uses Budget'!$A94</f>
        <v>Relocation Cost</v>
      </c>
      <c r="B94" s="254">
        <f>'Sources and Uses Budget'!C94</f>
        <v>47000</v>
      </c>
      <c r="C94" s="255">
        <v>47000</v>
      </c>
      <c r="D94" s="255"/>
      <c r="E94" s="254">
        <f>'Sources and Uses Budget'!S94</f>
        <v>0</v>
      </c>
      <c r="F94" s="255"/>
      <c r="G94" s="255"/>
      <c r="H94" s="254">
        <f>'Sources and Uses Budget'!T94</f>
        <v>0</v>
      </c>
      <c r="I94" s="255"/>
      <c r="J94" s="255"/>
      <c r="K94" s="252"/>
    </row>
    <row r="95" spans="1:11" s="253" customFormat="1" ht="26">
      <c r="A95" s="257" t="str">
        <f>'Sources and Uses Budget'!$A95</f>
        <v>CDLAC Fee, Misc Costs, Pre-devp Loan Interest</v>
      </c>
      <c r="B95" s="254">
        <f>'Sources and Uses Budget'!C95</f>
        <v>360089</v>
      </c>
      <c r="C95" s="255">
        <v>360089</v>
      </c>
      <c r="D95" s="255"/>
      <c r="E95" s="254">
        <f>'Sources and Uses Budget'!S95</f>
        <v>360089</v>
      </c>
      <c r="F95" s="255">
        <v>360089</v>
      </c>
      <c r="G95" s="255"/>
      <c r="H95" s="254">
        <f>'Sources and Uses Budget'!T95</f>
        <v>0</v>
      </c>
      <c r="I95" s="255"/>
      <c r="J95" s="255"/>
      <c r="K95" s="252"/>
    </row>
    <row r="96" spans="1:11" s="253" customFormat="1" ht="13">
      <c r="A96" s="258" t="s">
        <v>1883</v>
      </c>
      <c r="B96" s="254">
        <f>'Sources and Uses Budget'!C96</f>
        <v>3106230</v>
      </c>
      <c r="C96" s="254">
        <f>SUM(C83:C95)</f>
        <v>3106230</v>
      </c>
      <c r="D96" s="254">
        <f>SUM(D83:D95)</f>
        <v>0</v>
      </c>
      <c r="E96" s="254">
        <f>'Sources and Uses Budget'!S96</f>
        <v>2887089</v>
      </c>
      <c r="F96" s="260">
        <f>SUM(F84:F87,F89:F95)</f>
        <v>2887089</v>
      </c>
      <c r="G96" s="260">
        <f>SUM(G84:G87,G89:G95)</f>
        <v>0</v>
      </c>
      <c r="H96" s="254">
        <f>'Sources and Uses Budget'!T96</f>
        <v>0</v>
      </c>
      <c r="I96" s="254">
        <f>SUM(I84:I87,I89:I95)</f>
        <v>0</v>
      </c>
      <c r="J96" s="254">
        <f>SUM(J84:J87,J89:J95)</f>
        <v>0</v>
      </c>
      <c r="K96" s="252"/>
    </row>
    <row r="97" spans="1:11" s="253" customFormat="1" ht="13">
      <c r="A97" s="258" t="s">
        <v>1938</v>
      </c>
      <c r="B97" s="254">
        <f>'Sources and Uses Budget'!C97</f>
        <v>48877563</v>
      </c>
      <c r="C97" s="254">
        <f>SUM(C63+C70+C77+C81+C96)</f>
        <v>48877563</v>
      </c>
      <c r="D97" s="254">
        <f>SUM(D63+D70+D77+D81+D96)</f>
        <v>0</v>
      </c>
      <c r="E97" s="254">
        <f>'Sources and Uses Budget'!S97</f>
        <v>42375549.799999997</v>
      </c>
      <c r="F97" s="260">
        <f>SUM(+F63+F70+F81+F96)</f>
        <v>42375549.799999997</v>
      </c>
      <c r="G97" s="260">
        <f>SUM(+G63+G70+G81+G96)</f>
        <v>0</v>
      </c>
      <c r="H97" s="254">
        <f>'Sources and Uses Budget'!T97</f>
        <v>0</v>
      </c>
      <c r="I97" s="260">
        <f>SUM(I63+I70+I81+I96)</f>
        <v>0</v>
      </c>
      <c r="J97" s="260">
        <f>SUM(J63+J70+J81+J96)</f>
        <v>0</v>
      </c>
      <c r="K97" s="252"/>
    </row>
    <row r="98" spans="1:11" s="253" customFormat="1" ht="13">
      <c r="A98" s="250" t="s">
        <v>1885</v>
      </c>
      <c r="B98" s="251"/>
      <c r="C98" s="251"/>
      <c r="D98" s="251"/>
      <c r="E98" s="251"/>
      <c r="F98" s="251"/>
      <c r="G98" s="251"/>
      <c r="H98" s="251"/>
      <c r="I98" s="251"/>
      <c r="J98" s="251"/>
      <c r="K98" s="252"/>
    </row>
    <row r="99" spans="1:11" s="253" customFormat="1" ht="13">
      <c r="A99" s="181" t="s">
        <v>1886</v>
      </c>
      <c r="B99" s="254">
        <f>'Sources and Uses Budget'!C99</f>
        <v>6356332</v>
      </c>
      <c r="C99" s="255">
        <v>6356332</v>
      </c>
      <c r="D99" s="255"/>
      <c r="E99" s="254">
        <f>'Sources and Uses Budget'!S99</f>
        <v>6356332</v>
      </c>
      <c r="F99" s="255">
        <v>6356332</v>
      </c>
      <c r="G99" s="255"/>
      <c r="H99" s="254">
        <f>'Sources and Uses Budget'!T99</f>
        <v>0</v>
      </c>
      <c r="I99" s="255"/>
      <c r="J99" s="255"/>
      <c r="K99" s="252"/>
    </row>
    <row r="100" spans="1:11" s="253" customFormat="1" ht="13">
      <c r="A100" s="181" t="s">
        <v>1887</v>
      </c>
      <c r="B100" s="254">
        <f>'Sources and Uses Budget'!C100</f>
        <v>0</v>
      </c>
      <c r="C100" s="255"/>
      <c r="D100" s="255"/>
      <c r="E100" s="254">
        <f>'Sources and Uses Budget'!S100</f>
        <v>0</v>
      </c>
      <c r="F100" s="255"/>
      <c r="G100" s="255"/>
      <c r="H100" s="254">
        <f>'Sources and Uses Budget'!T100</f>
        <v>0</v>
      </c>
      <c r="I100" s="255"/>
      <c r="J100" s="255"/>
      <c r="K100" s="252"/>
    </row>
    <row r="101" spans="1:11" s="253" customFormat="1" ht="13">
      <c r="A101" s="181" t="s">
        <v>1888</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1889</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ht="13">
      <c r="A103" s="257" t="str">
        <f>'Sources and Uses Budget'!$A103</f>
        <v>Other: (Specify)</v>
      </c>
      <c r="B103" s="254">
        <f>'Sources and Uses Budget'!C103</f>
        <v>0</v>
      </c>
      <c r="C103" s="255"/>
      <c r="D103" s="255"/>
      <c r="E103" s="254">
        <f>'Sources and Uses Budget'!S103</f>
        <v>0</v>
      </c>
      <c r="F103" s="255"/>
      <c r="G103" s="255"/>
      <c r="H103" s="254">
        <f>'Sources and Uses Budget'!T103</f>
        <v>0</v>
      </c>
      <c r="I103" s="255"/>
      <c r="J103" s="255"/>
      <c r="K103" s="252"/>
    </row>
    <row r="104" spans="1:11" s="253" customFormat="1" ht="13">
      <c r="A104" s="258" t="s">
        <v>1890</v>
      </c>
      <c r="B104" s="254">
        <f>'Sources and Uses Budget'!C104</f>
        <v>6356332</v>
      </c>
      <c r="C104" s="254">
        <f>SUM(C99:C103)</f>
        <v>6356332</v>
      </c>
      <c r="D104" s="254">
        <f>SUM(D99:D103)</f>
        <v>0</v>
      </c>
      <c r="E104" s="254">
        <f>'Sources and Uses Budget'!S104</f>
        <v>6356332</v>
      </c>
      <c r="F104" s="260">
        <f>SUM(F99:F103)</f>
        <v>6356332</v>
      </c>
      <c r="G104" s="260">
        <f>SUM(G99:G103)</f>
        <v>0</v>
      </c>
      <c r="H104" s="254">
        <f>'Sources and Uses Budget'!T104</f>
        <v>0</v>
      </c>
      <c r="I104" s="260">
        <f>SUM(I99:I103)</f>
        <v>0</v>
      </c>
      <c r="J104" s="260">
        <f>SUM(J99:J103)</f>
        <v>0</v>
      </c>
      <c r="K104" s="252"/>
    </row>
    <row r="105" spans="1:11" s="253" customFormat="1" ht="13">
      <c r="A105" s="258" t="s">
        <v>1939</v>
      </c>
      <c r="B105" s="254">
        <f>'Sources and Uses Budget'!C105</f>
        <v>55233895</v>
      </c>
      <c r="C105" s="260">
        <f>SUM(C97+C104)</f>
        <v>55233895</v>
      </c>
      <c r="D105" s="260">
        <f>SUM(D97+D104)</f>
        <v>0</v>
      </c>
      <c r="E105" s="254">
        <f>'Sources and Uses Budget'!S105</f>
        <v>48731881.799999997</v>
      </c>
      <c r="F105" s="260">
        <f>F97+F104</f>
        <v>48731881.799999997</v>
      </c>
      <c r="G105" s="260">
        <f>G97+G104</f>
        <v>0</v>
      </c>
      <c r="H105" s="254">
        <f>'Sources and Uses Budget'!T105</f>
        <v>0</v>
      </c>
      <c r="I105" s="260">
        <f>I97+I104</f>
        <v>0</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1940</v>
      </c>
      <c r="E107" s="254">
        <f>'Sources and Uses Budget'!S107</f>
        <v>48731881.799999997</v>
      </c>
      <c r="F107" s="260">
        <f>F105+F106</f>
        <v>48731881.799999997</v>
      </c>
      <c r="G107" s="260">
        <f>G105+G106</f>
        <v>0</v>
      </c>
      <c r="H107" s="254">
        <f>'Sources and Uses Budget'!T107</f>
        <v>0</v>
      </c>
      <c r="I107" s="260">
        <f>I105+I106</f>
        <v>0</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3">
      <c r="A111" s="1121"/>
      <c r="B111" s="268"/>
      <c r="C111" s="268"/>
      <c r="D111" s="268"/>
      <c r="J111" s="269"/>
      <c r="K111" s="252"/>
    </row>
    <row r="112" spans="1:11" s="253" customFormat="1" ht="13">
      <c r="A112" s="1121"/>
      <c r="B112" s="268"/>
      <c r="C112" s="268"/>
      <c r="D112" s="268"/>
      <c r="J112" s="269"/>
      <c r="K112" s="252"/>
    </row>
    <row r="113" spans="1:11" s="253" customFormat="1" ht="15">
      <c r="A113" s="270"/>
      <c r="B113" s="268"/>
      <c r="C113" s="268"/>
      <c r="D113" s="268"/>
      <c r="J113" s="269"/>
      <c r="K113" s="252"/>
    </row>
    <row r="114" spans="1:11" s="253" customFormat="1" ht="13">
      <c r="A114" s="1121"/>
      <c r="J114" s="269"/>
      <c r="K114" s="252"/>
    </row>
    <row r="115" spans="1:11" s="253" customFormat="1" ht="15">
      <c r="A115" s="270"/>
      <c r="J115" s="269"/>
      <c r="K115" s="252"/>
    </row>
    <row r="116" spans="1:11" s="253" customFormat="1" ht="15">
      <c r="A116" s="270"/>
      <c r="J116" s="269"/>
      <c r="K116" s="252"/>
    </row>
    <row r="117" spans="1:11" s="253" customFormat="1">
      <c r="B117" s="268"/>
      <c r="C117" s="268"/>
      <c r="D117" s="268"/>
      <c r="J117" s="269"/>
      <c r="K117" s="252"/>
    </row>
    <row r="118" spans="1:11" s="253" customFormat="1">
      <c r="J118" s="269"/>
      <c r="K118" s="252"/>
    </row>
    <row r="119" spans="1:11" s="253" customFormat="1">
      <c r="J119" s="269"/>
      <c r="K119" s="252"/>
    </row>
    <row r="120" spans="1:11" s="253" customFormat="1">
      <c r="J120" s="269"/>
      <c r="K120" s="252"/>
    </row>
    <row r="121" spans="1:11" s="253" customFormat="1" ht="15">
      <c r="A121" s="270"/>
      <c r="J121" s="269"/>
      <c r="K121" s="252"/>
    </row>
    <row r="122" spans="1:11" s="272" customFormat="1" ht="16">
      <c r="A122" s="271"/>
      <c r="J122" s="273"/>
      <c r="K122" s="274"/>
    </row>
    <row r="123" spans="1:11" s="253" customFormat="1">
      <c r="A123" s="275"/>
      <c r="J123" s="269"/>
      <c r="K123" s="252"/>
    </row>
    <row r="124" spans="1:11" s="253" customFormat="1">
      <c r="B124" s="276"/>
      <c r="D124" s="1802"/>
      <c r="E124" s="1297"/>
      <c r="F124" s="1297"/>
      <c r="G124" s="1297"/>
      <c r="H124" s="1297"/>
      <c r="I124" s="1297"/>
      <c r="J124" s="269"/>
      <c r="K124" s="252"/>
    </row>
    <row r="125" spans="1:11" s="253" customFormat="1" ht="13">
      <c r="A125" s="1131"/>
      <c r="B125" s="276"/>
      <c r="C125" s="1131"/>
      <c r="D125" s="1297"/>
      <c r="E125" s="1297"/>
      <c r="F125" s="1297"/>
      <c r="G125" s="1297"/>
      <c r="H125" s="1297"/>
      <c r="I125" s="1297"/>
      <c r="J125" s="269"/>
      <c r="K125" s="252"/>
    </row>
    <row r="126" spans="1:11" s="253" customFormat="1" ht="13">
      <c r="A126" s="1131"/>
      <c r="B126" s="276"/>
      <c r="C126" s="1131"/>
      <c r="D126" s="1297"/>
      <c r="E126" s="1297"/>
      <c r="F126" s="1297"/>
      <c r="G126" s="1297"/>
      <c r="H126" s="1297"/>
      <c r="I126" s="1297"/>
      <c r="J126" s="269"/>
      <c r="K126" s="252"/>
    </row>
    <row r="127" spans="1:11" s="253" customFormat="1" ht="13">
      <c r="A127" s="1131"/>
      <c r="B127" s="276"/>
      <c r="C127" s="1131"/>
      <c r="D127" s="277"/>
      <c r="E127" s="1131"/>
      <c r="F127" s="1131"/>
      <c r="G127" s="1131"/>
      <c r="J127" s="269"/>
      <c r="K127" s="252"/>
    </row>
    <row r="128" spans="1:11" s="253" customFormat="1" ht="13">
      <c r="A128" s="1131"/>
      <c r="B128" s="276"/>
      <c r="C128" s="1131"/>
      <c r="D128" s="277"/>
      <c r="E128" s="1131"/>
      <c r="F128" s="1131"/>
      <c r="G128" s="1131"/>
      <c r="J128" s="269"/>
      <c r="K128" s="252"/>
    </row>
    <row r="129" spans="1:11" s="253" customFormat="1" ht="13">
      <c r="A129" s="1131"/>
      <c r="B129" s="276"/>
      <c r="C129" s="1131"/>
      <c r="D129" s="1131"/>
      <c r="E129" s="1131"/>
      <c r="F129" s="1131"/>
      <c r="G129" s="1131"/>
      <c r="J129" s="269"/>
      <c r="K129" s="252"/>
    </row>
    <row r="130" spans="1:11" s="253" customFormat="1" ht="13">
      <c r="A130" s="1131"/>
      <c r="B130" s="276"/>
      <c r="C130" s="1131"/>
      <c r="D130" s="1131"/>
      <c r="E130" s="1131"/>
      <c r="F130" s="1131"/>
      <c r="G130" s="1131"/>
      <c r="J130" s="269"/>
      <c r="K130" s="252"/>
    </row>
    <row r="131" spans="1:11" s="253" customFormat="1" ht="13">
      <c r="A131" s="1131"/>
      <c r="B131" s="278"/>
      <c r="C131" s="1131"/>
      <c r="D131" s="1131"/>
      <c r="E131" s="1131"/>
      <c r="F131" s="1131"/>
      <c r="G131" s="1131"/>
      <c r="J131" s="269"/>
      <c r="K131" s="252"/>
    </row>
    <row r="132" spans="1:11" s="253" customFormat="1" ht="13">
      <c r="A132" s="279"/>
      <c r="B132" s="280"/>
      <c r="C132" s="1131"/>
      <c r="D132" s="281"/>
      <c r="E132" s="1131"/>
      <c r="F132" s="1131"/>
      <c r="G132" s="1131"/>
      <c r="J132" s="269"/>
      <c r="K132" s="252"/>
    </row>
    <row r="133" spans="1:11" s="253" customFormat="1" ht="13">
      <c r="A133" s="1182"/>
      <c r="B133" s="1131"/>
      <c r="C133" s="1131"/>
      <c r="D133" s="1131"/>
      <c r="E133" s="1131"/>
      <c r="F133" s="1131"/>
      <c r="G133" s="1131"/>
      <c r="J133" s="269"/>
      <c r="K133" s="252"/>
    </row>
    <row r="134" spans="1:11" s="253" customFormat="1" ht="13">
      <c r="A134" s="1182"/>
      <c r="B134" s="1131"/>
      <c r="C134" s="1131"/>
      <c r="D134" s="1131"/>
      <c r="E134" s="1131"/>
      <c r="F134" s="1131"/>
      <c r="G134" s="1131"/>
      <c r="J134" s="269"/>
      <c r="K134" s="252"/>
    </row>
    <row r="135" spans="1:11" s="253" customFormat="1" ht="13">
      <c r="A135" s="1113"/>
      <c r="B135" s="1131"/>
      <c r="C135" s="1131"/>
      <c r="D135" s="1131"/>
      <c r="E135" s="1131"/>
      <c r="F135" s="1131"/>
      <c r="G135" s="1131"/>
      <c r="J135" s="269"/>
      <c r="K135" s="252"/>
    </row>
    <row r="136" spans="1:11" s="253" customFormat="1" ht="13">
      <c r="A136" s="1121"/>
      <c r="B136" s="1131"/>
      <c r="C136" s="1131"/>
      <c r="D136" s="1131"/>
      <c r="E136" s="1131"/>
      <c r="F136" s="1131"/>
      <c r="G136" s="1131"/>
      <c r="J136" s="269"/>
      <c r="K136" s="252"/>
    </row>
    <row r="137" spans="1:11" ht="13">
      <c r="A137" s="1182"/>
      <c r="B137" s="1131"/>
      <c r="C137" s="1131"/>
      <c r="D137" s="1131"/>
      <c r="E137" s="1131"/>
      <c r="F137" s="1131"/>
      <c r="G137" s="1131"/>
    </row>
    <row r="138" spans="1:11" ht="12" customHeight="1">
      <c r="A138" s="1182"/>
      <c r="B138" s="1131"/>
      <c r="C138" s="1131"/>
      <c r="D138" s="1131"/>
      <c r="E138" s="1131"/>
      <c r="F138" s="1131"/>
      <c r="G138" s="1131"/>
    </row>
    <row r="139" spans="1:11" ht="12" customHeight="1">
      <c r="A139" s="1803"/>
      <c r="B139" s="1297"/>
      <c r="C139" s="1297"/>
      <c r="D139" s="249"/>
      <c r="E139" s="1131"/>
      <c r="F139" s="1131"/>
      <c r="G139" s="1131"/>
    </row>
    <row r="140" spans="1:11" ht="12" customHeight="1">
      <c r="A140" s="1236"/>
      <c r="B140" s="1236"/>
      <c r="C140" s="1236"/>
      <c r="D140" s="249"/>
      <c r="E140" s="1131"/>
      <c r="F140" s="1131"/>
      <c r="G140" s="1131"/>
    </row>
    <row r="141" spans="1:11" ht="12" customHeight="1">
      <c r="A141" s="1182"/>
      <c r="B141" s="1131"/>
      <c r="C141" s="1131"/>
      <c r="D141" s="249"/>
      <c r="E141" s="1131"/>
      <c r="F141" s="1131"/>
      <c r="G141" s="1131"/>
      <c r="H141" s="283"/>
      <c r="I141" s="283"/>
    </row>
    <row r="142" spans="1:11" ht="12" customHeight="1">
      <c r="A142" s="285"/>
      <c r="B142" s="249"/>
      <c r="C142" s="249"/>
      <c r="D142" s="249"/>
      <c r="E142" s="1131"/>
      <c r="F142" s="1131"/>
      <c r="G142" s="1131"/>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88" workbookViewId="0">
      <selection activeCell="O740" sqref="O740"/>
    </sheetView>
  </sheetViews>
  <sheetFormatPr baseColWidth="10" defaultColWidth="0" defaultRowHeight="13" zeroHeight="1"/>
  <cols>
    <col min="1" max="3" width="2.5" style="12" customWidth="1"/>
    <col min="4" max="4" width="3.1640625" style="12" customWidth="1"/>
    <col min="5" max="5" width="3.5" style="12" customWidth="1"/>
    <col min="6" max="6" width="2.83203125" style="12" customWidth="1"/>
    <col min="7" max="14" width="2.5" style="12" customWidth="1"/>
    <col min="15" max="15" width="2.83203125" style="12" customWidth="1"/>
    <col min="16" max="16" width="2.5" style="12" customWidth="1"/>
    <col min="17" max="17" width="3.83203125" style="12" customWidth="1"/>
    <col min="18" max="18" width="4.5" style="12" customWidth="1"/>
    <col min="19" max="19" width="3.5" style="12" customWidth="1"/>
    <col min="20" max="32" width="2.5" style="12" customWidth="1"/>
    <col min="33" max="33" width="3.5" style="12" customWidth="1"/>
    <col min="34" max="36" width="2.5" style="12" customWidth="1"/>
    <col min="37" max="37" width="5.5" style="12" customWidth="1"/>
    <col min="38" max="38" width="2.5" style="12" customWidth="1"/>
    <col min="39" max="39" width="3.5" style="12" customWidth="1"/>
    <col min="40" max="40" width="5.5" style="403" customWidth="1"/>
    <col min="41" max="41" width="5.5" style="24" hidden="1" customWidth="1"/>
    <col min="42" max="45" width="5.5" style="12" hidden="1" customWidth="1"/>
    <col min="46" max="46" width="10.83203125" style="12" hidden="1" customWidth="1"/>
    <col min="47" max="48" width="5.5" style="12" hidden="1" customWidth="1"/>
    <col min="49" max="49" width="8.5" style="12" hidden="1" customWidth="1"/>
    <col min="50" max="50" width="7.5" style="12" hidden="1" customWidth="1"/>
    <col min="51" max="55" width="5.5" style="12" hidden="1" customWidth="1"/>
    <col min="56" max="60" width="5.5" style="26" hidden="1" customWidth="1"/>
    <col min="61" max="81" width="5.5" style="12" hidden="1" customWidth="1"/>
    <col min="82" max="16384" width="9.1640625" style="12" hidden="1"/>
  </cols>
  <sheetData>
    <row r="1" spans="1:42" ht="15.75" customHeight="1">
      <c r="A1" s="2036" t="s">
        <v>1941</v>
      </c>
      <c r="B1" s="2036"/>
      <c r="C1" s="2036"/>
      <c r="D1" s="2036"/>
      <c r="E1" s="2036"/>
      <c r="F1" s="2036"/>
      <c r="G1" s="2036"/>
      <c r="H1" s="2036"/>
      <c r="I1" s="2036"/>
      <c r="J1" s="2036"/>
      <c r="K1" s="2036"/>
      <c r="L1" s="2036"/>
      <c r="M1" s="2036"/>
      <c r="N1" s="2036"/>
      <c r="O1" s="2036"/>
      <c r="P1" s="2036"/>
      <c r="Q1" s="2036"/>
      <c r="R1" s="2036"/>
      <c r="S1" s="2036"/>
      <c r="T1" s="2036"/>
      <c r="U1" s="2036"/>
      <c r="V1" s="2036"/>
      <c r="W1" s="2036"/>
      <c r="X1" s="2036"/>
      <c r="Y1" s="2036"/>
      <c r="Z1" s="2036"/>
      <c r="AA1" s="2036"/>
      <c r="AB1" s="2036"/>
      <c r="AC1" s="2036"/>
      <c r="AD1" s="2036"/>
      <c r="AE1" s="2036"/>
      <c r="AF1" s="2036"/>
      <c r="AG1" s="2036"/>
      <c r="AH1" s="2036"/>
      <c r="AI1" s="2036"/>
      <c r="AJ1" s="2036"/>
      <c r="AK1" s="2036"/>
      <c r="AL1" s="2036"/>
      <c r="AM1" s="2036"/>
    </row>
    <row r="2" spans="1:42" s="405" customFormat="1" ht="12.75" customHeight="1" thickBot="1">
      <c r="A2" s="2037"/>
      <c r="B2" s="2037"/>
      <c r="C2" s="2037"/>
      <c r="D2" s="2037"/>
      <c r="E2" s="2037"/>
      <c r="F2" s="2037"/>
      <c r="G2" s="2037"/>
      <c r="H2" s="2037"/>
      <c r="I2" s="2037"/>
      <c r="J2" s="2037"/>
      <c r="K2" s="2037"/>
      <c r="L2" s="2037"/>
      <c r="M2" s="2037"/>
      <c r="N2" s="2037"/>
      <c r="O2" s="2037"/>
      <c r="P2" s="2037"/>
      <c r="Q2" s="2037"/>
      <c r="R2" s="2037"/>
      <c r="S2" s="2037"/>
      <c r="T2" s="2037"/>
      <c r="U2" s="2037"/>
      <c r="V2" s="2037"/>
      <c r="W2" s="2037"/>
      <c r="X2" s="2037"/>
      <c r="Y2" s="2037"/>
      <c r="Z2" s="2037"/>
      <c r="AA2" s="2037"/>
      <c r="AB2" s="2037"/>
      <c r="AC2" s="2037"/>
      <c r="AD2" s="2037"/>
      <c r="AE2" s="2037"/>
      <c r="AF2" s="2037"/>
      <c r="AG2" s="2037"/>
      <c r="AH2" s="2037"/>
      <c r="AI2" s="2037"/>
      <c r="AJ2" s="2037"/>
      <c r="AK2" s="2037"/>
      <c r="AL2" s="2037"/>
      <c r="AM2" s="2037"/>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1942</v>
      </c>
      <c r="B4" s="408" t="s">
        <v>1943</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408"/>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1944</v>
      </c>
      <c r="B7" s="408" t="s">
        <v>1945</v>
      </c>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1847" t="s">
        <v>1946</v>
      </c>
      <c r="AF7" s="1847"/>
      <c r="AG7" s="1847"/>
      <c r="AH7" s="1847"/>
      <c r="AI7" s="1847"/>
      <c r="AJ7" s="1847"/>
      <c r="AK7" s="1847"/>
      <c r="AL7" s="409"/>
      <c r="AM7" s="409"/>
      <c r="AN7" s="404"/>
    </row>
    <row r="8" spans="1:42" s="405" customFormat="1" ht="12.75" customHeight="1">
      <c r="A8" s="407"/>
      <c r="B8" s="408" t="s">
        <v>1947</v>
      </c>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1184"/>
      <c r="AF8" s="1184"/>
      <c r="AG8" s="1184"/>
      <c r="AH8" s="1184"/>
      <c r="AI8" s="1184"/>
      <c r="AJ8" s="1184"/>
      <c r="AK8" s="1184"/>
      <c r="AL8" s="409"/>
      <c r="AM8" s="409"/>
      <c r="AN8" s="404"/>
    </row>
    <row r="9" spans="1:42" s="405" customFormat="1" ht="12.75" customHeight="1">
      <c r="A9" s="407"/>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1184"/>
      <c r="AF9" s="1184"/>
      <c r="AG9" s="1184"/>
      <c r="AH9" s="1184"/>
      <c r="AI9" s="1184"/>
      <c r="AJ9" s="1184"/>
      <c r="AK9" s="1184"/>
      <c r="AL9" s="409"/>
      <c r="AM9" s="409"/>
      <c r="AN9" s="404"/>
    </row>
    <row r="10" spans="1:42" s="405" customFormat="1" ht="12.75" customHeight="1">
      <c r="A10" s="407"/>
      <c r="B10" s="408" t="s">
        <v>1948</v>
      </c>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1184"/>
      <c r="AF10" s="1184"/>
      <c r="AG10" s="1184"/>
      <c r="AH10" s="1184"/>
      <c r="AI10" s="1184"/>
      <c r="AJ10" s="1184"/>
      <c r="AK10" s="1184"/>
      <c r="AL10" s="409"/>
      <c r="AM10" s="409"/>
      <c r="AN10" s="404"/>
    </row>
    <row r="11" spans="1:42" s="405" customFormat="1" ht="12.75" customHeight="1">
      <c r="A11" s="409"/>
      <c r="C11" s="953" t="s">
        <v>1949</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106"/>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2030" t="s">
        <v>299</v>
      </c>
      <c r="C13" s="2030"/>
      <c r="D13" s="415"/>
      <c r="E13" s="416" t="s">
        <v>1950</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2038"/>
      <c r="AH13" s="2038"/>
      <c r="AI13" s="2038"/>
      <c r="AJ13" s="2039"/>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2030" t="s">
        <v>299</v>
      </c>
      <c r="C16" s="2030"/>
      <c r="D16" s="415"/>
      <c r="E16" s="2022" t="s">
        <v>1951</v>
      </c>
      <c r="F16" s="2023"/>
      <c r="G16" s="2023"/>
      <c r="H16" s="2023"/>
      <c r="I16" s="2023"/>
      <c r="J16" s="2023"/>
      <c r="K16" s="2023"/>
      <c r="L16" s="2023"/>
      <c r="M16" s="2023"/>
      <c r="N16" s="2023"/>
      <c r="O16" s="2023"/>
      <c r="P16" s="2023"/>
      <c r="Q16" s="2023"/>
      <c r="R16" s="2023"/>
      <c r="S16" s="2023"/>
      <c r="T16" s="2023"/>
      <c r="U16" s="2023"/>
      <c r="V16" s="2023"/>
      <c r="W16" s="2023"/>
      <c r="X16" s="2023"/>
      <c r="Y16" s="2023"/>
      <c r="Z16" s="2023"/>
      <c r="AA16" s="2023"/>
      <c r="AB16" s="2023"/>
      <c r="AC16" s="2023"/>
      <c r="AD16" s="2023"/>
      <c r="AE16" s="2023"/>
      <c r="AF16" s="2023"/>
      <c r="AG16" s="2023"/>
      <c r="AH16" s="2023"/>
      <c r="AI16" s="2023"/>
      <c r="AJ16" s="2024"/>
      <c r="AK16" s="409"/>
      <c r="AL16" s="409"/>
      <c r="AM16" s="409"/>
      <c r="AN16" s="404"/>
      <c r="AO16" s="418">
        <f>IF($B25="yes",20,0)</f>
        <v>0</v>
      </c>
      <c r="AP16" s="12"/>
    </row>
    <row r="17" spans="1:42" s="405" customFormat="1" ht="12.75" customHeight="1">
      <c r="A17" s="409"/>
      <c r="B17" s="409"/>
      <c r="C17" s="409"/>
      <c r="D17" s="419"/>
      <c r="E17" s="2025"/>
      <c r="F17" s="2026"/>
      <c r="G17" s="2026"/>
      <c r="H17" s="2026"/>
      <c r="I17" s="2026"/>
      <c r="J17" s="2026"/>
      <c r="K17" s="2026"/>
      <c r="L17" s="2026"/>
      <c r="M17" s="2026"/>
      <c r="N17" s="2026"/>
      <c r="O17" s="2026"/>
      <c r="P17" s="2026"/>
      <c r="Q17" s="2026"/>
      <c r="R17" s="2026"/>
      <c r="S17" s="2026"/>
      <c r="T17" s="2026"/>
      <c r="U17" s="2026"/>
      <c r="V17" s="2026"/>
      <c r="W17" s="2026"/>
      <c r="X17" s="2026"/>
      <c r="Y17" s="2026"/>
      <c r="Z17" s="2026"/>
      <c r="AA17" s="2026"/>
      <c r="AB17" s="2026"/>
      <c r="AC17" s="2026"/>
      <c r="AD17" s="2026"/>
      <c r="AE17" s="2026"/>
      <c r="AF17" s="2026"/>
      <c r="AG17" s="2026"/>
      <c r="AH17" s="2026"/>
      <c r="AI17" s="2026"/>
      <c r="AJ17" s="2027"/>
      <c r="AK17" s="409"/>
      <c r="AL17" s="409"/>
      <c r="AM17" s="409"/>
      <c r="AN17" s="404"/>
      <c r="AO17" s="405">
        <f>IF(SUM(AO13:AO16)&gt;20,20,(SUM(AO13:AO16)))</f>
        <v>0</v>
      </c>
      <c r="AP17" s="405" t="s">
        <v>1952</v>
      </c>
    </row>
    <row r="18" spans="1:42" s="405" customFormat="1" ht="12.75" customHeight="1">
      <c r="A18" s="409"/>
      <c r="B18" s="409"/>
      <c r="C18" s="409"/>
      <c r="D18" s="419"/>
      <c r="E18" s="2025"/>
      <c r="F18" s="2026"/>
      <c r="G18" s="2026"/>
      <c r="H18" s="2026"/>
      <c r="I18" s="2026"/>
      <c r="J18" s="2026"/>
      <c r="K18" s="2026"/>
      <c r="L18" s="2026"/>
      <c r="M18" s="2026"/>
      <c r="N18" s="2026"/>
      <c r="O18" s="2026"/>
      <c r="P18" s="2026"/>
      <c r="Q18" s="2026"/>
      <c r="R18" s="2026"/>
      <c r="S18" s="2026"/>
      <c r="T18" s="2026"/>
      <c r="U18" s="2026"/>
      <c r="V18" s="2026"/>
      <c r="W18" s="2026"/>
      <c r="X18" s="2026"/>
      <c r="Y18" s="2026"/>
      <c r="Z18" s="2026"/>
      <c r="AA18" s="2026"/>
      <c r="AB18" s="2026"/>
      <c r="AC18" s="2026"/>
      <c r="AD18" s="2026"/>
      <c r="AE18" s="2026"/>
      <c r="AF18" s="2026"/>
      <c r="AG18" s="2026"/>
      <c r="AH18" s="2026"/>
      <c r="AI18" s="2026"/>
      <c r="AJ18" s="2027"/>
      <c r="AK18" s="409"/>
      <c r="AL18" s="409"/>
      <c r="AM18" s="409"/>
      <c r="AN18" s="404"/>
    </row>
    <row r="19" spans="1:42" s="405" customFormat="1" ht="12.75" customHeight="1">
      <c r="A19" s="409"/>
      <c r="B19" s="409"/>
      <c r="C19" s="409"/>
      <c r="D19" s="419"/>
      <c r="E19" s="420" t="s">
        <v>1953</v>
      </c>
      <c r="F19" s="1186"/>
      <c r="G19" s="1186"/>
      <c r="H19" s="1186"/>
      <c r="I19" s="1186"/>
      <c r="J19" s="1186"/>
      <c r="K19" s="1186"/>
      <c r="L19" s="1186"/>
      <c r="M19" s="1186"/>
      <c r="N19" s="1186"/>
      <c r="O19" s="1186"/>
      <c r="P19" s="1186"/>
      <c r="Q19" s="1186"/>
      <c r="R19" s="1186"/>
      <c r="S19" s="1186"/>
      <c r="T19" s="1186"/>
      <c r="U19" s="1186"/>
      <c r="V19" s="1186"/>
      <c r="W19" s="1186"/>
      <c r="X19" s="1186"/>
      <c r="Y19" s="1186"/>
      <c r="Z19" s="1186"/>
      <c r="AA19" s="1186"/>
      <c r="AB19" s="1186"/>
      <c r="AC19" s="1186"/>
      <c r="AD19" s="1186"/>
      <c r="AE19" s="1186"/>
      <c r="AF19" s="1186"/>
      <c r="AG19" s="1186"/>
      <c r="AH19" s="1186"/>
      <c r="AI19" s="1186"/>
      <c r="AJ19" s="1187"/>
      <c r="AK19" s="409"/>
      <c r="AL19" s="409"/>
      <c r="AM19" s="409"/>
      <c r="AN19" s="404"/>
    </row>
    <row r="20" spans="1:42" s="405" customFormat="1" ht="12.75" customHeight="1">
      <c r="A20" s="409"/>
      <c r="B20" s="409"/>
      <c r="C20" s="409"/>
      <c r="D20" s="419"/>
      <c r="E20" s="2046"/>
      <c r="F20" s="2047"/>
      <c r="G20" s="2047"/>
      <c r="H20" s="2047"/>
      <c r="I20" s="2047"/>
      <c r="J20" s="2047"/>
      <c r="K20" s="2047"/>
      <c r="L20" s="2047"/>
      <c r="M20" s="2047"/>
      <c r="N20" s="2047"/>
      <c r="O20" s="2047"/>
      <c r="P20" s="2047"/>
      <c r="Q20" s="2047"/>
      <c r="R20" s="2047"/>
      <c r="S20" s="2047"/>
      <c r="T20" s="2047"/>
      <c r="U20" s="2047"/>
      <c r="V20" s="2047"/>
      <c r="W20" s="2047"/>
      <c r="X20" s="2047"/>
      <c r="Y20" s="2047"/>
      <c r="Z20" s="2047"/>
      <c r="AA20" s="2047"/>
      <c r="AB20" s="2047"/>
      <c r="AC20" s="2047"/>
      <c r="AD20" s="2047"/>
      <c r="AE20" s="2047"/>
      <c r="AF20" s="2047"/>
      <c r="AG20" s="2047"/>
      <c r="AH20" s="2047"/>
      <c r="AI20" s="2047"/>
      <c r="AJ20" s="2048"/>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2030" t="s">
        <v>299</v>
      </c>
      <c r="C22" s="2030"/>
      <c r="D22" s="415"/>
      <c r="E22" s="2040" t="s">
        <v>1954</v>
      </c>
      <c r="F22" s="2041"/>
      <c r="G22" s="2041"/>
      <c r="H22" s="2041"/>
      <c r="I22" s="2041"/>
      <c r="J22" s="2041"/>
      <c r="K22" s="2041"/>
      <c r="L22" s="2041"/>
      <c r="M22" s="2041"/>
      <c r="N22" s="2041"/>
      <c r="O22" s="2041"/>
      <c r="P22" s="2041"/>
      <c r="Q22" s="2041"/>
      <c r="R22" s="2041"/>
      <c r="S22" s="2041"/>
      <c r="T22" s="2041"/>
      <c r="U22" s="2041"/>
      <c r="V22" s="2041"/>
      <c r="W22" s="2041"/>
      <c r="X22" s="2041"/>
      <c r="Y22" s="2041"/>
      <c r="Z22" s="2041"/>
      <c r="AA22" s="2041"/>
      <c r="AB22" s="2041"/>
      <c r="AC22" s="2041"/>
      <c r="AD22" s="2041"/>
      <c r="AE22" s="2041"/>
      <c r="AF22" s="2041"/>
      <c r="AG22" s="2041"/>
      <c r="AH22" s="2041"/>
      <c r="AI22" s="2041"/>
      <c r="AJ22" s="2042"/>
      <c r="AK22" s="409"/>
      <c r="AL22" s="409"/>
      <c r="AM22" s="409"/>
      <c r="AN22" s="404"/>
      <c r="AO22" s="405">
        <f>IF(SUM(AO20:AO21)&gt;14,14,SUM(AO20:AO21))</f>
        <v>0</v>
      </c>
      <c r="AP22" s="405" t="s">
        <v>1952</v>
      </c>
    </row>
    <row r="23" spans="1:42" s="405" customFormat="1" ht="12.75" customHeight="1">
      <c r="A23" s="409"/>
      <c r="B23" s="409"/>
      <c r="C23" s="409"/>
      <c r="D23" s="418"/>
      <c r="E23" s="2043"/>
      <c r="F23" s="2044"/>
      <c r="G23" s="2044"/>
      <c r="H23" s="2044"/>
      <c r="I23" s="2044"/>
      <c r="J23" s="2044"/>
      <c r="K23" s="2044"/>
      <c r="L23" s="2044"/>
      <c r="M23" s="2044"/>
      <c r="N23" s="2044"/>
      <c r="O23" s="2044"/>
      <c r="P23" s="2044"/>
      <c r="Q23" s="2044"/>
      <c r="R23" s="2044"/>
      <c r="S23" s="2044"/>
      <c r="T23" s="2044"/>
      <c r="U23" s="2044"/>
      <c r="V23" s="2044"/>
      <c r="W23" s="2044"/>
      <c r="X23" s="2044"/>
      <c r="Y23" s="2044"/>
      <c r="Z23" s="2044"/>
      <c r="AA23" s="2044"/>
      <c r="AB23" s="2044"/>
      <c r="AC23" s="2044"/>
      <c r="AD23" s="2044"/>
      <c r="AE23" s="2044"/>
      <c r="AF23" s="2044"/>
      <c r="AG23" s="2044"/>
      <c r="AH23" s="2044"/>
      <c r="AI23" s="2044"/>
      <c r="AJ23" s="2045"/>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2030" t="s">
        <v>299</v>
      </c>
      <c r="C25" s="2030"/>
      <c r="D25" s="415"/>
      <c r="E25" s="1957" t="s">
        <v>1955</v>
      </c>
      <c r="F25" s="1958"/>
      <c r="G25" s="1958"/>
      <c r="H25" s="1958"/>
      <c r="I25" s="1958"/>
      <c r="J25" s="1958"/>
      <c r="K25" s="1958"/>
      <c r="L25" s="1958"/>
      <c r="M25" s="1958"/>
      <c r="N25" s="1958"/>
      <c r="O25" s="1958"/>
      <c r="P25" s="1958"/>
      <c r="Q25" s="1958"/>
      <c r="R25" s="1958"/>
      <c r="S25" s="1958"/>
      <c r="T25" s="1958"/>
      <c r="U25" s="1958"/>
      <c r="V25" s="1958"/>
      <c r="W25" s="1958"/>
      <c r="X25" s="1958"/>
      <c r="Y25" s="1958"/>
      <c r="Z25" s="1958"/>
      <c r="AA25" s="1958"/>
      <c r="AB25" s="1958"/>
      <c r="AC25" s="1958"/>
      <c r="AD25" s="1958"/>
      <c r="AE25" s="1958"/>
      <c r="AF25" s="1958"/>
      <c r="AG25" s="1958"/>
      <c r="AH25" s="1958"/>
      <c r="AI25" s="1958"/>
      <c r="AJ25" s="1959"/>
      <c r="AK25" s="409"/>
      <c r="AL25" s="409"/>
      <c r="AM25" s="409"/>
      <c r="AN25" s="404"/>
      <c r="AO25" s="405">
        <f>IF(AO24&gt;6,6,AO24)</f>
        <v>0</v>
      </c>
      <c r="AP25" s="405" t="s">
        <v>1952</v>
      </c>
    </row>
    <row r="26" spans="1:42" s="405" customFormat="1" ht="12.75" customHeight="1">
      <c r="A26" s="409"/>
      <c r="B26" s="409"/>
      <c r="C26" s="409"/>
      <c r="D26" s="418"/>
      <c r="E26" s="1982"/>
      <c r="F26" s="1983"/>
      <c r="G26" s="1983"/>
      <c r="H26" s="1983"/>
      <c r="I26" s="1983"/>
      <c r="J26" s="1983"/>
      <c r="K26" s="1983"/>
      <c r="L26" s="1983"/>
      <c r="M26" s="1983"/>
      <c r="N26" s="1983"/>
      <c r="O26" s="1983"/>
      <c r="P26" s="1983"/>
      <c r="Q26" s="1983"/>
      <c r="R26" s="1983"/>
      <c r="S26" s="1983"/>
      <c r="T26" s="1983"/>
      <c r="U26" s="1983"/>
      <c r="V26" s="1983"/>
      <c r="W26" s="1983"/>
      <c r="X26" s="1983"/>
      <c r="Y26" s="1983"/>
      <c r="Z26" s="1983"/>
      <c r="AA26" s="1983"/>
      <c r="AB26" s="1983"/>
      <c r="AC26" s="1983"/>
      <c r="AD26" s="1983"/>
      <c r="AE26" s="1983"/>
      <c r="AF26" s="1983"/>
      <c r="AG26" s="1983"/>
      <c r="AH26" s="1983"/>
      <c r="AI26" s="1983"/>
      <c r="AJ26" s="1984"/>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1956</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0</v>
      </c>
      <c r="AP29" s="405" t="s">
        <v>1952</v>
      </c>
    </row>
    <row r="30" spans="1:42" s="405" customFormat="1" ht="12.75" customHeight="1">
      <c r="A30" s="409"/>
      <c r="B30" s="2030" t="s">
        <v>299</v>
      </c>
      <c r="C30" s="2030"/>
      <c r="D30" s="415"/>
      <c r="E30" s="2040" t="s">
        <v>1957</v>
      </c>
      <c r="F30" s="2041"/>
      <c r="G30" s="2041"/>
      <c r="H30" s="2041"/>
      <c r="I30" s="2041"/>
      <c r="J30" s="2041"/>
      <c r="K30" s="2041"/>
      <c r="L30" s="2041"/>
      <c r="M30" s="2041"/>
      <c r="N30" s="2041"/>
      <c r="O30" s="2041"/>
      <c r="P30" s="2041"/>
      <c r="Q30" s="2041"/>
      <c r="R30" s="2041"/>
      <c r="S30" s="2041"/>
      <c r="T30" s="2041"/>
      <c r="U30" s="2041"/>
      <c r="V30" s="2041"/>
      <c r="W30" s="2041"/>
      <c r="X30" s="2041"/>
      <c r="Y30" s="2041"/>
      <c r="Z30" s="2041"/>
      <c r="AA30" s="2041"/>
      <c r="AB30" s="2041"/>
      <c r="AC30" s="2041"/>
      <c r="AD30" s="2041"/>
      <c r="AE30" s="2041"/>
      <c r="AF30" s="2041"/>
      <c r="AG30" s="2041"/>
      <c r="AH30" s="2041"/>
      <c r="AI30" s="2041"/>
      <c r="AJ30" s="2042"/>
      <c r="AK30" s="409"/>
      <c r="AL30" s="409"/>
      <c r="AM30" s="409"/>
      <c r="AN30" s="404"/>
      <c r="AO30" s="418"/>
    </row>
    <row r="31" spans="1:42" s="405" customFormat="1" ht="12.75" customHeight="1">
      <c r="A31" s="409"/>
      <c r="B31" s="409"/>
      <c r="C31" s="409"/>
      <c r="E31" s="2043"/>
      <c r="F31" s="2044"/>
      <c r="G31" s="2044"/>
      <c r="H31" s="2044"/>
      <c r="I31" s="2044"/>
      <c r="J31" s="2044"/>
      <c r="K31" s="2044"/>
      <c r="L31" s="2044"/>
      <c r="M31" s="2044"/>
      <c r="N31" s="2044"/>
      <c r="O31" s="2044"/>
      <c r="P31" s="2044"/>
      <c r="Q31" s="2044"/>
      <c r="R31" s="2044"/>
      <c r="S31" s="2044"/>
      <c r="T31" s="2044"/>
      <c r="U31" s="2044"/>
      <c r="V31" s="2044"/>
      <c r="W31" s="2044"/>
      <c r="X31" s="2044"/>
      <c r="Y31" s="2044"/>
      <c r="Z31" s="2044"/>
      <c r="AA31" s="2044"/>
      <c r="AB31" s="2044"/>
      <c r="AC31" s="2044"/>
      <c r="AD31" s="2044"/>
      <c r="AE31" s="2044"/>
      <c r="AF31" s="2044"/>
      <c r="AG31" s="2044"/>
      <c r="AH31" s="2044"/>
      <c r="AI31" s="2044"/>
      <c r="AJ31" s="2045"/>
      <c r="AK31" s="409"/>
      <c r="AL31" s="409"/>
      <c r="AM31" s="409"/>
      <c r="AN31" s="404"/>
    </row>
    <row r="32" spans="1:42" s="405" customFormat="1" ht="12.75" customHeight="1">
      <c r="A32" s="409"/>
      <c r="B32" s="409"/>
      <c r="C32" s="409"/>
      <c r="F32" s="1188"/>
      <c r="G32" s="1188"/>
      <c r="H32" s="1188"/>
      <c r="I32" s="1188"/>
      <c r="J32" s="1188"/>
      <c r="K32" s="1188"/>
      <c r="L32" s="1188"/>
      <c r="M32" s="1188"/>
      <c r="N32" s="1188"/>
      <c r="O32" s="1188"/>
      <c r="P32" s="1188"/>
      <c r="Q32" s="1188"/>
      <c r="R32" s="1188"/>
      <c r="S32" s="1188"/>
      <c r="T32" s="1188"/>
      <c r="U32" s="1188"/>
      <c r="V32" s="1188"/>
      <c r="W32" s="1188"/>
      <c r="X32" s="1188"/>
      <c r="Y32" s="1188"/>
      <c r="Z32" s="1188"/>
      <c r="AA32" s="1188"/>
      <c r="AB32" s="1188"/>
      <c r="AC32" s="1188"/>
      <c r="AD32" s="1188"/>
      <c r="AE32" s="1188"/>
      <c r="AF32" s="1188"/>
      <c r="AG32" s="1188"/>
      <c r="AH32" s="1188"/>
      <c r="AI32" s="1188"/>
      <c r="AJ32" s="1188"/>
      <c r="AK32" s="409"/>
      <c r="AL32" s="409"/>
      <c r="AM32" s="409"/>
      <c r="AN32" s="404"/>
    </row>
    <row r="33" spans="1:41" s="405" customFormat="1" ht="12.75" customHeight="1">
      <c r="A33" s="409"/>
      <c r="B33" s="2030" t="s">
        <v>299</v>
      </c>
      <c r="C33" s="2030"/>
      <c r="D33" s="415"/>
      <c r="E33" s="1957" t="s">
        <v>1958</v>
      </c>
      <c r="F33" s="1958"/>
      <c r="G33" s="1958"/>
      <c r="H33" s="1958"/>
      <c r="I33" s="1958"/>
      <c r="J33" s="1958"/>
      <c r="K33" s="1958"/>
      <c r="L33" s="1958"/>
      <c r="M33" s="1958"/>
      <c r="N33" s="1958"/>
      <c r="O33" s="1958"/>
      <c r="P33" s="1958"/>
      <c r="Q33" s="1958"/>
      <c r="R33" s="1958"/>
      <c r="S33" s="1958"/>
      <c r="T33" s="1958"/>
      <c r="U33" s="1958"/>
      <c r="V33" s="1958"/>
      <c r="W33" s="1958"/>
      <c r="X33" s="1958"/>
      <c r="Y33" s="1958"/>
      <c r="Z33" s="1958"/>
      <c r="AA33" s="1958"/>
      <c r="AB33" s="1958"/>
      <c r="AC33" s="1958"/>
      <c r="AD33" s="1958"/>
      <c r="AE33" s="1958"/>
      <c r="AF33" s="1958"/>
      <c r="AG33" s="1958"/>
      <c r="AH33" s="1958"/>
      <c r="AI33" s="1958"/>
      <c r="AJ33" s="1959"/>
      <c r="AK33" s="409"/>
      <c r="AL33" s="409"/>
      <c r="AM33" s="409"/>
      <c r="AN33" s="404"/>
    </row>
    <row r="34" spans="1:41" s="405" customFormat="1" ht="12.75" customHeight="1">
      <c r="A34" s="409"/>
      <c r="B34" s="409"/>
      <c r="C34" s="409"/>
      <c r="E34" s="1960"/>
      <c r="F34" s="1961"/>
      <c r="G34" s="1961"/>
      <c r="H34" s="1961"/>
      <c r="I34" s="1961"/>
      <c r="J34" s="1961"/>
      <c r="K34" s="1961"/>
      <c r="L34" s="1961"/>
      <c r="M34" s="1961"/>
      <c r="N34" s="1961"/>
      <c r="O34" s="1961"/>
      <c r="P34" s="1961"/>
      <c r="Q34" s="1961"/>
      <c r="R34" s="1961"/>
      <c r="S34" s="1961"/>
      <c r="T34" s="1961"/>
      <c r="U34" s="1961"/>
      <c r="V34" s="1961"/>
      <c r="W34" s="1961"/>
      <c r="X34" s="1961"/>
      <c r="Y34" s="1961"/>
      <c r="Z34" s="1961"/>
      <c r="AA34" s="1961"/>
      <c r="AB34" s="1961"/>
      <c r="AC34" s="1961"/>
      <c r="AD34" s="1961"/>
      <c r="AE34" s="1961"/>
      <c r="AF34" s="1961"/>
      <c r="AG34" s="1961"/>
      <c r="AH34" s="1961"/>
      <c r="AI34" s="1961"/>
      <c r="AJ34" s="1962"/>
      <c r="AK34" s="409"/>
      <c r="AL34" s="409"/>
      <c r="AM34" s="409"/>
      <c r="AN34" s="404"/>
    </row>
    <row r="35" spans="1:41" s="405" customFormat="1" ht="12.75" customHeight="1">
      <c r="A35" s="409"/>
      <c r="B35" s="409"/>
      <c r="C35" s="409"/>
      <c r="E35" s="1982"/>
      <c r="F35" s="1983"/>
      <c r="G35" s="1983"/>
      <c r="H35" s="1983"/>
      <c r="I35" s="1983"/>
      <c r="J35" s="1983"/>
      <c r="K35" s="1983"/>
      <c r="L35" s="1983"/>
      <c r="M35" s="1983"/>
      <c r="N35" s="1983"/>
      <c r="O35" s="1983"/>
      <c r="P35" s="1983"/>
      <c r="Q35" s="1983"/>
      <c r="R35" s="1983"/>
      <c r="S35" s="1983"/>
      <c r="T35" s="1983"/>
      <c r="U35" s="1983"/>
      <c r="V35" s="1983"/>
      <c r="W35" s="1983"/>
      <c r="X35" s="1983"/>
      <c r="Y35" s="1983"/>
      <c r="Z35" s="1983"/>
      <c r="AA35" s="1983"/>
      <c r="AB35" s="1983"/>
      <c r="AC35" s="1983"/>
      <c r="AD35" s="1983"/>
      <c r="AE35" s="1983"/>
      <c r="AF35" s="1983"/>
      <c r="AG35" s="1983"/>
      <c r="AH35" s="1983"/>
      <c r="AI35" s="1983"/>
      <c r="AJ35" s="1984"/>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0</v>
      </c>
    </row>
    <row r="37" spans="1:41" s="405" customFormat="1" ht="12.75" customHeight="1">
      <c r="A37" s="409"/>
      <c r="C37" s="412" t="s">
        <v>1959</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2030" t="s">
        <v>299</v>
      </c>
      <c r="C39" s="2030"/>
      <c r="D39" s="954"/>
      <c r="E39" s="1957" t="s">
        <v>1960</v>
      </c>
      <c r="F39" s="1958"/>
      <c r="G39" s="1958"/>
      <c r="H39" s="1958"/>
      <c r="I39" s="1958"/>
      <c r="J39" s="1958"/>
      <c r="K39" s="1958"/>
      <c r="L39" s="1958"/>
      <c r="M39" s="1958"/>
      <c r="N39" s="1958"/>
      <c r="O39" s="1958"/>
      <c r="P39" s="1958"/>
      <c r="Q39" s="1958"/>
      <c r="R39" s="1958"/>
      <c r="S39" s="1958"/>
      <c r="T39" s="1958"/>
      <c r="U39" s="1958"/>
      <c r="V39" s="1958"/>
      <c r="W39" s="1958"/>
      <c r="X39" s="1958"/>
      <c r="Y39" s="1958"/>
      <c r="Z39" s="1958"/>
      <c r="AA39" s="1958"/>
      <c r="AB39" s="1958"/>
      <c r="AC39" s="1958"/>
      <c r="AD39" s="1958"/>
      <c r="AE39" s="1958"/>
      <c r="AF39" s="1958"/>
      <c r="AG39" s="1958"/>
      <c r="AH39" s="1958"/>
      <c r="AI39" s="1958"/>
      <c r="AJ39" s="1959"/>
      <c r="AK39" s="954"/>
      <c r="AL39" s="409"/>
      <c r="AM39" s="409"/>
      <c r="AN39" s="404"/>
    </row>
    <row r="40" spans="1:41" s="405" customFormat="1" ht="12.75" customHeight="1">
      <c r="A40" s="409"/>
      <c r="B40" s="409"/>
      <c r="C40" s="409"/>
      <c r="E40" s="1960"/>
      <c r="F40" s="1961"/>
      <c r="G40" s="1961"/>
      <c r="H40" s="1961"/>
      <c r="I40" s="1961"/>
      <c r="J40" s="1961"/>
      <c r="K40" s="1961"/>
      <c r="L40" s="1961"/>
      <c r="M40" s="1961"/>
      <c r="N40" s="1961"/>
      <c r="O40" s="1961"/>
      <c r="P40" s="1961"/>
      <c r="Q40" s="1961"/>
      <c r="R40" s="1961"/>
      <c r="S40" s="1961"/>
      <c r="T40" s="1961"/>
      <c r="U40" s="1961"/>
      <c r="V40" s="1961"/>
      <c r="W40" s="1961"/>
      <c r="X40" s="1961"/>
      <c r="Y40" s="1961"/>
      <c r="Z40" s="1961"/>
      <c r="AA40" s="1961"/>
      <c r="AB40" s="1961"/>
      <c r="AC40" s="1961"/>
      <c r="AD40" s="1961"/>
      <c r="AE40" s="1961"/>
      <c r="AF40" s="1961"/>
      <c r="AG40" s="1961"/>
      <c r="AH40" s="1961"/>
      <c r="AI40" s="1961"/>
      <c r="AJ40" s="1962"/>
      <c r="AK40" s="409"/>
      <c r="AL40" s="409"/>
      <c r="AM40" s="409"/>
      <c r="AN40" s="404"/>
    </row>
    <row r="41" spans="1:41" s="405" customFormat="1" ht="12.75" customHeight="1">
      <c r="A41" s="409"/>
      <c r="D41" s="415"/>
      <c r="E41" s="1982"/>
      <c r="F41" s="1983"/>
      <c r="G41" s="1983"/>
      <c r="H41" s="1983"/>
      <c r="I41" s="1983"/>
      <c r="J41" s="1983"/>
      <c r="K41" s="1983"/>
      <c r="L41" s="1983"/>
      <c r="M41" s="1983"/>
      <c r="N41" s="1983"/>
      <c r="O41" s="1983"/>
      <c r="P41" s="1983"/>
      <c r="Q41" s="1983"/>
      <c r="R41" s="1983"/>
      <c r="S41" s="1983"/>
      <c r="T41" s="1983"/>
      <c r="U41" s="1983"/>
      <c r="V41" s="1983"/>
      <c r="W41" s="1983"/>
      <c r="X41" s="1983"/>
      <c r="Y41" s="1983"/>
      <c r="Z41" s="1983"/>
      <c r="AA41" s="1983"/>
      <c r="AB41" s="1983"/>
      <c r="AC41" s="1983"/>
      <c r="AD41" s="1983"/>
      <c r="AE41" s="1983"/>
      <c r="AF41" s="1983"/>
      <c r="AG41" s="1983"/>
      <c r="AH41" s="1983"/>
      <c r="AI41" s="1983"/>
      <c r="AJ41" s="1984"/>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408"/>
      <c r="B43" s="408" t="s">
        <v>1961</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1962</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2030" t="s">
        <v>299</v>
      </c>
      <c r="C46" s="2030"/>
      <c r="D46" s="409"/>
      <c r="E46" s="1957" t="s">
        <v>1963</v>
      </c>
      <c r="F46" s="1958"/>
      <c r="G46" s="1958"/>
      <c r="H46" s="1958"/>
      <c r="I46" s="1958"/>
      <c r="J46" s="1958"/>
      <c r="K46" s="1958"/>
      <c r="L46" s="1958"/>
      <c r="M46" s="1958"/>
      <c r="N46" s="1958"/>
      <c r="O46" s="1958"/>
      <c r="P46" s="1958"/>
      <c r="Q46" s="1958"/>
      <c r="R46" s="1958"/>
      <c r="S46" s="1958"/>
      <c r="T46" s="1958"/>
      <c r="U46" s="1958"/>
      <c r="V46" s="1958"/>
      <c r="W46" s="1958"/>
      <c r="X46" s="1958"/>
      <c r="Y46" s="1958"/>
      <c r="Z46" s="1958"/>
      <c r="AA46" s="1958"/>
      <c r="AB46" s="1958"/>
      <c r="AC46" s="1958"/>
      <c r="AD46" s="1958"/>
      <c r="AE46" s="1958"/>
      <c r="AF46" s="1958"/>
      <c r="AG46" s="1958"/>
      <c r="AH46" s="1958"/>
      <c r="AI46" s="1958"/>
      <c r="AJ46" s="1959"/>
      <c r="AK46" s="409"/>
      <c r="AL46" s="409"/>
      <c r="AM46" s="409"/>
      <c r="AN46" s="404"/>
      <c r="AO46" s="425"/>
    </row>
    <row r="47" spans="1:41" s="405" customFormat="1" ht="12.75" customHeight="1">
      <c r="A47" s="409"/>
      <c r="D47" s="415"/>
      <c r="E47" s="1960"/>
      <c r="F47" s="1961"/>
      <c r="G47" s="1961"/>
      <c r="H47" s="1961"/>
      <c r="I47" s="1961"/>
      <c r="J47" s="1961"/>
      <c r="K47" s="1961"/>
      <c r="L47" s="1961"/>
      <c r="M47" s="1961"/>
      <c r="N47" s="1961"/>
      <c r="O47" s="1961"/>
      <c r="P47" s="1961"/>
      <c r="Q47" s="1961"/>
      <c r="R47" s="1961"/>
      <c r="S47" s="1961"/>
      <c r="T47" s="1961"/>
      <c r="U47" s="1961"/>
      <c r="V47" s="1961"/>
      <c r="W47" s="1961"/>
      <c r="X47" s="1961"/>
      <c r="Y47" s="1961"/>
      <c r="Z47" s="1961"/>
      <c r="AA47" s="1961"/>
      <c r="AB47" s="1961"/>
      <c r="AC47" s="1961"/>
      <c r="AD47" s="1961"/>
      <c r="AE47" s="1961"/>
      <c r="AF47" s="1961"/>
      <c r="AG47" s="1961"/>
      <c r="AH47" s="1961"/>
      <c r="AI47" s="1961"/>
      <c r="AJ47" s="1962"/>
      <c r="AK47" s="409"/>
      <c r="AL47" s="409"/>
      <c r="AM47" s="409"/>
      <c r="AN47" s="404"/>
      <c r="AO47" s="425"/>
    </row>
    <row r="48" spans="1:41" s="405" customFormat="1" ht="12.75" customHeight="1">
      <c r="A48" s="409"/>
      <c r="D48" s="409"/>
      <c r="E48" s="1982"/>
      <c r="F48" s="1983"/>
      <c r="G48" s="1983"/>
      <c r="H48" s="1983"/>
      <c r="I48" s="1983"/>
      <c r="J48" s="1983"/>
      <c r="K48" s="1983"/>
      <c r="L48" s="1983"/>
      <c r="M48" s="1983"/>
      <c r="N48" s="1983"/>
      <c r="O48" s="1983"/>
      <c r="P48" s="1983"/>
      <c r="Q48" s="1983"/>
      <c r="R48" s="1983"/>
      <c r="S48" s="1983"/>
      <c r="T48" s="1983"/>
      <c r="U48" s="1983"/>
      <c r="V48" s="1983"/>
      <c r="W48" s="1983"/>
      <c r="X48" s="1983"/>
      <c r="Y48" s="1983"/>
      <c r="Z48" s="1983"/>
      <c r="AA48" s="1983"/>
      <c r="AB48" s="1983"/>
      <c r="AC48" s="1983"/>
      <c r="AD48" s="1983"/>
      <c r="AE48" s="1983"/>
      <c r="AF48" s="1983"/>
      <c r="AG48" s="1983"/>
      <c r="AH48" s="1983"/>
      <c r="AI48" s="1983"/>
      <c r="AJ48" s="1984"/>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2030" t="s">
        <v>299</v>
      </c>
      <c r="C50" s="2030"/>
      <c r="D50" s="409"/>
      <c r="E50" s="2056" t="s">
        <v>1964</v>
      </c>
      <c r="F50" s="2057"/>
      <c r="G50" s="2057"/>
      <c r="H50" s="2057"/>
      <c r="I50" s="2057"/>
      <c r="J50" s="2057"/>
      <c r="K50" s="2057"/>
      <c r="L50" s="2057"/>
      <c r="M50" s="2057"/>
      <c r="N50" s="2057"/>
      <c r="O50" s="2057"/>
      <c r="P50" s="2057"/>
      <c r="Q50" s="2057"/>
      <c r="R50" s="2057"/>
      <c r="S50" s="2057"/>
      <c r="T50" s="2057"/>
      <c r="U50" s="2057"/>
      <c r="V50" s="2057"/>
      <c r="W50" s="2057"/>
      <c r="X50" s="2057"/>
      <c r="Y50" s="2057"/>
      <c r="Z50" s="2057"/>
      <c r="AA50" s="2057"/>
      <c r="AB50" s="2057"/>
      <c r="AC50" s="2057"/>
      <c r="AD50" s="2057"/>
      <c r="AE50" s="2057"/>
      <c r="AF50" s="2057"/>
      <c r="AG50" s="2057"/>
      <c r="AH50" s="2057"/>
      <c r="AI50" s="2057"/>
      <c r="AJ50" s="2058"/>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2030" t="s">
        <v>299</v>
      </c>
      <c r="C52" s="2030"/>
      <c r="D52" s="409"/>
      <c r="E52" s="1957" t="s">
        <v>1965</v>
      </c>
      <c r="F52" s="1958"/>
      <c r="G52" s="1958"/>
      <c r="H52" s="1958"/>
      <c r="I52" s="1958"/>
      <c r="J52" s="1958"/>
      <c r="K52" s="1958"/>
      <c r="L52" s="1958"/>
      <c r="M52" s="1958"/>
      <c r="N52" s="1958"/>
      <c r="O52" s="1958"/>
      <c r="P52" s="1958"/>
      <c r="Q52" s="1958"/>
      <c r="R52" s="1958"/>
      <c r="S52" s="1958"/>
      <c r="T52" s="1958"/>
      <c r="U52" s="1958"/>
      <c r="V52" s="1958"/>
      <c r="W52" s="1958"/>
      <c r="X52" s="1958"/>
      <c r="Y52" s="1958"/>
      <c r="Z52" s="1958"/>
      <c r="AA52" s="1958"/>
      <c r="AB52" s="1958"/>
      <c r="AC52" s="1958"/>
      <c r="AD52" s="1958"/>
      <c r="AE52" s="1958"/>
      <c r="AF52" s="1958"/>
      <c r="AG52" s="1958"/>
      <c r="AH52" s="1958"/>
      <c r="AI52" s="1958"/>
      <c r="AJ52" s="1959"/>
      <c r="AK52" s="409"/>
      <c r="AL52" s="409"/>
      <c r="AM52" s="409"/>
      <c r="AN52" s="404"/>
    </row>
    <row r="53" spans="1:50" s="405" customFormat="1" ht="12.75" customHeight="1">
      <c r="A53" s="409"/>
      <c r="B53" s="415"/>
      <c r="C53" s="415"/>
      <c r="D53" s="415"/>
      <c r="E53" s="1982"/>
      <c r="F53" s="1983"/>
      <c r="G53" s="1983"/>
      <c r="H53" s="1983"/>
      <c r="I53" s="1983"/>
      <c r="J53" s="1983"/>
      <c r="K53" s="1983"/>
      <c r="L53" s="1983"/>
      <c r="M53" s="1983"/>
      <c r="N53" s="1983"/>
      <c r="O53" s="1983"/>
      <c r="P53" s="1983"/>
      <c r="Q53" s="1983"/>
      <c r="R53" s="1983"/>
      <c r="S53" s="1983"/>
      <c r="T53" s="1983"/>
      <c r="U53" s="1983"/>
      <c r="V53" s="1983"/>
      <c r="W53" s="1983"/>
      <c r="X53" s="1983"/>
      <c r="Y53" s="1983"/>
      <c r="Z53" s="1983"/>
      <c r="AA53" s="1983"/>
      <c r="AB53" s="1983"/>
      <c r="AC53" s="1983"/>
      <c r="AD53" s="1983"/>
      <c r="AE53" s="1983"/>
      <c r="AF53" s="1983"/>
      <c r="AG53" s="1983"/>
      <c r="AH53" s="1983"/>
      <c r="AI53" s="1983"/>
      <c r="AJ53" s="1984"/>
      <c r="AK53" s="409"/>
      <c r="AL53" s="409"/>
      <c r="AM53" s="409"/>
      <c r="AN53" s="404"/>
      <c r="AX53" s="408"/>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408"/>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1966</v>
      </c>
      <c r="AK56" s="2003">
        <f>AO36</f>
        <v>0</v>
      </c>
      <c r="AL56" s="2004"/>
      <c r="AM56" s="2005"/>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204"/>
      <c r="J58" s="1204"/>
      <c r="K58" s="1204"/>
      <c r="L58" s="1204"/>
      <c r="M58" s="1204"/>
      <c r="N58" s="1204"/>
      <c r="O58" s="1204"/>
      <c r="P58" s="1204"/>
      <c r="Q58" s="1204"/>
      <c r="R58" s="436"/>
      <c r="S58" s="408"/>
      <c r="T58" s="408"/>
      <c r="U58" s="408"/>
      <c r="V58" s="408"/>
      <c r="W58" s="408"/>
      <c r="X58" s="408"/>
      <c r="Y58" s="408"/>
      <c r="Z58" s="408"/>
      <c r="AA58" s="408"/>
      <c r="AB58" s="408"/>
      <c r="AC58" s="408"/>
      <c r="AD58" s="408"/>
      <c r="AE58" s="408"/>
      <c r="AF58" s="436"/>
      <c r="AG58" s="408"/>
      <c r="AH58" s="408"/>
      <c r="AI58" s="408"/>
      <c r="AJ58" s="408"/>
      <c r="AK58" s="418"/>
      <c r="AL58" s="418"/>
      <c r="AM58" s="418"/>
      <c r="AN58" s="404"/>
    </row>
    <row r="59" spans="1:50" s="405" customFormat="1" ht="12.75" customHeight="1">
      <c r="A59" s="407" t="s">
        <v>1967</v>
      </c>
      <c r="B59" s="408" t="s">
        <v>785</v>
      </c>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1847" t="s">
        <v>1968</v>
      </c>
      <c r="AF59" s="1847"/>
      <c r="AG59" s="1847"/>
      <c r="AH59" s="1847"/>
      <c r="AI59" s="1847"/>
      <c r="AJ59" s="1847"/>
      <c r="AK59" s="1847"/>
      <c r="AL59" s="409"/>
      <c r="AM59" s="409"/>
      <c r="AN59" s="404"/>
    </row>
    <row r="60" spans="1:50" s="405" customFormat="1" ht="12.75" customHeight="1">
      <c r="A60" s="407"/>
      <c r="B60" s="408" t="s">
        <v>1969</v>
      </c>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1184"/>
      <c r="AF60" s="1184"/>
      <c r="AG60" s="1184"/>
      <c r="AH60" s="1184"/>
      <c r="AI60" s="1184"/>
      <c r="AJ60" s="1184"/>
      <c r="AK60" s="1184"/>
      <c r="AL60" s="409"/>
      <c r="AM60" s="409"/>
      <c r="AN60" s="404"/>
    </row>
    <row r="61" spans="1:50" s="405" customFormat="1" ht="12.75" customHeight="1">
      <c r="A61" s="407"/>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1184"/>
      <c r="AF61" s="1184"/>
      <c r="AG61" s="1184"/>
      <c r="AH61" s="1184"/>
      <c r="AI61" s="1184"/>
      <c r="AJ61" s="1184"/>
      <c r="AK61" s="1184"/>
      <c r="AL61" s="409"/>
      <c r="AM61" s="409"/>
      <c r="AN61" s="404"/>
    </row>
    <row r="62" spans="1:50" s="405" customFormat="1" ht="12.75" customHeight="1">
      <c r="A62" s="407"/>
      <c r="B62" s="2030" t="s">
        <v>837</v>
      </c>
      <c r="C62" s="2030"/>
      <c r="D62" s="415" t="s">
        <v>1970</v>
      </c>
      <c r="E62" s="2022" t="s">
        <v>1971</v>
      </c>
      <c r="F62" s="2023"/>
      <c r="G62" s="2023"/>
      <c r="H62" s="2023"/>
      <c r="I62" s="2023"/>
      <c r="J62" s="2023"/>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4"/>
      <c r="AK62" s="1184"/>
      <c r="AL62" s="409"/>
      <c r="AM62" s="409"/>
      <c r="AN62" s="404"/>
      <c r="AO62" s="418">
        <f>IF($B62="yes",10,0)</f>
        <v>10</v>
      </c>
    </row>
    <row r="63" spans="1:50" s="405" customFormat="1" ht="12.75" customHeight="1">
      <c r="A63" s="407"/>
      <c r="B63" s="409"/>
      <c r="C63" s="409"/>
      <c r="D63" s="419"/>
      <c r="E63" s="2025"/>
      <c r="F63" s="2026"/>
      <c r="G63" s="2026"/>
      <c r="H63" s="2026"/>
      <c r="I63" s="2026"/>
      <c r="J63" s="2026"/>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7"/>
      <c r="AK63" s="1184"/>
      <c r="AL63" s="409"/>
      <c r="AM63" s="409"/>
      <c r="AN63" s="404"/>
      <c r="AO63" s="418">
        <f>IF($B68="yes",10,0)</f>
        <v>0</v>
      </c>
    </row>
    <row r="64" spans="1:50" s="405" customFormat="1" ht="12.75" customHeight="1">
      <c r="A64" s="407"/>
      <c r="B64" s="409"/>
      <c r="C64" s="409"/>
      <c r="D64" s="419"/>
      <c r="E64" s="2025"/>
      <c r="F64" s="2026"/>
      <c r="G64" s="2026"/>
      <c r="H64" s="2026"/>
      <c r="I64" s="2026"/>
      <c r="J64" s="2026"/>
      <c r="K64" s="2026"/>
      <c r="L64" s="2026"/>
      <c r="M64" s="2026"/>
      <c r="N64" s="2026"/>
      <c r="O64" s="2026"/>
      <c r="P64" s="2026"/>
      <c r="Q64" s="2026"/>
      <c r="R64" s="2026"/>
      <c r="S64" s="2026"/>
      <c r="T64" s="2026"/>
      <c r="U64" s="2026"/>
      <c r="V64" s="2026"/>
      <c r="W64" s="2026"/>
      <c r="X64" s="2026"/>
      <c r="Y64" s="2026"/>
      <c r="Z64" s="2026"/>
      <c r="AA64" s="2026"/>
      <c r="AB64" s="2026"/>
      <c r="AC64" s="2026"/>
      <c r="AD64" s="2026"/>
      <c r="AE64" s="2026"/>
      <c r="AF64" s="2026"/>
      <c r="AG64" s="2026"/>
      <c r="AH64" s="2026"/>
      <c r="AI64" s="2026"/>
      <c r="AJ64" s="2027"/>
      <c r="AK64" s="1184"/>
      <c r="AL64" s="409"/>
      <c r="AM64" s="409"/>
      <c r="AN64" s="404"/>
      <c r="AO64" s="418">
        <f>IF($B75="yes",10,0)</f>
        <v>0</v>
      </c>
    </row>
    <row r="65" spans="1:42" s="405" customFormat="1" ht="12.75" customHeight="1">
      <c r="A65" s="407"/>
      <c r="B65" s="409"/>
      <c r="C65" s="409"/>
      <c r="D65" s="419"/>
      <c r="E65" s="2025"/>
      <c r="F65" s="2026"/>
      <c r="G65" s="2026"/>
      <c r="H65" s="2026"/>
      <c r="I65" s="2026"/>
      <c r="J65" s="2026"/>
      <c r="K65" s="2026"/>
      <c r="L65" s="2026"/>
      <c r="M65" s="2026"/>
      <c r="N65" s="2026"/>
      <c r="O65" s="2026"/>
      <c r="P65" s="2026"/>
      <c r="Q65" s="2026"/>
      <c r="R65" s="2026"/>
      <c r="S65" s="2026"/>
      <c r="T65" s="2026"/>
      <c r="U65" s="2026"/>
      <c r="V65" s="2026"/>
      <c r="W65" s="2026"/>
      <c r="X65" s="2026"/>
      <c r="Y65" s="2026"/>
      <c r="Z65" s="2026"/>
      <c r="AA65" s="2026"/>
      <c r="AB65" s="2026"/>
      <c r="AC65" s="2026"/>
      <c r="AD65" s="2026"/>
      <c r="AE65" s="2026"/>
      <c r="AF65" s="2026"/>
      <c r="AG65" s="2026"/>
      <c r="AH65" s="2026"/>
      <c r="AI65" s="2026"/>
      <c r="AJ65" s="2027"/>
      <c r="AK65" s="1184"/>
      <c r="AL65" s="409"/>
      <c r="AM65" s="409"/>
      <c r="AN65" s="404"/>
      <c r="AO65" s="405">
        <f>IF(SUM(AO62:AO64)&gt;10,10,(SUM(AO62:AO64)))</f>
        <v>10</v>
      </c>
      <c r="AP65" s="439" t="s">
        <v>1972</v>
      </c>
    </row>
    <row r="66" spans="1:42" s="405" customFormat="1" ht="12.75" customHeight="1">
      <c r="A66" s="407"/>
      <c r="B66" s="409"/>
      <c r="C66" s="409"/>
      <c r="D66" s="419"/>
      <c r="E66" s="2052"/>
      <c r="F66" s="2053"/>
      <c r="G66" s="2053"/>
      <c r="H66" s="2053"/>
      <c r="I66" s="2053"/>
      <c r="J66" s="2053"/>
      <c r="K66" s="2053"/>
      <c r="L66" s="2053"/>
      <c r="M66" s="2053"/>
      <c r="N66" s="2053"/>
      <c r="O66" s="2053"/>
      <c r="P66" s="2053"/>
      <c r="Q66" s="2053"/>
      <c r="R66" s="2053"/>
      <c r="S66" s="2053"/>
      <c r="T66" s="2053"/>
      <c r="U66" s="2053"/>
      <c r="V66" s="2053"/>
      <c r="W66" s="2053"/>
      <c r="X66" s="2053"/>
      <c r="Y66" s="2053"/>
      <c r="Z66" s="2053"/>
      <c r="AA66" s="2053"/>
      <c r="AB66" s="2053"/>
      <c r="AC66" s="2053"/>
      <c r="AD66" s="2053"/>
      <c r="AE66" s="2053"/>
      <c r="AF66" s="2053"/>
      <c r="AG66" s="2053"/>
      <c r="AH66" s="2053"/>
      <c r="AI66" s="2053"/>
      <c r="AJ66" s="2054"/>
      <c r="AK66" s="1184"/>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84"/>
      <c r="AL67" s="409"/>
      <c r="AM67" s="409"/>
      <c r="AN67" s="404"/>
    </row>
    <row r="68" spans="1:42" s="405" customFormat="1" ht="12.75" customHeight="1">
      <c r="A68" s="407"/>
      <c r="B68" s="2030" t="s">
        <v>299</v>
      </c>
      <c r="C68" s="2030"/>
      <c r="D68" s="415" t="s">
        <v>1973</v>
      </c>
      <c r="E68" s="793" t="s">
        <v>1974</v>
      </c>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5"/>
      <c r="AK68" s="1184"/>
      <c r="AL68" s="409"/>
      <c r="AM68" s="409"/>
      <c r="AN68" s="404"/>
    </row>
    <row r="69" spans="1:42" s="405" customFormat="1" ht="12.75" customHeight="1">
      <c r="A69" s="407"/>
      <c r="B69" s="409"/>
      <c r="C69" s="409"/>
      <c r="D69" s="418"/>
      <c r="E69" s="2055" t="s">
        <v>299</v>
      </c>
      <c r="F69" s="2030"/>
      <c r="G69" s="440"/>
      <c r="H69" s="424" t="s">
        <v>1975</v>
      </c>
      <c r="I69" s="1183"/>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6"/>
      <c r="AK69" s="1184"/>
      <c r="AL69" s="409"/>
      <c r="AM69" s="409"/>
      <c r="AN69" s="404"/>
    </row>
    <row r="70" spans="1:42" s="405" customFormat="1" ht="12.75" customHeight="1">
      <c r="A70" s="407"/>
      <c r="B70" s="409"/>
      <c r="C70" s="409"/>
      <c r="D70" s="418"/>
      <c r="E70" s="2050" t="s">
        <v>299</v>
      </c>
      <c r="F70" s="2051"/>
      <c r="G70" s="440"/>
      <c r="H70" s="424" t="s">
        <v>1976</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6"/>
      <c r="AK70" s="1184"/>
      <c r="AL70" s="409"/>
      <c r="AM70" s="409"/>
      <c r="AN70" s="404"/>
    </row>
    <row r="71" spans="1:42" s="405" customFormat="1" ht="12.75" customHeight="1">
      <c r="A71" s="407"/>
      <c r="B71" s="409"/>
      <c r="C71" s="409"/>
      <c r="D71" s="418"/>
      <c r="E71" s="2050" t="s">
        <v>299</v>
      </c>
      <c r="F71" s="2051"/>
      <c r="G71" s="440"/>
      <c r="H71" s="424" t="s">
        <v>1977</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6"/>
      <c r="AK71" s="1184"/>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6"/>
      <c r="AK72" s="1184"/>
      <c r="AL72" s="409"/>
      <c r="AM72" s="409"/>
      <c r="AN72" s="404"/>
    </row>
    <row r="73" spans="1:42" s="405" customFormat="1" ht="12.75" customHeight="1">
      <c r="A73" s="407"/>
      <c r="B73" s="409"/>
      <c r="C73" s="409"/>
      <c r="D73" s="418"/>
      <c r="E73" s="2055" t="s">
        <v>299</v>
      </c>
      <c r="F73" s="2030"/>
      <c r="G73" s="1188"/>
      <c r="H73" s="798" t="s">
        <v>1978</v>
      </c>
      <c r="I73" s="1188"/>
      <c r="J73" s="1188"/>
      <c r="K73" s="1188"/>
      <c r="L73" s="1188"/>
      <c r="M73" s="1188"/>
      <c r="N73" s="1188"/>
      <c r="O73" s="1188"/>
      <c r="P73" s="1188"/>
      <c r="Q73" s="1188"/>
      <c r="R73" s="1188"/>
      <c r="S73" s="1188"/>
      <c r="T73" s="1188"/>
      <c r="U73" s="1188"/>
      <c r="V73" s="1188"/>
      <c r="W73" s="1188"/>
      <c r="X73" s="1188"/>
      <c r="Y73" s="1188"/>
      <c r="Z73" s="1188"/>
      <c r="AA73" s="1188"/>
      <c r="AB73" s="1188"/>
      <c r="AC73" s="1188"/>
      <c r="AD73" s="1188"/>
      <c r="AE73" s="1188"/>
      <c r="AF73" s="1188"/>
      <c r="AG73" s="1188"/>
      <c r="AH73" s="1188"/>
      <c r="AI73" s="1188"/>
      <c r="AJ73" s="1189"/>
      <c r="AK73" s="1184"/>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84"/>
      <c r="AL74" s="409"/>
      <c r="AM74" s="409"/>
      <c r="AN74" s="404"/>
    </row>
    <row r="75" spans="1:42" s="405" customFormat="1" ht="12.75" customHeight="1">
      <c r="A75" s="407"/>
      <c r="B75" s="2030" t="s">
        <v>299</v>
      </c>
      <c r="C75" s="2030"/>
      <c r="D75" s="415" t="s">
        <v>1979</v>
      </c>
      <c r="E75" s="1957" t="s">
        <v>1980</v>
      </c>
      <c r="F75" s="1958"/>
      <c r="G75" s="1958"/>
      <c r="H75" s="1958"/>
      <c r="I75" s="1958"/>
      <c r="J75" s="1958"/>
      <c r="K75" s="1958"/>
      <c r="L75" s="1958"/>
      <c r="M75" s="1958"/>
      <c r="N75" s="1958"/>
      <c r="O75" s="1958"/>
      <c r="P75" s="1958"/>
      <c r="Q75" s="1958"/>
      <c r="R75" s="1958"/>
      <c r="S75" s="1958"/>
      <c r="T75" s="1958"/>
      <c r="U75" s="1958"/>
      <c r="V75" s="1958"/>
      <c r="W75" s="1958"/>
      <c r="X75" s="1958"/>
      <c r="Y75" s="1958"/>
      <c r="Z75" s="1958"/>
      <c r="AA75" s="1958"/>
      <c r="AB75" s="1958"/>
      <c r="AC75" s="1958"/>
      <c r="AD75" s="1958"/>
      <c r="AE75" s="1958"/>
      <c r="AF75" s="1958"/>
      <c r="AG75" s="1958"/>
      <c r="AH75" s="1958"/>
      <c r="AI75" s="1958"/>
      <c r="AJ75" s="1959"/>
      <c r="AK75" s="1184"/>
      <c r="AL75" s="409"/>
      <c r="AM75" s="409"/>
      <c r="AN75" s="404"/>
    </row>
    <row r="76" spans="1:42" s="405" customFormat="1" ht="12.75" customHeight="1">
      <c r="A76" s="407"/>
      <c r="B76" s="409"/>
      <c r="C76" s="409"/>
      <c r="D76" s="418"/>
      <c r="E76" s="1982"/>
      <c r="F76" s="1983"/>
      <c r="G76" s="1983"/>
      <c r="H76" s="1983"/>
      <c r="I76" s="1983"/>
      <c r="J76" s="1983"/>
      <c r="K76" s="1983"/>
      <c r="L76" s="1983"/>
      <c r="M76" s="1983"/>
      <c r="N76" s="1983"/>
      <c r="O76" s="1983"/>
      <c r="P76" s="1983"/>
      <c r="Q76" s="1983"/>
      <c r="R76" s="1983"/>
      <c r="S76" s="1983"/>
      <c r="T76" s="1983"/>
      <c r="U76" s="1983"/>
      <c r="V76" s="1983"/>
      <c r="W76" s="1983"/>
      <c r="X76" s="1983"/>
      <c r="Y76" s="1983"/>
      <c r="Z76" s="1983"/>
      <c r="AA76" s="1983"/>
      <c r="AB76" s="1983"/>
      <c r="AC76" s="1983"/>
      <c r="AD76" s="1983"/>
      <c r="AE76" s="1983"/>
      <c r="AF76" s="1983"/>
      <c r="AG76" s="1983"/>
      <c r="AH76" s="1983"/>
      <c r="AI76" s="1983"/>
      <c r="AJ76" s="1984"/>
      <c r="AK76" s="1184"/>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84"/>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1981</v>
      </c>
      <c r="AK78" s="2003">
        <f>IF(AK56&gt;0,0,AO65)</f>
        <v>10</v>
      </c>
      <c r="AL78" s="2004"/>
      <c r="AM78" s="2005"/>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204"/>
      <c r="J80" s="1204"/>
      <c r="K80" s="1204"/>
      <c r="L80" s="1204"/>
      <c r="M80" s="1204"/>
      <c r="N80" s="1204"/>
      <c r="O80" s="1204"/>
      <c r="P80" s="1204"/>
      <c r="Q80" s="1204"/>
      <c r="R80" s="436"/>
      <c r="S80" s="408"/>
      <c r="T80" s="408"/>
      <c r="U80" s="408"/>
      <c r="V80" s="408"/>
      <c r="W80" s="408"/>
      <c r="X80" s="408"/>
      <c r="Y80" s="408"/>
      <c r="Z80" s="408"/>
      <c r="AA80" s="408"/>
      <c r="AB80" s="408"/>
      <c r="AC80" s="408"/>
      <c r="AD80" s="408"/>
      <c r="AE80" s="408"/>
      <c r="AF80" s="436"/>
      <c r="AG80" s="408"/>
      <c r="AH80" s="408"/>
      <c r="AI80" s="408"/>
      <c r="AJ80" s="408"/>
      <c r="AK80" s="418"/>
      <c r="AL80" s="418"/>
      <c r="AM80" s="418"/>
      <c r="AN80" s="404"/>
    </row>
    <row r="81" spans="1:43" s="405" customFormat="1" ht="12.75" customHeight="1">
      <c r="A81" s="407" t="s">
        <v>1982</v>
      </c>
      <c r="B81" s="408" t="s">
        <v>1983</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1847" t="s">
        <v>1946</v>
      </c>
      <c r="AF81" s="1847"/>
      <c r="AG81" s="1847"/>
      <c r="AH81" s="1847"/>
      <c r="AI81" s="1847"/>
      <c r="AJ81" s="1847"/>
      <c r="AK81" s="1847"/>
      <c r="AL81" s="409"/>
      <c r="AM81" s="409"/>
      <c r="AN81" s="404"/>
    </row>
    <row r="82" spans="1:43" s="405" customFormat="1" ht="12.75" customHeight="1">
      <c r="A82" s="407"/>
      <c r="B82" s="408" t="s">
        <v>1984</v>
      </c>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1184"/>
      <c r="AF82" s="1184"/>
      <c r="AG82" s="1184"/>
      <c r="AH82" s="1184"/>
      <c r="AI82" s="1184"/>
      <c r="AJ82" s="1184"/>
      <c r="AK82" s="1184"/>
      <c r="AL82" s="409"/>
      <c r="AM82" s="409"/>
      <c r="AN82" s="404"/>
    </row>
    <row r="83" spans="1:43" s="405" customFormat="1" ht="12.75" customHeight="1">
      <c r="A83" s="407"/>
      <c r="B83" s="408"/>
      <c r="C83" s="408"/>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1184"/>
      <c r="AF83" s="1184"/>
      <c r="AG83" s="1184"/>
      <c r="AH83" s="1184"/>
      <c r="AI83" s="1184"/>
      <c r="AJ83" s="1184"/>
      <c r="AK83" s="1184"/>
      <c r="AL83" s="409"/>
      <c r="AM83" s="409"/>
      <c r="AN83" s="404"/>
    </row>
    <row r="84" spans="1:43" s="405" customFormat="1" ht="12.75" customHeight="1">
      <c r="A84" s="407"/>
      <c r="B84" s="2030" t="s">
        <v>299</v>
      </c>
      <c r="C84" s="2030"/>
      <c r="D84" s="415" t="s">
        <v>1970</v>
      </c>
      <c r="E84" s="2022" t="s">
        <v>1985</v>
      </c>
      <c r="F84" s="2023"/>
      <c r="G84" s="2023"/>
      <c r="H84" s="2023"/>
      <c r="I84" s="2023"/>
      <c r="J84" s="2023"/>
      <c r="K84" s="2023"/>
      <c r="L84" s="2023"/>
      <c r="M84" s="2023"/>
      <c r="N84" s="2023"/>
      <c r="O84" s="2023"/>
      <c r="P84" s="2023"/>
      <c r="Q84" s="2023"/>
      <c r="R84" s="2023"/>
      <c r="S84" s="2023"/>
      <c r="T84" s="2023"/>
      <c r="U84" s="2023"/>
      <c r="V84" s="2023"/>
      <c r="W84" s="2023"/>
      <c r="X84" s="2023"/>
      <c r="Y84" s="2023"/>
      <c r="Z84" s="2023"/>
      <c r="AA84" s="2023"/>
      <c r="AB84" s="2023"/>
      <c r="AC84" s="2023"/>
      <c r="AD84" s="2023"/>
      <c r="AE84" s="2023"/>
      <c r="AF84" s="2023"/>
      <c r="AG84" s="2023"/>
      <c r="AH84" s="2023"/>
      <c r="AI84" s="2023"/>
      <c r="AJ84" s="2024"/>
      <c r="AK84" s="1184"/>
      <c r="AL84" s="409"/>
      <c r="AM84" s="409"/>
      <c r="AN84" s="404"/>
    </row>
    <row r="85" spans="1:43" s="405" customFormat="1" ht="12.75" customHeight="1">
      <c r="A85" s="407"/>
      <c r="B85" s="408"/>
      <c r="C85" s="408"/>
      <c r="D85" s="408"/>
      <c r="E85" s="2025"/>
      <c r="F85" s="2026"/>
      <c r="G85" s="2026"/>
      <c r="H85" s="2026"/>
      <c r="I85" s="2026"/>
      <c r="J85" s="2026"/>
      <c r="K85" s="2026"/>
      <c r="L85" s="2026"/>
      <c r="M85" s="2026"/>
      <c r="N85" s="2026"/>
      <c r="O85" s="2026"/>
      <c r="P85" s="2026"/>
      <c r="Q85" s="2026"/>
      <c r="R85" s="2026"/>
      <c r="S85" s="2026"/>
      <c r="T85" s="2026"/>
      <c r="U85" s="2026"/>
      <c r="V85" s="2026"/>
      <c r="W85" s="2026"/>
      <c r="X85" s="2026"/>
      <c r="Y85" s="2026"/>
      <c r="Z85" s="2026"/>
      <c r="AA85" s="2026"/>
      <c r="AB85" s="2026"/>
      <c r="AC85" s="2026"/>
      <c r="AD85" s="2026"/>
      <c r="AE85" s="2026"/>
      <c r="AF85" s="2026"/>
      <c r="AG85" s="2026"/>
      <c r="AH85" s="2026"/>
      <c r="AI85" s="2026"/>
      <c r="AJ85" s="2027"/>
      <c r="AK85" s="1184"/>
      <c r="AL85" s="409"/>
      <c r="AM85" s="409"/>
      <c r="AN85" s="404"/>
    </row>
    <row r="86" spans="1:43" s="405" customFormat="1" ht="12.75" customHeight="1">
      <c r="A86" s="407"/>
      <c r="B86" s="408"/>
      <c r="C86" s="408"/>
      <c r="D86" s="408"/>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84"/>
      <c r="AL86" s="409"/>
      <c r="AM86" s="409"/>
      <c r="AN86" s="404"/>
    </row>
    <row r="87" spans="1:43" s="405" customFormat="1" ht="12.75" customHeight="1">
      <c r="A87" s="407"/>
      <c r="B87" s="408"/>
      <c r="C87" s="408"/>
      <c r="D87" s="408"/>
      <c r="E87" s="2018">
        <f>Application!AC753</f>
        <v>0.484375</v>
      </c>
      <c r="F87" s="2019"/>
      <c r="G87" s="2019"/>
      <c r="H87" s="2019"/>
      <c r="I87" s="442"/>
      <c r="J87" s="445" t="s">
        <v>1986</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84"/>
      <c r="AL87" s="409"/>
      <c r="AM87" s="409"/>
      <c r="AN87" s="404"/>
    </row>
    <row r="88" spans="1:43" s="405" customFormat="1" ht="12.75" customHeight="1">
      <c r="A88" s="407"/>
      <c r="B88" s="408"/>
      <c r="C88" s="408"/>
      <c r="D88" s="408"/>
      <c r="E88" s="2049">
        <f>0.6-ROUNDUP(E87,2)</f>
        <v>0.10999999999999999</v>
      </c>
      <c r="F88" s="1821"/>
      <c r="G88" s="1821"/>
      <c r="H88" s="1821"/>
      <c r="I88" s="442"/>
      <c r="J88" s="445" t="s">
        <v>1987</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84"/>
      <c r="AL88" s="409"/>
      <c r="AM88" s="409"/>
      <c r="AN88" s="404"/>
    </row>
    <row r="89" spans="1:43" s="405" customFormat="1" ht="12.75" customHeight="1">
      <c r="A89" s="407"/>
      <c r="B89" s="408"/>
      <c r="C89" s="408"/>
      <c r="D89" s="408"/>
      <c r="E89" s="2034">
        <f>IF(E88*200&gt;20,20,E88*200)</f>
        <v>20</v>
      </c>
      <c r="F89" s="2035"/>
      <c r="G89" s="2035"/>
      <c r="H89" s="2035"/>
      <c r="I89" s="442"/>
      <c r="J89" s="445" t="s">
        <v>1988</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84"/>
      <c r="AL89" s="409"/>
      <c r="AM89" s="409"/>
      <c r="AN89" s="404"/>
      <c r="AP89" s="405">
        <f>IF(B84="yes",E89,0)</f>
        <v>0</v>
      </c>
      <c r="AQ89" s="405" t="s">
        <v>1952</v>
      </c>
    </row>
    <row r="90" spans="1:43" s="405" customFormat="1" ht="12.75" customHeight="1">
      <c r="A90" s="407"/>
      <c r="B90" s="408"/>
      <c r="C90" s="408"/>
      <c r="D90" s="408"/>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84"/>
      <c r="AL90" s="409"/>
      <c r="AM90" s="409"/>
      <c r="AN90" s="404"/>
    </row>
    <row r="91" spans="1:43" s="405" customFormat="1" ht="12.75" customHeight="1">
      <c r="A91" s="407"/>
      <c r="B91" s="408"/>
      <c r="C91" s="408"/>
      <c r="D91" s="408"/>
      <c r="E91" s="408"/>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1184"/>
      <c r="AF91" s="1184"/>
      <c r="AG91" s="1184"/>
      <c r="AH91" s="1184"/>
      <c r="AI91" s="1184"/>
      <c r="AJ91" s="1184"/>
      <c r="AK91" s="1184"/>
      <c r="AL91" s="409"/>
      <c r="AM91" s="409"/>
      <c r="AN91" s="404"/>
    </row>
    <row r="92" spans="1:43" s="405" customFormat="1" ht="12.75" customHeight="1">
      <c r="A92" s="407"/>
      <c r="B92" s="2030" t="s">
        <v>837</v>
      </c>
      <c r="C92" s="2030"/>
      <c r="D92" s="415" t="s">
        <v>1973</v>
      </c>
      <c r="E92" s="2022" t="s">
        <v>1989</v>
      </c>
      <c r="F92" s="2023"/>
      <c r="G92" s="2023"/>
      <c r="H92" s="2023"/>
      <c r="I92" s="2023"/>
      <c r="J92" s="2023"/>
      <c r="K92" s="2023"/>
      <c r="L92" s="2023"/>
      <c r="M92" s="2023"/>
      <c r="N92" s="2023"/>
      <c r="O92" s="2023"/>
      <c r="P92" s="2023"/>
      <c r="Q92" s="2023"/>
      <c r="R92" s="2023"/>
      <c r="S92" s="2023"/>
      <c r="T92" s="2023"/>
      <c r="U92" s="2023"/>
      <c r="V92" s="2023"/>
      <c r="W92" s="2023"/>
      <c r="X92" s="2023"/>
      <c r="Y92" s="2023"/>
      <c r="Z92" s="2023"/>
      <c r="AA92" s="2023"/>
      <c r="AB92" s="2023"/>
      <c r="AC92" s="2023"/>
      <c r="AD92" s="2023"/>
      <c r="AE92" s="2023"/>
      <c r="AF92" s="2023"/>
      <c r="AG92" s="2023"/>
      <c r="AH92" s="2023"/>
      <c r="AI92" s="2023"/>
      <c r="AJ92" s="2024"/>
      <c r="AK92" s="1184"/>
      <c r="AL92" s="409"/>
      <c r="AM92" s="409"/>
      <c r="AN92" s="404"/>
    </row>
    <row r="93" spans="1:43" s="405" customFormat="1" ht="12.75" customHeight="1">
      <c r="A93" s="407"/>
      <c r="B93" s="408"/>
      <c r="C93" s="408"/>
      <c r="D93" s="408"/>
      <c r="E93" s="2025"/>
      <c r="F93" s="2026"/>
      <c r="G93" s="2026"/>
      <c r="H93" s="2026"/>
      <c r="I93" s="2026"/>
      <c r="J93" s="2026"/>
      <c r="K93" s="2026"/>
      <c r="L93" s="2026"/>
      <c r="M93" s="2026"/>
      <c r="N93" s="2026"/>
      <c r="O93" s="2026"/>
      <c r="P93" s="2026"/>
      <c r="Q93" s="2026"/>
      <c r="R93" s="2026"/>
      <c r="S93" s="2026"/>
      <c r="T93" s="2026"/>
      <c r="U93" s="2026"/>
      <c r="V93" s="2026"/>
      <c r="W93" s="2026"/>
      <c r="X93" s="2026"/>
      <c r="Y93" s="2026"/>
      <c r="Z93" s="2026"/>
      <c r="AA93" s="2026"/>
      <c r="AB93" s="2026"/>
      <c r="AC93" s="2026"/>
      <c r="AD93" s="2026"/>
      <c r="AE93" s="2026"/>
      <c r="AF93" s="2026"/>
      <c r="AG93" s="2026"/>
      <c r="AH93" s="2026"/>
      <c r="AI93" s="2026"/>
      <c r="AJ93" s="2027"/>
      <c r="AK93" s="1184"/>
      <c r="AL93" s="409"/>
      <c r="AM93" s="409"/>
      <c r="AN93" s="404"/>
    </row>
    <row r="94" spans="1:43" s="405" customFormat="1" ht="12.75" customHeight="1">
      <c r="A94" s="407"/>
      <c r="B94" s="408"/>
      <c r="C94" s="408"/>
      <c r="D94" s="408"/>
      <c r="E94" s="2025"/>
      <c r="F94" s="2026"/>
      <c r="G94" s="2026"/>
      <c r="H94" s="2026"/>
      <c r="I94" s="2026"/>
      <c r="J94" s="2026"/>
      <c r="K94" s="2026"/>
      <c r="L94" s="2026"/>
      <c r="M94" s="2026"/>
      <c r="N94" s="2026"/>
      <c r="O94" s="2026"/>
      <c r="P94" s="2026"/>
      <c r="Q94" s="2026"/>
      <c r="R94" s="2026"/>
      <c r="S94" s="2026"/>
      <c r="T94" s="2026"/>
      <c r="U94" s="2026"/>
      <c r="V94" s="2026"/>
      <c r="W94" s="2026"/>
      <c r="X94" s="2026"/>
      <c r="Y94" s="2026"/>
      <c r="Z94" s="2026"/>
      <c r="AA94" s="2026"/>
      <c r="AB94" s="2026"/>
      <c r="AC94" s="2026"/>
      <c r="AD94" s="2026"/>
      <c r="AE94" s="2026"/>
      <c r="AF94" s="2026"/>
      <c r="AG94" s="2026"/>
      <c r="AH94" s="2026"/>
      <c r="AI94" s="2026"/>
      <c r="AJ94" s="2027"/>
      <c r="AK94" s="1184"/>
      <c r="AL94" s="409"/>
      <c r="AM94" s="409"/>
      <c r="AN94" s="404"/>
    </row>
    <row r="95" spans="1:43" s="405" customFormat="1" ht="12.75" customHeight="1">
      <c r="A95" s="407"/>
      <c r="B95" s="408"/>
      <c r="C95" s="408"/>
      <c r="D95" s="408"/>
      <c r="E95" s="2025"/>
      <c r="F95" s="2026"/>
      <c r="G95" s="2026"/>
      <c r="H95" s="2026"/>
      <c r="I95" s="2026"/>
      <c r="J95" s="2026"/>
      <c r="K95" s="2026"/>
      <c r="L95" s="2026"/>
      <c r="M95" s="2026"/>
      <c r="N95" s="2026"/>
      <c r="O95" s="2026"/>
      <c r="P95" s="2026"/>
      <c r="Q95" s="2026"/>
      <c r="R95" s="2026"/>
      <c r="S95" s="2026"/>
      <c r="T95" s="2026"/>
      <c r="U95" s="2026"/>
      <c r="V95" s="2026"/>
      <c r="W95" s="2026"/>
      <c r="X95" s="2026"/>
      <c r="Y95" s="2026"/>
      <c r="Z95" s="2026"/>
      <c r="AA95" s="2026"/>
      <c r="AB95" s="2026"/>
      <c r="AC95" s="2026"/>
      <c r="AD95" s="2026"/>
      <c r="AE95" s="2026"/>
      <c r="AF95" s="2026"/>
      <c r="AG95" s="2026"/>
      <c r="AH95" s="2026"/>
      <c r="AI95" s="2026"/>
      <c r="AJ95" s="2027"/>
      <c r="AK95" s="1184"/>
      <c r="AL95" s="409"/>
      <c r="AM95" s="409"/>
      <c r="AN95" s="404"/>
    </row>
    <row r="96" spans="1:43" s="405" customFormat="1" ht="12.75" customHeight="1">
      <c r="A96" s="407"/>
      <c r="B96" s="408"/>
      <c r="C96" s="408"/>
      <c r="D96" s="408"/>
      <c r="E96" s="1185"/>
      <c r="F96" s="1186"/>
      <c r="G96" s="1186"/>
      <c r="H96" s="1186"/>
      <c r="I96" s="1186"/>
      <c r="J96" s="1186"/>
      <c r="K96" s="1186"/>
      <c r="L96" s="1186"/>
      <c r="M96" s="1186"/>
      <c r="N96" s="1186"/>
      <c r="O96" s="1186"/>
      <c r="P96" s="1186"/>
      <c r="Q96" s="1186"/>
      <c r="R96" s="1186"/>
      <c r="S96" s="1186"/>
      <c r="T96" s="1186"/>
      <c r="U96" s="1186"/>
      <c r="V96" s="1186"/>
      <c r="W96" s="1186"/>
      <c r="X96" s="1186"/>
      <c r="Y96" s="1186"/>
      <c r="Z96" s="1186"/>
      <c r="AA96" s="1186"/>
      <c r="AB96" s="1186"/>
      <c r="AC96" s="1186"/>
      <c r="AD96" s="1186"/>
      <c r="AE96" s="1186"/>
      <c r="AF96" s="1186"/>
      <c r="AG96" s="1186"/>
      <c r="AH96" s="1186"/>
      <c r="AI96" s="1186"/>
      <c r="AJ96" s="1187"/>
      <c r="AK96" s="1184"/>
      <c r="AL96" s="409"/>
      <c r="AM96" s="409"/>
      <c r="AN96" s="404"/>
    </row>
    <row r="97" spans="1:49" s="405" customFormat="1" ht="12.75" customHeight="1">
      <c r="A97" s="407"/>
      <c r="B97" s="408"/>
      <c r="C97" s="408"/>
      <c r="D97" s="408"/>
      <c r="E97" s="2018">
        <f>Application!AC753</f>
        <v>0.484375</v>
      </c>
      <c r="F97" s="2019"/>
      <c r="G97" s="2019"/>
      <c r="H97" s="2019"/>
      <c r="I97" s="442"/>
      <c r="J97" s="445" t="s">
        <v>1986</v>
      </c>
      <c r="K97" s="442"/>
      <c r="L97" s="442"/>
      <c r="M97" s="442"/>
      <c r="N97" s="442"/>
      <c r="O97" s="442"/>
      <c r="P97" s="442"/>
      <c r="Q97" s="442"/>
      <c r="R97" s="1186"/>
      <c r="S97" s="1186"/>
      <c r="T97" s="1186"/>
      <c r="U97" s="1186"/>
      <c r="V97" s="1186"/>
      <c r="W97" s="1186"/>
      <c r="X97" s="1186"/>
      <c r="Y97" s="1186"/>
      <c r="Z97" s="1186"/>
      <c r="AA97" s="1186"/>
      <c r="AB97" s="1186"/>
      <c r="AC97" s="1186"/>
      <c r="AD97" s="1186"/>
      <c r="AE97" s="1186"/>
      <c r="AF97" s="1186"/>
      <c r="AG97" s="1186"/>
      <c r="AH97" s="1186"/>
      <c r="AI97" s="1186"/>
      <c r="AJ97" s="1187"/>
      <c r="AK97" s="1184"/>
      <c r="AL97" s="409"/>
      <c r="AM97" s="409"/>
      <c r="AN97" s="404"/>
    </row>
    <row r="98" spans="1:49" s="405" customFormat="1" ht="12.75" customHeight="1">
      <c r="A98" s="407"/>
      <c r="B98" s="408"/>
      <c r="C98" s="408"/>
      <c r="D98" s="408"/>
      <c r="E98" s="2018">
        <f ca="1">SUMIF(Application!AC718:AG752,0.2,Application!G718:J752)/Application!G753+SUMIF(Application!AC718:AG752,0.25,Application!G718:J752)/Application!G753+SUMIF(Application!AC718:AG752,0.3,Application!G718:J752)/Application!G753</f>
        <v>0.265625</v>
      </c>
      <c r="F98" s="2019"/>
      <c r="G98" s="2019"/>
      <c r="H98" s="2019"/>
      <c r="I98" s="442"/>
      <c r="J98" s="445" t="s">
        <v>1990</v>
      </c>
      <c r="K98" s="442"/>
      <c r="L98" s="442"/>
      <c r="M98" s="442"/>
      <c r="N98" s="442"/>
      <c r="O98" s="442"/>
      <c r="P98" s="442"/>
      <c r="Q98" s="442"/>
      <c r="R98" s="1186"/>
      <c r="S98" s="1186"/>
      <c r="T98" s="1186"/>
      <c r="U98" s="1186"/>
      <c r="V98" s="1186"/>
      <c r="W98" s="1186"/>
      <c r="X98" s="1186"/>
      <c r="Y98" s="1186"/>
      <c r="Z98" s="1186"/>
      <c r="AA98" s="1186"/>
      <c r="AB98" s="1186"/>
      <c r="AC98" s="1186"/>
      <c r="AD98" s="1186"/>
      <c r="AE98" s="1186"/>
      <c r="AF98" s="1186"/>
      <c r="AG98" s="1186"/>
      <c r="AH98" s="1186"/>
      <c r="AI98" s="1186"/>
      <c r="AJ98" s="1187"/>
      <c r="AK98" s="1184"/>
      <c r="AL98" s="409"/>
      <c r="AM98" s="409"/>
      <c r="AN98" s="404"/>
      <c r="AU98" s="704"/>
    </row>
    <row r="99" spans="1:49" s="405" customFormat="1" ht="12.75" customHeight="1">
      <c r="A99" s="407"/>
      <c r="B99" s="408"/>
      <c r="C99" s="408"/>
      <c r="D99" s="408"/>
      <c r="E99" s="2018">
        <f ca="1">SUMIF(Application!AC718:AG752,0.35,Application!G718:J752)/Application!G753+SUMIF(Application!AC718:AG752,0.4,Application!G718:J752)/Application!G753+SUMIF(Application!AC718:AG752,0.45,Application!G718:J752)/Application!G753+SUMIF(Application!AC718:AG752,0.5,Application!G718:J752)/Application!G753</f>
        <v>0.546875</v>
      </c>
      <c r="F99" s="2019"/>
      <c r="G99" s="2019"/>
      <c r="H99" s="2019"/>
      <c r="I99" s="442"/>
      <c r="J99" s="445" t="s">
        <v>1991</v>
      </c>
      <c r="K99" s="442"/>
      <c r="L99" s="442"/>
      <c r="M99" s="442"/>
      <c r="N99" s="442"/>
      <c r="O99" s="442"/>
      <c r="P99" s="442"/>
      <c r="Q99" s="442"/>
      <c r="R99" s="1186"/>
      <c r="S99" s="1186"/>
      <c r="T99" s="1186"/>
      <c r="U99" s="1186"/>
      <c r="V99" s="1186"/>
      <c r="W99" s="1186"/>
      <c r="X99" s="1186"/>
      <c r="Y99" s="1186"/>
      <c r="Z99" s="1186"/>
      <c r="AA99" s="1186"/>
      <c r="AB99" s="1186"/>
      <c r="AC99" s="1186"/>
      <c r="AD99" s="1186"/>
      <c r="AE99" s="1186"/>
      <c r="AF99" s="1186"/>
      <c r="AG99" s="1186"/>
      <c r="AH99" s="1186"/>
      <c r="AI99" s="1186"/>
      <c r="AJ99" s="1187"/>
      <c r="AK99" s="1184"/>
      <c r="AL99" s="409"/>
      <c r="AM99" s="409"/>
      <c r="AN99" s="404"/>
      <c r="AU99" s="704"/>
    </row>
    <row r="100" spans="1:49" s="405" customFormat="1" ht="12.75" customHeight="1">
      <c r="A100" s="407"/>
      <c r="B100" s="408"/>
      <c r="C100" s="408"/>
      <c r="D100" s="408"/>
      <c r="E100" s="2016">
        <f ca="1">IF(AND(E97&lt;=0.6,OR(AND(E98&gt;=0.1,E99&gt;=0.1),AND(E98&gt;0.1,(E98+E99)&gt;=0.2))),20,0)</f>
        <v>20</v>
      </c>
      <c r="F100" s="2017"/>
      <c r="G100" s="2017"/>
      <c r="H100" s="2017"/>
      <c r="I100" s="1186"/>
      <c r="J100" s="451" t="s">
        <v>1988</v>
      </c>
      <c r="K100" s="1186"/>
      <c r="L100" s="1186"/>
      <c r="M100" s="1186"/>
      <c r="N100" s="1186"/>
      <c r="O100" s="1186"/>
      <c r="P100" s="1186"/>
      <c r="Q100" s="1186"/>
      <c r="R100" s="1186"/>
      <c r="S100" s="1186"/>
      <c r="T100" s="1186"/>
      <c r="U100" s="1186"/>
      <c r="V100" s="1186"/>
      <c r="W100" s="1186"/>
      <c r="X100" s="1186"/>
      <c r="Y100" s="1186"/>
      <c r="Z100" s="1186"/>
      <c r="AA100" s="1186"/>
      <c r="AB100" s="1186"/>
      <c r="AC100" s="1186"/>
      <c r="AD100" s="1186"/>
      <c r="AE100" s="1186"/>
      <c r="AF100" s="1186"/>
      <c r="AG100" s="1186"/>
      <c r="AH100" s="1186"/>
      <c r="AI100" s="1186"/>
      <c r="AJ100" s="1187"/>
      <c r="AK100" s="1184"/>
      <c r="AL100" s="409"/>
      <c r="AM100" s="409"/>
      <c r="AN100" s="404"/>
      <c r="AP100" s="405">
        <f ca="1">IF(B92="yes",E100,0)</f>
        <v>20</v>
      </c>
      <c r="AQ100" s="405" t="s">
        <v>1952</v>
      </c>
    </row>
    <row r="101" spans="1:49" s="405" customFormat="1" ht="12.75" customHeight="1">
      <c r="A101" s="407"/>
      <c r="B101" s="408"/>
      <c r="C101" s="408"/>
      <c r="D101" s="408"/>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84"/>
      <c r="AL101" s="409"/>
      <c r="AM101" s="409"/>
      <c r="AN101" s="404"/>
    </row>
    <row r="102" spans="1:49" s="405" customFormat="1" ht="12.75" customHeight="1">
      <c r="A102" s="407"/>
      <c r="B102" s="408"/>
      <c r="C102" s="408"/>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1184"/>
      <c r="AF102" s="1184"/>
      <c r="AG102" s="1184"/>
      <c r="AH102" s="1184"/>
      <c r="AI102" s="1184"/>
      <c r="AJ102" s="1184"/>
      <c r="AK102" s="1184"/>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1992</v>
      </c>
      <c r="AK103" s="2003">
        <f ca="1">MAX(AP89,AP100)</f>
        <v>20</v>
      </c>
      <c r="AL103" s="2004"/>
      <c r="AM103" s="2005"/>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204"/>
      <c r="J105" s="1204"/>
      <c r="K105" s="1204"/>
      <c r="L105" s="1204"/>
      <c r="M105" s="1204"/>
      <c r="N105" s="1204"/>
      <c r="O105" s="1204"/>
      <c r="P105" s="1204"/>
      <c r="Q105" s="1204"/>
      <c r="R105" s="436"/>
      <c r="S105" s="408"/>
      <c r="T105" s="408"/>
      <c r="U105" s="408"/>
      <c r="V105" s="408"/>
      <c r="W105" s="408"/>
      <c r="X105" s="408"/>
      <c r="Y105" s="408"/>
      <c r="Z105" s="408"/>
      <c r="AA105" s="408"/>
      <c r="AB105" s="408"/>
      <c r="AC105" s="408"/>
      <c r="AD105" s="408"/>
      <c r="AE105" s="408"/>
      <c r="AF105" s="436"/>
      <c r="AG105" s="408"/>
      <c r="AH105" s="408"/>
      <c r="AI105" s="408"/>
      <c r="AJ105" s="408"/>
      <c r="AK105" s="418"/>
      <c r="AL105" s="418"/>
      <c r="AM105" s="418"/>
      <c r="AN105" s="404"/>
    </row>
    <row r="106" spans="1:49" s="405" customFormat="1" ht="12.75" customHeight="1">
      <c r="A106" s="407" t="s">
        <v>1993</v>
      </c>
      <c r="B106" s="408" t="s">
        <v>1994</v>
      </c>
      <c r="C106" s="408"/>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1847" t="s">
        <v>1968</v>
      </c>
      <c r="AF106" s="1847"/>
      <c r="AG106" s="1847"/>
      <c r="AH106" s="1847"/>
      <c r="AI106" s="1847"/>
      <c r="AJ106" s="1847"/>
      <c r="AK106" s="1847"/>
      <c r="AL106" s="409"/>
      <c r="AM106" s="409"/>
      <c r="AN106" s="404"/>
      <c r="AO106" s="405" t="str">
        <f>Application!B718</f>
        <v>1 Bedroom</v>
      </c>
      <c r="AQ106" s="405">
        <f ca="1">Application!O718</f>
        <v>2481.4</v>
      </c>
    </row>
    <row r="107" spans="1:49" s="405" customFormat="1" ht="12.75" customHeight="1">
      <c r="A107" s="409"/>
      <c r="B107" s="408" t="s">
        <v>1984</v>
      </c>
      <c r="C107" s="408"/>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1184"/>
      <c r="AF107" s="1184"/>
      <c r="AG107" s="1184"/>
      <c r="AH107" s="1184"/>
      <c r="AI107" s="1184"/>
      <c r="AJ107" s="1184"/>
      <c r="AK107" s="409"/>
      <c r="AL107" s="409"/>
      <c r="AM107" s="409"/>
      <c r="AN107" s="404"/>
      <c r="AO107" s="405" t="str">
        <f>Application!B719</f>
        <v>1 Bedroom</v>
      </c>
      <c r="AQ107" s="405">
        <f ca="1">Application!O719</f>
        <v>1747</v>
      </c>
    </row>
    <row r="108" spans="1:49" s="405" customFormat="1" ht="12.75" customHeight="1">
      <c r="A108" s="409"/>
      <c r="B108" s="408"/>
      <c r="C108" s="408"/>
      <c r="D108" s="408"/>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1 Bedroom</v>
      </c>
      <c r="AQ108" s="405">
        <f ca="1">Application!O720</f>
        <v>278.2</v>
      </c>
    </row>
    <row r="109" spans="1:49" s="405" customFormat="1" ht="12.75" customHeight="1">
      <c r="A109" s="409"/>
      <c r="B109" s="2030" t="s">
        <v>837</v>
      </c>
      <c r="C109" s="2030"/>
      <c r="D109" s="415" t="s">
        <v>1970</v>
      </c>
      <c r="E109" s="2022" t="s">
        <v>1995</v>
      </c>
      <c r="F109" s="2023"/>
      <c r="G109" s="2023"/>
      <c r="H109" s="2023"/>
      <c r="I109" s="2023"/>
      <c r="J109" s="2023"/>
      <c r="K109" s="2023"/>
      <c r="L109" s="2023"/>
      <c r="M109" s="2023"/>
      <c r="N109" s="2023"/>
      <c r="O109" s="2023"/>
      <c r="P109" s="2023"/>
      <c r="Q109" s="2023"/>
      <c r="R109" s="2023"/>
      <c r="S109" s="2023"/>
      <c r="T109" s="2023"/>
      <c r="U109" s="2023"/>
      <c r="V109" s="2023"/>
      <c r="W109" s="2023"/>
      <c r="X109" s="2023"/>
      <c r="Y109" s="2023"/>
      <c r="Z109" s="2023"/>
      <c r="AA109" s="2023"/>
      <c r="AB109" s="2023"/>
      <c r="AC109" s="2023"/>
      <c r="AD109" s="2023"/>
      <c r="AE109" s="2023"/>
      <c r="AF109" s="2023"/>
      <c r="AG109" s="2023"/>
      <c r="AH109" s="2023"/>
      <c r="AI109" s="2023"/>
      <c r="AJ109" s="2024"/>
      <c r="AK109" s="409"/>
      <c r="AL109" s="409"/>
      <c r="AM109" s="409"/>
      <c r="AN109" s="404"/>
      <c r="AO109" s="405" t="str">
        <f>Application!B721</f>
        <v>2 Bedrooms</v>
      </c>
      <c r="AQ109" s="405">
        <f ca="1">Application!O721</f>
        <v>2959.2</v>
      </c>
      <c r="AU109" s="405" t="s">
        <v>1996</v>
      </c>
      <c r="AV109" s="457" t="s">
        <v>1997</v>
      </c>
      <c r="AW109" s="405" t="s">
        <v>1998</v>
      </c>
    </row>
    <row r="110" spans="1:49" s="405" customFormat="1" ht="12.75" customHeight="1">
      <c r="A110" s="409"/>
      <c r="B110" s="408"/>
      <c r="C110" s="408"/>
      <c r="D110" s="408"/>
      <c r="E110" s="2025"/>
      <c r="F110" s="2026"/>
      <c r="G110" s="2026"/>
      <c r="H110" s="2026"/>
      <c r="I110" s="2026"/>
      <c r="J110" s="2026"/>
      <c r="K110" s="2026"/>
      <c r="L110" s="2026"/>
      <c r="M110" s="2026"/>
      <c r="N110" s="2026"/>
      <c r="O110" s="2026"/>
      <c r="P110" s="2026"/>
      <c r="Q110" s="2026"/>
      <c r="R110" s="2026"/>
      <c r="S110" s="2026"/>
      <c r="T110" s="2026"/>
      <c r="U110" s="2026"/>
      <c r="V110" s="2026"/>
      <c r="W110" s="2026"/>
      <c r="X110" s="2026"/>
      <c r="Y110" s="2026"/>
      <c r="Z110" s="2026"/>
      <c r="AA110" s="2026"/>
      <c r="AB110" s="2026"/>
      <c r="AC110" s="2026"/>
      <c r="AD110" s="2026"/>
      <c r="AE110" s="2026"/>
      <c r="AF110" s="2026"/>
      <c r="AG110" s="2026"/>
      <c r="AH110" s="2026"/>
      <c r="AI110" s="2026"/>
      <c r="AJ110" s="2027"/>
      <c r="AK110" s="409"/>
      <c r="AL110" s="409"/>
      <c r="AM110" s="409"/>
      <c r="AN110" s="404"/>
      <c r="AO110" s="405" t="str">
        <f>Application!B722</f>
        <v>2 Bedrooms</v>
      </c>
      <c r="AQ110" s="405">
        <f ca="1">Application!O722</f>
        <v>2078</v>
      </c>
      <c r="AU110" s="699" t="str">
        <f>E118</f>
        <v>Studio/SRO</v>
      </c>
      <c r="AV110" s="405">
        <f t="array" ref="AV110">SUM(IF(Application!B718:F752="SRO/Studio",Application!G718:J752))</f>
        <v>0</v>
      </c>
      <c r="AW110" s="823">
        <f>AV110/AV116</f>
        <v>0</v>
      </c>
    </row>
    <row r="111" spans="1:49" s="405" customFormat="1" ht="12.75" customHeight="1">
      <c r="A111" s="409"/>
      <c r="B111" s="408"/>
      <c r="C111" s="408"/>
      <c r="D111" s="408"/>
      <c r="E111" s="2025"/>
      <c r="F111" s="2026"/>
      <c r="G111" s="2026"/>
      <c r="H111" s="2026"/>
      <c r="I111" s="2026"/>
      <c r="J111" s="2026"/>
      <c r="K111" s="2026"/>
      <c r="L111" s="2026"/>
      <c r="M111" s="2026"/>
      <c r="N111" s="2026"/>
      <c r="O111" s="2026"/>
      <c r="P111" s="2026"/>
      <c r="Q111" s="2026"/>
      <c r="R111" s="2026"/>
      <c r="S111" s="2026"/>
      <c r="T111" s="2026"/>
      <c r="U111" s="2026"/>
      <c r="V111" s="2026"/>
      <c r="W111" s="2026"/>
      <c r="X111" s="2026"/>
      <c r="Y111" s="2026"/>
      <c r="Z111" s="2026"/>
      <c r="AA111" s="2026"/>
      <c r="AB111" s="2026"/>
      <c r="AC111" s="2026"/>
      <c r="AD111" s="2026"/>
      <c r="AE111" s="2026"/>
      <c r="AF111" s="2026"/>
      <c r="AG111" s="2026"/>
      <c r="AH111" s="2026"/>
      <c r="AI111" s="2026"/>
      <c r="AJ111" s="2027"/>
      <c r="AK111" s="409"/>
      <c r="AL111" s="409"/>
      <c r="AM111" s="409"/>
      <c r="AN111" s="404"/>
      <c r="AO111" s="405" t="str">
        <f>Application!B723</f>
        <v>2 Bedrooms</v>
      </c>
      <c r="AQ111" s="405">
        <f>Application!O723</f>
        <v>158</v>
      </c>
      <c r="AU111" s="699" t="str">
        <f>J118</f>
        <v>1-bedroom</v>
      </c>
      <c r="AV111" s="405">
        <f t="array" ref="AV111">SUM(IF(Application!B718:F752="1 Bedroom",Application!G718:J752))</f>
        <v>30</v>
      </c>
      <c r="AW111" s="823">
        <f>AV111/AV116</f>
        <v>0.46875</v>
      </c>
    </row>
    <row r="112" spans="1:49" s="405" customFormat="1" ht="12.75" customHeight="1">
      <c r="A112" s="409"/>
      <c r="B112" s="408"/>
      <c r="C112" s="408"/>
      <c r="D112" s="408"/>
      <c r="E112" s="2025"/>
      <c r="F112" s="2026"/>
      <c r="G112" s="2026"/>
      <c r="H112" s="2026"/>
      <c r="I112" s="2026"/>
      <c r="J112" s="2026"/>
      <c r="K112" s="2026"/>
      <c r="L112" s="2026"/>
      <c r="M112" s="2026"/>
      <c r="N112" s="2026"/>
      <c r="O112" s="2026"/>
      <c r="P112" s="2026"/>
      <c r="Q112" s="2026"/>
      <c r="R112" s="2026"/>
      <c r="S112" s="2026"/>
      <c r="T112" s="2026"/>
      <c r="U112" s="2026"/>
      <c r="V112" s="2026"/>
      <c r="W112" s="2026"/>
      <c r="X112" s="2026"/>
      <c r="Y112" s="2026"/>
      <c r="Z112" s="2026"/>
      <c r="AA112" s="2026"/>
      <c r="AB112" s="2026"/>
      <c r="AC112" s="2026"/>
      <c r="AD112" s="2026"/>
      <c r="AE112" s="2026"/>
      <c r="AF112" s="2026"/>
      <c r="AG112" s="2026"/>
      <c r="AH112" s="2026"/>
      <c r="AI112" s="2026"/>
      <c r="AJ112" s="2027"/>
      <c r="AK112" s="409"/>
      <c r="AL112" s="409"/>
      <c r="AM112" s="409"/>
      <c r="AN112" s="404"/>
      <c r="AO112" s="405" t="str">
        <f>Application!B724</f>
        <v>3 Bedrooms</v>
      </c>
      <c r="AQ112" s="405">
        <f ca="1">Application!O724</f>
        <v>3398</v>
      </c>
      <c r="AU112" s="699" t="str">
        <f>O118</f>
        <v>2-bedroom</v>
      </c>
      <c r="AV112" s="405">
        <f t="array" ref="AV112">SUM(IF(Application!B718:F752="2 Bedrooms",Application!G718:J752))</f>
        <v>18</v>
      </c>
      <c r="AW112" s="823">
        <f>AV112/AV116</f>
        <v>0.28125</v>
      </c>
    </row>
    <row r="113" spans="1:52" s="405" customFormat="1" ht="12.75" customHeight="1">
      <c r="A113" s="409"/>
      <c r="B113" s="408"/>
      <c r="C113" s="408"/>
      <c r="D113" s="408"/>
      <c r="E113" s="2025"/>
      <c r="F113" s="2026"/>
      <c r="G113" s="2026"/>
      <c r="H113" s="2026"/>
      <c r="I113" s="2026"/>
      <c r="J113" s="2026"/>
      <c r="K113" s="2026"/>
      <c r="L113" s="2026"/>
      <c r="M113" s="2026"/>
      <c r="N113" s="2026"/>
      <c r="O113" s="2026"/>
      <c r="P113" s="2026"/>
      <c r="Q113" s="2026"/>
      <c r="R113" s="2026"/>
      <c r="S113" s="2026"/>
      <c r="T113" s="2026"/>
      <c r="U113" s="2026"/>
      <c r="V113" s="2026"/>
      <c r="W113" s="2026"/>
      <c r="X113" s="2026"/>
      <c r="Y113" s="2026"/>
      <c r="Z113" s="2026"/>
      <c r="AA113" s="2026"/>
      <c r="AB113" s="2026"/>
      <c r="AC113" s="2026"/>
      <c r="AD113" s="2026"/>
      <c r="AE113" s="2026"/>
      <c r="AF113" s="2026"/>
      <c r="AG113" s="2026"/>
      <c r="AH113" s="2026"/>
      <c r="AI113" s="2026"/>
      <c r="AJ113" s="2027"/>
      <c r="AK113" s="409"/>
      <c r="AL113" s="409"/>
      <c r="AM113" s="409"/>
      <c r="AN113" s="404"/>
      <c r="AO113" s="405" t="str">
        <f>Application!B725</f>
        <v>3 Bedrooms</v>
      </c>
      <c r="AQ113" s="405">
        <f ca="1">Application!O725</f>
        <v>2380</v>
      </c>
      <c r="AU113" s="699" t="str">
        <f>T118</f>
        <v>3-bedroom</v>
      </c>
      <c r="AV113" s="405">
        <f t="array" ref="AV113">SUM(IF(Application!B718:F752="3 Bedrooms",Application!G718:J752))</f>
        <v>16</v>
      </c>
      <c r="AW113" s="823">
        <f>AV113/AV116</f>
        <v>0.25</v>
      </c>
    </row>
    <row r="114" spans="1:52" s="405" customFormat="1" ht="12.75" customHeight="1">
      <c r="A114" s="409"/>
      <c r="B114" s="408"/>
      <c r="C114" s="408"/>
      <c r="D114" s="408"/>
      <c r="E114" s="2025"/>
      <c r="F114" s="2026"/>
      <c r="G114" s="2026"/>
      <c r="H114" s="2026"/>
      <c r="I114" s="2026"/>
      <c r="J114" s="2026"/>
      <c r="K114" s="2026"/>
      <c r="L114" s="2026"/>
      <c r="M114" s="2026"/>
      <c r="N114" s="2026"/>
      <c r="O114" s="2026"/>
      <c r="P114" s="2026"/>
      <c r="Q114" s="2026"/>
      <c r="R114" s="2026"/>
      <c r="S114" s="2026"/>
      <c r="T114" s="2026"/>
      <c r="U114" s="2026"/>
      <c r="V114" s="2026"/>
      <c r="W114" s="2026"/>
      <c r="X114" s="2026"/>
      <c r="Y114" s="2026"/>
      <c r="Z114" s="2026"/>
      <c r="AA114" s="2026"/>
      <c r="AB114" s="2026"/>
      <c r="AC114" s="2026"/>
      <c r="AD114" s="2026"/>
      <c r="AE114" s="2026"/>
      <c r="AF114" s="2026"/>
      <c r="AG114" s="2026"/>
      <c r="AH114" s="2026"/>
      <c r="AI114" s="2026"/>
      <c r="AJ114" s="2027"/>
      <c r="AK114" s="409"/>
      <c r="AL114" s="409"/>
      <c r="AM114" s="409"/>
      <c r="AN114" s="404"/>
      <c r="AO114" s="405" t="str">
        <f>Application!B726</f>
        <v>3 Bedrooms</v>
      </c>
      <c r="AQ114" s="405">
        <f>Application!O726</f>
        <v>171.8</v>
      </c>
      <c r="AU114" s="699" t="str">
        <f>Y118</f>
        <v>4-bedroom</v>
      </c>
      <c r="AV114" s="405">
        <f t="array" ref="AV114">SUM(IF(Application!B718:F752="4 Bedrooms",Application!G718:J752))</f>
        <v>0</v>
      </c>
      <c r="AW114" s="823">
        <f>AV114/AV116</f>
        <v>0</v>
      </c>
    </row>
    <row r="115" spans="1:52" s="405" customFormat="1" ht="12.75" customHeight="1">
      <c r="A115" s="409"/>
      <c r="B115" s="408"/>
      <c r="C115" s="408"/>
      <c r="D115" s="408"/>
      <c r="E115" s="2025"/>
      <c r="F115" s="2026"/>
      <c r="G115" s="2026"/>
      <c r="H115" s="2026"/>
      <c r="I115" s="2026"/>
      <c r="J115" s="2026"/>
      <c r="K115" s="2026"/>
      <c r="L115" s="2026"/>
      <c r="M115" s="2026"/>
      <c r="N115" s="2026"/>
      <c r="O115" s="2026"/>
      <c r="P115" s="2026"/>
      <c r="Q115" s="2026"/>
      <c r="R115" s="2026"/>
      <c r="S115" s="2026"/>
      <c r="T115" s="2026"/>
      <c r="U115" s="2026"/>
      <c r="V115" s="2026"/>
      <c r="W115" s="2026"/>
      <c r="X115" s="2026"/>
      <c r="Y115" s="2026"/>
      <c r="Z115" s="2026"/>
      <c r="AA115" s="2026"/>
      <c r="AB115" s="2026"/>
      <c r="AC115" s="2026"/>
      <c r="AD115" s="2026"/>
      <c r="AE115" s="2026"/>
      <c r="AF115" s="2026"/>
      <c r="AG115" s="2026"/>
      <c r="AH115" s="2026"/>
      <c r="AI115" s="2026"/>
      <c r="AJ115" s="2027"/>
      <c r="AK115" s="409"/>
      <c r="AL115" s="409"/>
      <c r="AM115" s="409"/>
      <c r="AN115" s="404"/>
      <c r="AO115" s="405">
        <f>Application!B727</f>
        <v>0</v>
      </c>
      <c r="AQ115" s="405">
        <f>Application!O727</f>
        <v>0</v>
      </c>
      <c r="AU115" s="699" t="str">
        <f>AD118</f>
        <v>5-bedroom</v>
      </c>
      <c r="AV115" s="405">
        <f t="array" ref="AV115">SUM(IF(Application!B718:F752="5 Bedrooms",Application!G718:J752))</f>
        <v>0</v>
      </c>
      <c r="AW115" s="823">
        <f>AV115/AV116</f>
        <v>0</v>
      </c>
    </row>
    <row r="116" spans="1:52" s="405" customFormat="1" ht="12.75" customHeight="1">
      <c r="A116" s="409"/>
      <c r="B116" s="408"/>
      <c r="C116" s="408"/>
      <c r="D116" s="408"/>
      <c r="E116" s="2025"/>
      <c r="F116" s="2026"/>
      <c r="G116" s="2026"/>
      <c r="H116" s="2026"/>
      <c r="I116" s="2026"/>
      <c r="J116" s="2026"/>
      <c r="K116" s="2026"/>
      <c r="L116" s="2026"/>
      <c r="M116" s="2026"/>
      <c r="N116" s="2026"/>
      <c r="O116" s="2026"/>
      <c r="P116" s="2026"/>
      <c r="Q116" s="2026"/>
      <c r="R116" s="2026"/>
      <c r="S116" s="2026"/>
      <c r="T116" s="2026"/>
      <c r="U116" s="2026"/>
      <c r="V116" s="2026"/>
      <c r="W116" s="2026"/>
      <c r="X116" s="2026"/>
      <c r="Y116" s="2026"/>
      <c r="Z116" s="2026"/>
      <c r="AA116" s="2026"/>
      <c r="AB116" s="2026"/>
      <c r="AC116" s="2026"/>
      <c r="AD116" s="2026"/>
      <c r="AE116" s="2026"/>
      <c r="AF116" s="2026"/>
      <c r="AG116" s="2026"/>
      <c r="AH116" s="2026"/>
      <c r="AI116" s="2026"/>
      <c r="AJ116" s="2027"/>
      <c r="AK116" s="409"/>
      <c r="AL116" s="409"/>
      <c r="AM116" s="409"/>
      <c r="AN116" s="404"/>
      <c r="AO116" s="405">
        <f>Application!B728</f>
        <v>0</v>
      </c>
      <c r="AQ116" s="405">
        <f>Application!O728</f>
        <v>0</v>
      </c>
      <c r="AV116" s="405">
        <f>SUM(AV110:AV115)</f>
        <v>64</v>
      </c>
      <c r="AW116" s="823">
        <f>SUM(AW110:AW115)</f>
        <v>1</v>
      </c>
    </row>
    <row r="117" spans="1:52" s="405" customFormat="1" ht="12.75" customHeight="1">
      <c r="A117" s="409"/>
      <c r="B117" s="408"/>
      <c r="C117" s="408"/>
      <c r="D117" s="408"/>
      <c r="E117" s="1185"/>
      <c r="F117" s="1186"/>
      <c r="G117" s="1186"/>
      <c r="H117" s="1186"/>
      <c r="I117" s="1186"/>
      <c r="J117" s="1186"/>
      <c r="K117" s="1186"/>
      <c r="L117" s="1186"/>
      <c r="M117" s="1186"/>
      <c r="N117" s="1186"/>
      <c r="O117" s="1186"/>
      <c r="P117" s="1186"/>
      <c r="Q117" s="1186"/>
      <c r="R117" s="1186"/>
      <c r="S117" s="1186"/>
      <c r="T117" s="1186"/>
      <c r="U117" s="1186"/>
      <c r="V117" s="1186"/>
      <c r="W117" s="1186"/>
      <c r="X117" s="1186"/>
      <c r="Y117" s="1186"/>
      <c r="Z117" s="1186"/>
      <c r="AA117" s="1186"/>
      <c r="AB117" s="1186"/>
      <c r="AC117" s="1186"/>
      <c r="AD117" s="1186"/>
      <c r="AE117" s="1186"/>
      <c r="AF117" s="1186"/>
      <c r="AG117" s="1186"/>
      <c r="AH117" s="1186"/>
      <c r="AI117" s="1186"/>
      <c r="AJ117" s="1187"/>
      <c r="AK117" s="409"/>
      <c r="AL117" s="409"/>
      <c r="AM117" s="409"/>
      <c r="AN117" s="404"/>
      <c r="AO117" s="405">
        <f>Application!B729</f>
        <v>0</v>
      </c>
      <c r="AQ117" s="405">
        <f>Application!O729</f>
        <v>0</v>
      </c>
    </row>
    <row r="118" spans="1:52" s="405" customFormat="1" ht="12.75" customHeight="1">
      <c r="A118" s="409"/>
      <c r="B118" s="408"/>
      <c r="C118" s="409"/>
      <c r="D118" s="409"/>
      <c r="E118" s="2018" t="s">
        <v>1999</v>
      </c>
      <c r="F118" s="2019"/>
      <c r="G118" s="2019"/>
      <c r="H118" s="2019"/>
      <c r="I118" s="442"/>
      <c r="J118" s="2019" t="s">
        <v>2000</v>
      </c>
      <c r="K118" s="2019"/>
      <c r="L118" s="2019"/>
      <c r="M118" s="2019"/>
      <c r="N118" s="442"/>
      <c r="O118" s="2019" t="s">
        <v>2001</v>
      </c>
      <c r="P118" s="2019"/>
      <c r="Q118" s="2019"/>
      <c r="R118" s="2019"/>
      <c r="S118" s="442"/>
      <c r="T118" s="2019" t="s">
        <v>2002</v>
      </c>
      <c r="U118" s="2019"/>
      <c r="V118" s="2019"/>
      <c r="W118" s="2019"/>
      <c r="X118" s="442"/>
      <c r="Y118" s="2019" t="s">
        <v>2003</v>
      </c>
      <c r="Z118" s="2019"/>
      <c r="AA118" s="2019"/>
      <c r="AB118" s="2019"/>
      <c r="AC118" s="442"/>
      <c r="AD118" s="2019" t="s">
        <v>2004</v>
      </c>
      <c r="AE118" s="2019"/>
      <c r="AF118" s="2019"/>
      <c r="AG118" s="2019"/>
      <c r="AH118" s="442"/>
      <c r="AI118" s="442"/>
      <c r="AJ118" s="444"/>
      <c r="AK118" s="409"/>
      <c r="AL118" s="409"/>
      <c r="AM118" s="409"/>
      <c r="AN118" s="404"/>
      <c r="AO118" s="405">
        <f>Application!B730</f>
        <v>0</v>
      </c>
      <c r="AQ118" s="405">
        <f>Application!O730</f>
        <v>0</v>
      </c>
    </row>
    <row r="119" spans="1:52" s="405" customFormat="1" ht="12.75" customHeight="1">
      <c r="A119" s="409"/>
      <c r="B119" s="408"/>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f>Application!B731</f>
        <v>0</v>
      </c>
      <c r="AQ119" s="405">
        <f>Application!O731</f>
        <v>0</v>
      </c>
    </row>
    <row r="120" spans="1:52" s="405" customFormat="1" ht="12.75" customHeight="1">
      <c r="A120" s="409"/>
      <c r="B120" s="408"/>
      <c r="C120" s="409"/>
      <c r="D120" s="409"/>
      <c r="E120" s="708" t="s">
        <v>2005</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f>Application!B732</f>
        <v>0</v>
      </c>
      <c r="AQ120" s="405">
        <f>Application!O732</f>
        <v>0</v>
      </c>
    </row>
    <row r="121" spans="1:52" s="405" customFormat="1" ht="12.75" customHeight="1">
      <c r="A121" s="409"/>
      <c r="B121" s="408"/>
      <c r="C121" s="409"/>
      <c r="D121" s="409"/>
      <c r="E121" s="2020"/>
      <c r="F121" s="2021"/>
      <c r="G121" s="2021"/>
      <c r="H121" s="2021"/>
      <c r="I121" s="706"/>
      <c r="J121" s="2021"/>
      <c r="K121" s="2021"/>
      <c r="L121" s="2021"/>
      <c r="M121" s="2021"/>
      <c r="N121" s="706"/>
      <c r="O121" s="2021"/>
      <c r="P121" s="2021"/>
      <c r="Q121" s="2021"/>
      <c r="R121" s="2021"/>
      <c r="S121" s="706"/>
      <c r="T121" s="2021"/>
      <c r="U121" s="2021"/>
      <c r="V121" s="2021"/>
      <c r="W121" s="2021"/>
      <c r="X121" s="706"/>
      <c r="Y121" s="2021"/>
      <c r="Z121" s="2021"/>
      <c r="AA121" s="2021"/>
      <c r="AB121" s="2021"/>
      <c r="AC121" s="706"/>
      <c r="AD121" s="2021"/>
      <c r="AE121" s="2021"/>
      <c r="AF121" s="2021"/>
      <c r="AG121" s="2021"/>
      <c r="AH121" s="442"/>
      <c r="AI121" s="442"/>
      <c r="AJ121" s="444"/>
      <c r="AK121" s="409"/>
      <c r="AL121" s="409"/>
      <c r="AM121" s="409"/>
      <c r="AN121" s="404"/>
      <c r="AO121" s="405">
        <f>Application!B733</f>
        <v>0</v>
      </c>
      <c r="AQ121" s="405">
        <f>Application!O733</f>
        <v>0</v>
      </c>
    </row>
    <row r="122" spans="1:52" s="405" customFormat="1" ht="12.75" customHeight="1">
      <c r="A122" s="409"/>
      <c r="B122" s="408"/>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f>Application!B734</f>
        <v>0</v>
      </c>
      <c r="AQ122" s="405">
        <f>Application!O734</f>
        <v>0</v>
      </c>
      <c r="AU122" s="821"/>
      <c r="AV122" s="821"/>
      <c r="AW122" s="821"/>
      <c r="AX122" s="821"/>
      <c r="AY122" s="821"/>
      <c r="AZ122" s="821"/>
    </row>
    <row r="123" spans="1:52" s="405" customFormat="1" ht="12.75" customHeight="1">
      <c r="A123" s="409"/>
      <c r="B123" s="408"/>
      <c r="C123" s="409"/>
      <c r="D123" s="409"/>
      <c r="E123" s="708" t="s">
        <v>2006</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f>Application!B735</f>
        <v>0</v>
      </c>
      <c r="AQ123" s="405">
        <f>Application!O735</f>
        <v>0</v>
      </c>
      <c r="AU123" s="821"/>
      <c r="AV123" s="821"/>
      <c r="AW123" s="821"/>
      <c r="AX123" s="821"/>
      <c r="AY123" s="821"/>
      <c r="AZ123" s="821"/>
    </row>
    <row r="124" spans="1:52" s="405" customFormat="1" ht="12.75" customHeight="1">
      <c r="A124" s="409"/>
      <c r="B124" s="408"/>
      <c r="C124" s="409"/>
      <c r="D124" s="409"/>
      <c r="E124" s="2028">
        <f>Application!DX670</f>
        <v>0</v>
      </c>
      <c r="F124" s="2029"/>
      <c r="G124" s="2029"/>
      <c r="H124" s="2029"/>
      <c r="I124" s="706"/>
      <c r="J124" s="2029">
        <f ca="1">Application!EC670</f>
        <v>1306.3600000000001</v>
      </c>
      <c r="K124" s="2029"/>
      <c r="L124" s="2029"/>
      <c r="M124" s="2029"/>
      <c r="N124" s="706"/>
      <c r="O124" s="2029">
        <f ca="1">Application!EH670</f>
        <v>1953.8222222222221</v>
      </c>
      <c r="P124" s="2029"/>
      <c r="Q124" s="2029"/>
      <c r="R124" s="2029"/>
      <c r="S124" s="710"/>
      <c r="T124" s="2029">
        <f ca="1">Application!EM670</f>
        <v>2220.4625000000001</v>
      </c>
      <c r="U124" s="2029"/>
      <c r="V124" s="2029"/>
      <c r="W124" s="2029"/>
      <c r="X124" s="710"/>
      <c r="Y124" s="2029">
        <f>Application!ER670</f>
        <v>0</v>
      </c>
      <c r="Z124" s="2029"/>
      <c r="AA124" s="2029"/>
      <c r="AB124" s="2029"/>
      <c r="AC124" s="710"/>
      <c r="AD124" s="2029">
        <f>Application!EW670</f>
        <v>0</v>
      </c>
      <c r="AE124" s="2029"/>
      <c r="AF124" s="2029"/>
      <c r="AG124" s="2029"/>
      <c r="AH124" s="442"/>
      <c r="AI124" s="442"/>
      <c r="AJ124" s="444"/>
      <c r="AK124" s="409"/>
      <c r="AL124" s="409"/>
      <c r="AM124" s="409"/>
      <c r="AN124" s="404"/>
      <c r="AO124" s="405">
        <f>Application!B736</f>
        <v>0</v>
      </c>
      <c r="AQ124" s="405">
        <f>Application!O736</f>
        <v>0</v>
      </c>
      <c r="AU124" s="821"/>
      <c r="AV124" s="821"/>
      <c r="AW124" s="822"/>
      <c r="AX124" s="822"/>
      <c r="AY124" s="821"/>
      <c r="AZ124" s="821"/>
    </row>
    <row r="125" spans="1:52" s="405" customFormat="1" ht="12.75" customHeight="1">
      <c r="A125" s="409"/>
      <c r="B125" s="408"/>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f>Application!B737</f>
        <v>0</v>
      </c>
      <c r="AQ125" s="405">
        <f>Application!O737</f>
        <v>0</v>
      </c>
      <c r="AU125" s="821"/>
      <c r="AV125" s="821"/>
      <c r="AW125" s="822"/>
      <c r="AX125" s="822"/>
      <c r="AY125" s="821"/>
      <c r="AZ125" s="821"/>
    </row>
    <row r="126" spans="1:52" s="405" customFormat="1" ht="12.75" customHeight="1">
      <c r="A126" s="409"/>
      <c r="B126" s="408"/>
      <c r="C126" s="409"/>
      <c r="D126" s="409"/>
      <c r="E126" s="708" t="s">
        <v>2007</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f>Application!B738</f>
        <v>0</v>
      </c>
      <c r="AQ126" s="405">
        <f>Application!O738</f>
        <v>0</v>
      </c>
      <c r="AU126" s="821"/>
      <c r="AV126" s="821"/>
      <c r="AW126" s="822"/>
      <c r="AX126" s="822"/>
      <c r="AY126" s="821"/>
      <c r="AZ126" s="821"/>
    </row>
    <row r="127" spans="1:52" s="405" customFormat="1" ht="12.75" customHeight="1">
      <c r="A127" s="409"/>
      <c r="B127" s="408"/>
      <c r="C127" s="409"/>
      <c r="D127" s="409"/>
      <c r="E127" s="1820" t="e">
        <f>(E121-E124)/E121</f>
        <v>#DIV/0!</v>
      </c>
      <c r="F127" s="1821"/>
      <c r="G127" s="1821"/>
      <c r="H127" s="1822"/>
      <c r="I127" s="442"/>
      <c r="J127" s="1820" t="e">
        <f ca="1">(J121-J124)/J121</f>
        <v>#DIV/0!</v>
      </c>
      <c r="K127" s="1821"/>
      <c r="L127" s="1821"/>
      <c r="M127" s="1822"/>
      <c r="N127" s="442"/>
      <c r="O127" s="1820" t="e">
        <f ca="1">(O121-O124)/O121</f>
        <v>#DIV/0!</v>
      </c>
      <c r="P127" s="1821"/>
      <c r="Q127" s="1821"/>
      <c r="R127" s="1822"/>
      <c r="S127" s="442"/>
      <c r="T127" s="1820" t="e">
        <f ca="1">(T121-T124)/T121</f>
        <v>#DIV/0!</v>
      </c>
      <c r="U127" s="1821"/>
      <c r="V127" s="1821"/>
      <c r="W127" s="1822"/>
      <c r="X127" s="442"/>
      <c r="Y127" s="1820" t="e">
        <f>(Y121-Y124)/Y121</f>
        <v>#DIV/0!</v>
      </c>
      <c r="Z127" s="1821"/>
      <c r="AA127" s="1821"/>
      <c r="AB127" s="1822"/>
      <c r="AC127" s="442"/>
      <c r="AD127" s="1820" t="e">
        <f>(AD121-AD124)/AD121</f>
        <v>#DIV/0!</v>
      </c>
      <c r="AE127" s="1821"/>
      <c r="AF127" s="1821"/>
      <c r="AG127" s="1822"/>
      <c r="AH127" s="442"/>
      <c r="AI127" s="442"/>
      <c r="AJ127" s="444"/>
      <c r="AK127" s="409"/>
      <c r="AL127" s="409"/>
      <c r="AM127" s="409"/>
      <c r="AN127" s="404"/>
      <c r="AO127" s="405">
        <f>Application!B739</f>
        <v>0</v>
      </c>
      <c r="AQ127" s="405">
        <f>Application!O739</f>
        <v>0</v>
      </c>
      <c r="AU127" s="821"/>
      <c r="AV127" s="821"/>
      <c r="AW127" s="822"/>
      <c r="AX127" s="822"/>
      <c r="AY127" s="821"/>
      <c r="AZ127" s="821"/>
    </row>
    <row r="128" spans="1:52" s="405" customFormat="1" ht="12.75" customHeight="1">
      <c r="A128" s="409"/>
      <c r="B128" s="408"/>
      <c r="C128" s="409"/>
      <c r="D128" s="409"/>
      <c r="E128" s="819"/>
      <c r="F128" s="818"/>
      <c r="G128" s="818"/>
      <c r="H128" s="818"/>
      <c r="I128" s="442"/>
      <c r="J128" s="818"/>
      <c r="K128" s="818"/>
      <c r="L128" s="818"/>
      <c r="M128" s="818"/>
      <c r="N128" s="442"/>
      <c r="O128" s="818"/>
      <c r="P128" s="818"/>
      <c r="Q128" s="818"/>
      <c r="R128" s="818"/>
      <c r="S128" s="442"/>
      <c r="T128" s="818"/>
      <c r="U128" s="818"/>
      <c r="V128" s="818"/>
      <c r="W128" s="818"/>
      <c r="X128" s="442"/>
      <c r="Y128" s="818"/>
      <c r="Z128" s="818"/>
      <c r="AA128" s="818"/>
      <c r="AB128" s="818"/>
      <c r="AC128" s="442"/>
      <c r="AD128" s="818"/>
      <c r="AE128" s="818"/>
      <c r="AF128" s="818"/>
      <c r="AG128" s="818"/>
      <c r="AH128" s="442"/>
      <c r="AI128" s="442"/>
      <c r="AJ128" s="444"/>
      <c r="AK128" s="409"/>
      <c r="AL128" s="409"/>
      <c r="AM128" s="409"/>
      <c r="AN128" s="404"/>
      <c r="AO128" s="405">
        <f>Application!B740</f>
        <v>0</v>
      </c>
      <c r="AQ128" s="405">
        <f>Application!O740</f>
        <v>0</v>
      </c>
      <c r="AU128" s="821"/>
      <c r="AV128" s="821"/>
      <c r="AW128" s="822"/>
      <c r="AX128" s="822"/>
      <c r="AY128" s="821"/>
      <c r="AZ128" s="821"/>
    </row>
    <row r="129" spans="1:52" s="405" customFormat="1" ht="12.75" customHeight="1">
      <c r="A129" s="409"/>
      <c r="B129" s="408"/>
      <c r="C129" s="409"/>
      <c r="D129" s="409"/>
      <c r="E129" s="820" t="s">
        <v>2008</v>
      </c>
      <c r="F129" s="818"/>
      <c r="G129" s="818"/>
      <c r="H129" s="818"/>
      <c r="I129" s="442"/>
      <c r="J129" s="818"/>
      <c r="K129" s="818"/>
      <c r="L129" s="818"/>
      <c r="M129" s="818"/>
      <c r="N129" s="442"/>
      <c r="O129" s="818"/>
      <c r="P129" s="818"/>
      <c r="Q129" s="818"/>
      <c r="R129" s="818"/>
      <c r="S129" s="442"/>
      <c r="T129" s="818"/>
      <c r="U129" s="818"/>
      <c r="V129" s="818"/>
      <c r="W129" s="818"/>
      <c r="X129" s="442"/>
      <c r="Y129" s="818"/>
      <c r="Z129" s="818"/>
      <c r="AA129" s="818"/>
      <c r="AB129" s="818"/>
      <c r="AC129" s="442"/>
      <c r="AD129" s="818"/>
      <c r="AE129" s="818"/>
      <c r="AF129" s="818"/>
      <c r="AG129" s="818"/>
      <c r="AH129" s="442"/>
      <c r="AI129" s="442"/>
      <c r="AJ129" s="444"/>
      <c r="AK129" s="409"/>
      <c r="AL129" s="409"/>
      <c r="AM129" s="409"/>
      <c r="AN129" s="404"/>
      <c r="AO129" s="405">
        <f>Application!B741</f>
        <v>0</v>
      </c>
      <c r="AQ129" s="405">
        <f>Application!O741</f>
        <v>0</v>
      </c>
      <c r="AU129" s="822"/>
      <c r="AV129" s="821"/>
      <c r="AW129" s="822"/>
      <c r="AX129" s="822"/>
      <c r="AY129" s="821"/>
      <c r="AZ129" s="821"/>
    </row>
    <row r="130" spans="1:52" s="405" customFormat="1" ht="12.75" customHeight="1">
      <c r="A130" s="409"/>
      <c r="B130" s="408"/>
      <c r="C130" s="409"/>
      <c r="D130" s="409"/>
      <c r="E130" s="2031" t="e">
        <f>IF(((E127-0.1)*AW110)&gt;0,((E127-0.1)*AW110),0)</f>
        <v>#DIV/0!</v>
      </c>
      <c r="F130" s="2032"/>
      <c r="G130" s="2032"/>
      <c r="H130" s="2033"/>
      <c r="I130" s="442"/>
      <c r="J130" s="2031" t="e">
        <f ca="1">IF(((J127-0.1)*AW111)&gt;0,((J127-0.1)*AW111),0)</f>
        <v>#DIV/0!</v>
      </c>
      <c r="K130" s="2032"/>
      <c r="L130" s="2032"/>
      <c r="M130" s="2033"/>
      <c r="N130" s="442"/>
      <c r="O130" s="2031" t="e">
        <f ca="1">IF(((O127-0.1)*AW112)&gt;0,((O127-0.1)*AW112),0)</f>
        <v>#DIV/0!</v>
      </c>
      <c r="P130" s="2032"/>
      <c r="Q130" s="2032"/>
      <c r="R130" s="2033"/>
      <c r="S130" s="442"/>
      <c r="T130" s="2031" t="e">
        <f ca="1">IF(((T127-0.1)*AW113)&gt;0,((T127-0.1)*AW113),0)</f>
        <v>#DIV/0!</v>
      </c>
      <c r="U130" s="2032"/>
      <c r="V130" s="2032"/>
      <c r="W130" s="2033"/>
      <c r="X130" s="442"/>
      <c r="Y130" s="2031" t="e">
        <f>IF(((Y127-0.1)*AW114)&gt;0,((Y127-0.1)*AW114),0)</f>
        <v>#DIV/0!</v>
      </c>
      <c r="Z130" s="2032"/>
      <c r="AA130" s="2032"/>
      <c r="AB130" s="2033"/>
      <c r="AC130" s="442"/>
      <c r="AD130" s="2031" t="e">
        <f>IF(((AD127-0.1)*AW115)&gt;0,((AD127-0.1)*AW115),0)</f>
        <v>#DIV/0!</v>
      </c>
      <c r="AE130" s="2032"/>
      <c r="AF130" s="2032"/>
      <c r="AG130" s="2033"/>
      <c r="AH130" s="442"/>
      <c r="AI130" s="442"/>
      <c r="AJ130" s="444"/>
      <c r="AK130" s="409"/>
      <c r="AL130" s="409"/>
      <c r="AM130" s="409"/>
      <c r="AN130" s="404"/>
      <c r="AO130" s="405">
        <f>Application!B752</f>
        <v>0</v>
      </c>
      <c r="AQ130" s="405">
        <f>Application!O752</f>
        <v>0</v>
      </c>
      <c r="AU130" s="821"/>
      <c r="AV130" s="821"/>
      <c r="AW130" s="821"/>
      <c r="AX130" s="822"/>
      <c r="AY130" s="821"/>
      <c r="AZ130" s="821"/>
    </row>
    <row r="131" spans="1:52" s="405" customFormat="1" ht="12.75" customHeight="1">
      <c r="A131" s="409"/>
      <c r="B131" s="408"/>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1"/>
      <c r="AV131" s="821"/>
      <c r="AW131" s="821"/>
      <c r="AX131" s="821"/>
      <c r="AY131" s="821"/>
      <c r="AZ131" s="821"/>
    </row>
    <row r="132" spans="1:52" s="405" customFormat="1" ht="12.75" customHeight="1">
      <c r="A132" s="409"/>
      <c r="B132" s="408"/>
      <c r="C132" s="409"/>
      <c r="D132" s="409"/>
      <c r="E132" s="1820">
        <f ca="1">ROUNDDOWN(SUMIF(E130:AG130,"&gt;0"),2)</f>
        <v>0</v>
      </c>
      <c r="F132" s="1821"/>
      <c r="G132" s="1821"/>
      <c r="H132" s="1822"/>
      <c r="I132" s="442"/>
      <c r="J132" s="445" t="s">
        <v>2009</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1"/>
      <c r="AV132" s="821"/>
      <c r="AW132" s="821"/>
      <c r="AX132" s="822"/>
      <c r="AY132" s="821"/>
      <c r="AZ132" s="821"/>
    </row>
    <row r="133" spans="1:52" s="405" customFormat="1" ht="12.75" customHeight="1">
      <c r="A133" s="409"/>
      <c r="B133" s="408"/>
      <c r="C133" s="409"/>
      <c r="D133" s="409"/>
      <c r="E133" s="2003">
        <f ca="1">IF((E132*100)&gt;10,10,E132*100)</f>
        <v>0</v>
      </c>
      <c r="F133" s="2004"/>
      <c r="G133" s="2004"/>
      <c r="H133" s="2005"/>
      <c r="I133" s="442"/>
      <c r="J133" s="445" t="s">
        <v>1988</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1"/>
      <c r="AV133" s="821"/>
      <c r="AW133" s="821"/>
      <c r="AX133" s="821"/>
      <c r="AY133" s="821"/>
      <c r="AZ133" s="821"/>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7"/>
      <c r="AU134" s="821"/>
      <c r="AV134" s="821"/>
      <c r="AW134" s="822"/>
      <c r="AX134" s="821"/>
      <c r="AY134" s="821"/>
      <c r="AZ134" s="821"/>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1"/>
      <c r="AV135" s="821"/>
      <c r="AW135" s="821"/>
      <c r="AX135" s="821"/>
      <c r="AY135" s="821"/>
      <c r="AZ135" s="821"/>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2010</v>
      </c>
      <c r="AK137" s="2003">
        <f ca="1">E133</f>
        <v>0</v>
      </c>
      <c r="AL137" s="2004"/>
      <c r="AM137" s="2005"/>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204"/>
      <c r="J139" s="1204"/>
      <c r="K139" s="1204"/>
      <c r="L139" s="1204"/>
      <c r="M139" s="1204"/>
      <c r="N139" s="1204"/>
      <c r="O139" s="1204"/>
      <c r="P139" s="1204"/>
      <c r="Q139" s="1204"/>
      <c r="R139" s="436"/>
      <c r="S139" s="408"/>
      <c r="T139" s="408"/>
      <c r="U139" s="408"/>
      <c r="V139" s="408"/>
      <c r="W139" s="408"/>
      <c r="X139" s="408"/>
      <c r="Y139" s="408"/>
      <c r="Z139" s="408"/>
      <c r="AA139" s="408"/>
      <c r="AB139" s="408"/>
      <c r="AC139" s="408"/>
      <c r="AD139" s="408"/>
      <c r="AE139" s="408"/>
      <c r="AF139" s="436"/>
      <c r="AG139" s="408"/>
      <c r="AH139" s="408"/>
      <c r="AI139" s="408"/>
      <c r="AJ139" s="408"/>
      <c r="AK139" s="418"/>
      <c r="AL139" s="418"/>
      <c r="AM139" s="418"/>
      <c r="AN139" s="404"/>
    </row>
    <row r="140" spans="1:52" s="408" customFormat="1" ht="12.75" customHeight="1">
      <c r="A140" s="407" t="s">
        <v>2011</v>
      </c>
      <c r="AE140" s="1847" t="s">
        <v>1968</v>
      </c>
      <c r="AF140" s="1847"/>
      <c r="AG140" s="1847"/>
      <c r="AH140" s="1847"/>
      <c r="AI140" s="1847"/>
      <c r="AJ140" s="1847"/>
      <c r="AK140" s="1847"/>
      <c r="AL140" s="1201"/>
      <c r="AN140" s="455"/>
      <c r="AO140" s="405"/>
    </row>
    <row r="141" spans="1:52" s="408" customFormat="1" ht="13" customHeight="1">
      <c r="A141" s="407"/>
      <c r="AE141" s="1201"/>
      <c r="AF141" s="1201"/>
      <c r="AG141" s="1201"/>
      <c r="AH141" s="1201"/>
      <c r="AI141" s="1201"/>
      <c r="AJ141" s="1201"/>
      <c r="AK141" s="1201"/>
      <c r="AL141" s="1201"/>
      <c r="AN141" s="455"/>
    </row>
    <row r="142" spans="1:52" s="405" customFormat="1" ht="12.75" customHeight="1">
      <c r="A142" s="407"/>
      <c r="B142" s="407" t="s">
        <v>2012</v>
      </c>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F142" s="1914" t="s">
        <v>2013</v>
      </c>
      <c r="AG142" s="1914"/>
      <c r="AH142" s="1914"/>
      <c r="AI142" s="1914"/>
      <c r="AJ142" s="1914"/>
      <c r="AK142" s="1914"/>
      <c r="AL142" s="1914"/>
      <c r="AM142" s="408"/>
      <c r="AN142" s="404"/>
    </row>
    <row r="143" spans="1:52" s="405" customFormat="1" ht="12.75" customHeight="1">
      <c r="A143" s="407"/>
      <c r="B143" s="407" t="s">
        <v>1131</v>
      </c>
      <c r="C143" s="1193"/>
      <c r="D143" s="1193"/>
      <c r="E143" s="1193"/>
      <c r="F143" s="1193"/>
      <c r="G143" s="1193"/>
      <c r="H143" s="1193"/>
      <c r="I143" s="1193"/>
      <c r="J143" s="1193"/>
      <c r="K143" s="1193"/>
      <c r="L143" s="1193"/>
      <c r="M143" s="1193"/>
      <c r="N143" s="1193"/>
      <c r="O143" s="1193"/>
      <c r="P143" s="1193"/>
      <c r="Q143" s="1193"/>
      <c r="R143" s="1193"/>
      <c r="S143" s="1193"/>
      <c r="T143" s="1193"/>
      <c r="U143" s="1193"/>
      <c r="V143" s="1193"/>
      <c r="W143" s="1193"/>
      <c r="X143" s="1193"/>
      <c r="Y143" s="1193"/>
      <c r="Z143" s="1193"/>
      <c r="AA143" s="1193"/>
      <c r="AB143" s="1193"/>
      <c r="AC143" s="1193"/>
      <c r="AD143" s="408"/>
      <c r="AL143" s="1190"/>
      <c r="AM143" s="408"/>
      <c r="AN143" s="404"/>
    </row>
    <row r="144" spans="1:52" s="405" customFormat="1" ht="15" customHeight="1">
      <c r="A144" s="407"/>
      <c r="B144" s="2008" t="s">
        <v>1146</v>
      </c>
      <c r="C144" s="2008"/>
      <c r="D144" s="2008"/>
      <c r="E144" s="2008"/>
      <c r="F144" s="2008"/>
      <c r="G144" s="2008"/>
      <c r="H144" s="2008"/>
      <c r="I144" s="2008"/>
      <c r="J144" s="2008"/>
      <c r="K144" s="2008"/>
      <c r="L144" s="2008"/>
      <c r="M144" s="2008"/>
      <c r="N144" s="2008"/>
      <c r="O144" s="2008"/>
      <c r="P144" s="2008"/>
      <c r="Q144" s="2008"/>
      <c r="R144" s="2008"/>
      <c r="S144" s="2008"/>
      <c r="T144" s="2008"/>
      <c r="U144" s="2008"/>
      <c r="V144" s="2008"/>
      <c r="W144" s="2008"/>
      <c r="X144" s="2008"/>
      <c r="Y144" s="2008"/>
      <c r="Z144" s="2008"/>
      <c r="AA144" s="2008"/>
      <c r="AB144" s="2008"/>
      <c r="AC144" s="2008"/>
      <c r="AD144" s="408"/>
      <c r="AE144" s="1190"/>
      <c r="AF144" s="1190"/>
      <c r="AG144" s="1190"/>
      <c r="AH144" s="1190"/>
      <c r="AI144" s="1190"/>
      <c r="AJ144" s="1190"/>
      <c r="AK144" s="1190"/>
      <c r="AL144" s="1190"/>
      <c r="AM144" s="408"/>
      <c r="AN144" s="404"/>
      <c r="AP144" s="457"/>
    </row>
    <row r="145" spans="1:42" s="405" customFormat="1" ht="12.75" customHeight="1">
      <c r="A145" s="407"/>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1190"/>
      <c r="AF145" s="1190"/>
      <c r="AG145" s="1190"/>
      <c r="AH145" s="1190"/>
      <c r="AI145" s="1190"/>
      <c r="AJ145" s="1190"/>
      <c r="AK145" s="1190"/>
      <c r="AL145" s="1190"/>
      <c r="AM145" s="408"/>
      <c r="AN145" s="404"/>
      <c r="AO145" s="1106" t="s">
        <v>294</v>
      </c>
      <c r="AP145" s="413"/>
    </row>
    <row r="146" spans="1:42" s="405" customFormat="1" ht="12.75" customHeight="1">
      <c r="A146" s="407"/>
      <c r="B146" s="408" t="s">
        <v>2014</v>
      </c>
      <c r="C146" s="408"/>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c r="AM146" s="408"/>
      <c r="AN146" s="404"/>
      <c r="AO146" s="352" t="s">
        <v>2015</v>
      </c>
      <c r="AP146" s="362">
        <v>5</v>
      </c>
    </row>
    <row r="147" spans="1:42" s="405" customFormat="1" ht="12.75" customHeight="1">
      <c r="A147" s="407"/>
      <c r="B147" s="2009" t="s">
        <v>2016</v>
      </c>
      <c r="C147" s="2009"/>
      <c r="D147" s="2009"/>
      <c r="E147" s="2009"/>
      <c r="F147" s="2009"/>
      <c r="G147" s="2009"/>
      <c r="H147" s="2009"/>
      <c r="I147" s="2009"/>
      <c r="J147" s="2009"/>
      <c r="K147" s="2009"/>
      <c r="L147" s="2009"/>
      <c r="M147" s="2009"/>
      <c r="N147" s="2009"/>
      <c r="O147" s="2009"/>
      <c r="P147" s="2009"/>
      <c r="Q147" s="2009"/>
      <c r="R147" s="2009"/>
      <c r="S147" s="2009"/>
      <c r="T147" s="2009"/>
      <c r="U147" s="2009"/>
      <c r="V147" s="2009"/>
      <c r="W147" s="2009"/>
      <c r="X147" s="2009"/>
      <c r="Y147" s="2009"/>
      <c r="Z147" s="2009"/>
      <c r="AA147" s="2009"/>
      <c r="AB147" s="2009"/>
      <c r="AC147" s="2009"/>
      <c r="AD147" s="2009"/>
      <c r="AE147" s="2009"/>
      <c r="AF147" s="2009"/>
      <c r="AG147" s="2009"/>
      <c r="AH147" s="2009"/>
      <c r="AI147" s="2009"/>
      <c r="AM147" s="408"/>
      <c r="AN147" s="404"/>
      <c r="AO147" s="352" t="s">
        <v>2016</v>
      </c>
      <c r="AP147" s="362">
        <v>7</v>
      </c>
    </row>
    <row r="148" spans="1:42" s="405" customFormat="1" ht="13" customHeight="1">
      <c r="A148" s="407"/>
      <c r="B148" s="1193"/>
      <c r="C148" s="1193"/>
      <c r="D148" s="1193"/>
      <c r="E148" s="1193"/>
      <c r="F148" s="1193"/>
      <c r="G148" s="1193"/>
      <c r="H148" s="1193"/>
      <c r="I148" s="1193"/>
      <c r="J148" s="1193"/>
      <c r="K148" s="1193"/>
      <c r="L148" s="1193"/>
      <c r="M148" s="1193"/>
      <c r="N148" s="1193"/>
      <c r="O148" s="1193"/>
      <c r="P148" s="1193"/>
      <c r="Q148" s="1193"/>
      <c r="R148" s="1193"/>
      <c r="S148" s="1193"/>
      <c r="T148" s="1193"/>
      <c r="U148" s="1193"/>
      <c r="V148" s="1193"/>
      <c r="W148" s="1193"/>
      <c r="X148" s="1193"/>
      <c r="Y148" s="1193"/>
      <c r="Z148" s="1193"/>
      <c r="AA148" s="1193"/>
      <c r="AB148" s="1193"/>
      <c r="AC148" s="1193"/>
      <c r="AD148" s="1201"/>
      <c r="AM148" s="408"/>
      <c r="AN148" s="404"/>
      <c r="AO148" s="352" t="s">
        <v>2017</v>
      </c>
      <c r="AP148" s="362">
        <v>7</v>
      </c>
    </row>
    <row r="149" spans="1:42" s="405" customFormat="1" ht="12.75" customHeight="1">
      <c r="A149" s="407"/>
      <c r="B149" s="408" t="s">
        <v>2018</v>
      </c>
      <c r="AB149" s="1950" t="s">
        <v>299</v>
      </c>
      <c r="AC149" s="1950"/>
      <c r="AD149" s="1201"/>
      <c r="AM149" s="408"/>
      <c r="AN149" s="404"/>
      <c r="AO149" s="352"/>
      <c r="AP149" s="352"/>
    </row>
    <row r="150" spans="1:42" s="405" customFormat="1" ht="9" customHeight="1">
      <c r="A150" s="407"/>
      <c r="B150" s="1193"/>
      <c r="C150" s="1193"/>
      <c r="D150" s="1193"/>
      <c r="E150" s="1193"/>
      <c r="F150" s="1193"/>
      <c r="G150" s="1193"/>
      <c r="H150" s="1193"/>
      <c r="I150" s="1193"/>
      <c r="J150" s="1193"/>
      <c r="K150" s="1193"/>
      <c r="L150" s="1193"/>
      <c r="M150" s="1193"/>
      <c r="N150" s="1193"/>
      <c r="O150" s="1193"/>
      <c r="P150" s="1193"/>
      <c r="Q150" s="1193"/>
      <c r="R150" s="1193"/>
      <c r="S150" s="1193"/>
      <c r="T150" s="1193"/>
      <c r="U150" s="1193"/>
      <c r="V150" s="1193"/>
      <c r="W150" s="1193"/>
      <c r="X150" s="1193"/>
      <c r="Y150" s="1193"/>
      <c r="Z150" s="1193"/>
      <c r="AA150" s="1193"/>
      <c r="AB150" s="1193"/>
      <c r="AC150" s="1193"/>
      <c r="AD150" s="1201"/>
      <c r="AM150" s="408"/>
      <c r="AN150" s="404"/>
      <c r="AO150" s="1106" t="s">
        <v>2019</v>
      </c>
      <c r="AP150" s="362"/>
    </row>
    <row r="151" spans="1:42" s="405" customFormat="1" ht="12.75" customHeight="1">
      <c r="A151" s="407"/>
      <c r="B151" s="407" t="s">
        <v>2020</v>
      </c>
      <c r="C151" s="1193"/>
      <c r="D151" s="1193"/>
      <c r="E151" s="1193"/>
      <c r="F151" s="1193"/>
      <c r="G151" s="1193"/>
      <c r="H151" s="1193"/>
      <c r="I151" s="1193"/>
      <c r="J151" s="1193"/>
      <c r="K151" s="1193"/>
      <c r="L151" s="1193"/>
      <c r="M151" s="1193"/>
      <c r="N151" s="1193"/>
      <c r="O151" s="1193"/>
      <c r="P151" s="1193"/>
      <c r="Q151" s="1193"/>
      <c r="R151" s="1193"/>
      <c r="S151" s="1193"/>
      <c r="T151" s="1193"/>
      <c r="U151" s="1193"/>
      <c r="V151" s="1193"/>
      <c r="W151" s="1193"/>
      <c r="X151" s="1193"/>
      <c r="Y151" s="1193"/>
      <c r="Z151" s="1193"/>
      <c r="AA151" s="1193"/>
      <c r="AB151" s="1193"/>
      <c r="AC151" s="1193"/>
      <c r="AD151" s="1201"/>
      <c r="AM151" s="408"/>
      <c r="AN151" s="404"/>
      <c r="AO151" s="352" t="s">
        <v>2021</v>
      </c>
      <c r="AP151" s="362">
        <v>5</v>
      </c>
    </row>
    <row r="152" spans="1:42" s="405" customFormat="1" ht="12.75" customHeight="1">
      <c r="A152" s="407"/>
      <c r="B152" s="2009" t="s">
        <v>2019</v>
      </c>
      <c r="C152" s="2009"/>
      <c r="D152" s="2009"/>
      <c r="E152" s="2009"/>
      <c r="F152" s="2009"/>
      <c r="G152" s="2009"/>
      <c r="H152" s="2009"/>
      <c r="I152" s="2009"/>
      <c r="J152" s="2009"/>
      <c r="K152" s="2009"/>
      <c r="L152" s="2009"/>
      <c r="M152" s="2009"/>
      <c r="N152" s="2009"/>
      <c r="O152" s="2009"/>
      <c r="P152" s="2009"/>
      <c r="Q152" s="2009"/>
      <c r="R152" s="2009"/>
      <c r="S152" s="2009"/>
      <c r="T152" s="2009"/>
      <c r="U152" s="2009"/>
      <c r="V152" s="2009"/>
      <c r="W152" s="2009"/>
      <c r="X152" s="2009"/>
      <c r="Y152" s="2009"/>
      <c r="Z152" s="2009"/>
      <c r="AA152" s="2009"/>
      <c r="AB152" s="2009"/>
      <c r="AC152" s="2009"/>
      <c r="AD152" s="2009"/>
      <c r="AE152" s="2009"/>
      <c r="AF152" s="2009"/>
      <c r="AG152" s="2009"/>
      <c r="AH152" s="2009"/>
      <c r="AI152" s="2009"/>
      <c r="AJ152" s="2009"/>
      <c r="AN152" s="404"/>
      <c r="AO152" s="352" t="s">
        <v>2022</v>
      </c>
      <c r="AP152" s="362">
        <v>7</v>
      </c>
    </row>
    <row r="153" spans="1:42" s="405" customFormat="1" ht="12.75" customHeight="1">
      <c r="B153" s="408" t="s">
        <v>2023</v>
      </c>
      <c r="C153" s="1193"/>
      <c r="D153" s="1193"/>
      <c r="E153" s="1193"/>
      <c r="F153" s="1193"/>
      <c r="G153" s="1193"/>
      <c r="H153" s="1193"/>
      <c r="I153" s="1193"/>
      <c r="J153" s="1193"/>
      <c r="K153" s="1193"/>
      <c r="L153" s="1193"/>
      <c r="M153" s="1193"/>
      <c r="N153" s="1193"/>
      <c r="O153" s="1193"/>
      <c r="P153" s="1193"/>
      <c r="Q153" s="1193"/>
      <c r="R153" s="1193"/>
      <c r="S153" s="1193"/>
      <c r="T153" s="1193"/>
      <c r="U153" s="1193"/>
      <c r="AM153" s="408"/>
      <c r="AN153" s="404"/>
      <c r="AO153" s="352"/>
      <c r="AP153" s="362"/>
    </row>
    <row r="154" spans="1:42" s="405" customFormat="1" ht="12.75" customHeight="1">
      <c r="AM154" s="408"/>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2024</v>
      </c>
      <c r="AJ155" s="1874">
        <f>IF($AB$149="N/A",VLOOKUP($B$147,$AO$145:$AP$148,2,FALSE),VLOOKUP($B$152,$AO$150:$AP$152,2,FALSE))</f>
        <v>7</v>
      </c>
      <c r="AK155" s="1874"/>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2025</v>
      </c>
      <c r="C157" s="408"/>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914" t="s">
        <v>2026</v>
      </c>
      <c r="AG157" s="1914"/>
      <c r="AH157" s="1914"/>
      <c r="AI157" s="1914"/>
      <c r="AJ157" s="1914"/>
      <c r="AK157" s="1914"/>
      <c r="AL157" s="1914"/>
      <c r="AM157" s="465"/>
      <c r="AN157" s="460"/>
    </row>
    <row r="158" spans="1:42" s="418" customFormat="1" ht="12.75" customHeight="1">
      <c r="A158" s="405"/>
      <c r="B158" s="408" t="s">
        <v>2027</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8"/>
      <c r="AB158" s="408"/>
      <c r="AC158" s="408"/>
      <c r="AD158" s="408"/>
      <c r="AE158" s="405"/>
      <c r="AF158" s="405"/>
      <c r="AG158" s="405"/>
      <c r="AH158" s="405"/>
      <c r="AI158" s="405"/>
      <c r="AJ158" s="405"/>
      <c r="AK158" s="405"/>
      <c r="AL158" s="405"/>
      <c r="AM158" s="465"/>
      <c r="AN158" s="460"/>
    </row>
    <row r="159" spans="1:42" s="418" customFormat="1" ht="12.75" customHeight="1">
      <c r="A159" s="405"/>
      <c r="B159" s="405"/>
      <c r="C159" s="2009" t="s">
        <v>2028</v>
      </c>
      <c r="D159" s="2009"/>
      <c r="E159" s="2009"/>
      <c r="F159" s="2009"/>
      <c r="G159" s="2009"/>
      <c r="H159" s="2009"/>
      <c r="I159" s="2009"/>
      <c r="J159" s="2009"/>
      <c r="K159" s="2009"/>
      <c r="L159" s="2009"/>
      <c r="M159" s="2009"/>
      <c r="N159" s="2009"/>
      <c r="O159" s="2009"/>
      <c r="P159" s="2009"/>
      <c r="Q159" s="2009"/>
      <c r="R159" s="2009"/>
      <c r="S159" s="2009"/>
      <c r="T159" s="2009"/>
      <c r="U159" s="2009"/>
      <c r="V159" s="2009"/>
      <c r="W159" s="2009"/>
      <c r="X159" s="2009"/>
      <c r="Y159" s="2009"/>
      <c r="Z159" s="2009"/>
      <c r="AA159" s="2009"/>
      <c r="AB159" s="2009"/>
      <c r="AC159" s="2009"/>
      <c r="AD159" s="2009"/>
      <c r="AE159" s="2009"/>
      <c r="AF159" s="2009"/>
      <c r="AG159" s="2009"/>
      <c r="AH159" s="2009"/>
      <c r="AI159" s="2009"/>
      <c r="AJ159" s="405"/>
      <c r="AK159" s="405"/>
      <c r="AL159" s="405"/>
      <c r="AM159" s="465"/>
      <c r="AN159" s="459"/>
      <c r="AO159" s="352" t="s">
        <v>294</v>
      </c>
      <c r="AP159" s="352"/>
    </row>
    <row r="160" spans="1:42" s="418" customFormat="1" ht="13" customHeight="1">
      <c r="A160" s="405"/>
      <c r="B160" s="405"/>
      <c r="C160" s="1193"/>
      <c r="D160" s="1193"/>
      <c r="E160" s="1193"/>
      <c r="F160" s="1193"/>
      <c r="G160" s="1193"/>
      <c r="H160" s="1193"/>
      <c r="I160" s="1193"/>
      <c r="J160" s="1193"/>
      <c r="K160" s="1193"/>
      <c r="L160" s="1193"/>
      <c r="M160" s="1193"/>
      <c r="N160" s="1193"/>
      <c r="O160" s="1193"/>
      <c r="P160" s="1193"/>
      <c r="Q160" s="1193"/>
      <c r="R160" s="1193"/>
      <c r="S160" s="1193"/>
      <c r="T160" s="1193"/>
      <c r="U160" s="1193"/>
      <c r="V160" s="1193"/>
      <c r="W160" s="1193"/>
      <c r="X160" s="1193"/>
      <c r="Y160" s="1193"/>
      <c r="Z160" s="1193"/>
      <c r="AA160" s="1193"/>
      <c r="AB160" s="1193"/>
      <c r="AC160" s="1193"/>
      <c r="AD160" s="1193"/>
      <c r="AE160" s="405"/>
      <c r="AF160" s="405"/>
      <c r="AG160" s="405"/>
      <c r="AH160" s="405"/>
      <c r="AI160" s="405"/>
      <c r="AJ160" s="405"/>
      <c r="AK160" s="405"/>
      <c r="AL160" s="405"/>
      <c r="AM160" s="465"/>
      <c r="AN160" s="459"/>
      <c r="AO160" s="352" t="s">
        <v>2029</v>
      </c>
      <c r="AP160" s="461">
        <v>2</v>
      </c>
    </row>
    <row r="161" spans="1:73" s="418" customFormat="1" ht="12.75" customHeight="1">
      <c r="A161" s="405"/>
      <c r="B161" s="405"/>
      <c r="C161" s="408" t="s">
        <v>2030</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950" t="s">
        <v>299</v>
      </c>
      <c r="AG161" s="1950"/>
      <c r="AH161" s="405"/>
      <c r="AI161" s="405"/>
      <c r="AJ161" s="405"/>
      <c r="AK161" s="405"/>
      <c r="AL161" s="405"/>
      <c r="AM161" s="465"/>
      <c r="AN161" s="459"/>
      <c r="AO161" s="352" t="s">
        <v>2028</v>
      </c>
      <c r="AP161" s="461">
        <v>3</v>
      </c>
    </row>
    <row r="162" spans="1:73" s="418" customFormat="1" ht="9" customHeight="1">
      <c r="A162" s="405"/>
      <c r="B162" s="405"/>
      <c r="C162" s="1193"/>
      <c r="D162" s="1193"/>
      <c r="E162" s="1193"/>
      <c r="F162" s="1193"/>
      <c r="G162" s="1193"/>
      <c r="H162" s="1193"/>
      <c r="I162" s="1193"/>
      <c r="J162" s="1193"/>
      <c r="K162" s="1193"/>
      <c r="L162" s="1193"/>
      <c r="M162" s="1193"/>
      <c r="N162" s="1193"/>
      <c r="O162" s="1193"/>
      <c r="P162" s="1193"/>
      <c r="Q162" s="1193"/>
      <c r="R162" s="1193"/>
      <c r="S162" s="1193"/>
      <c r="T162" s="1193"/>
      <c r="U162" s="1193"/>
      <c r="V162" s="1193"/>
      <c r="W162" s="1193"/>
      <c r="X162" s="1193"/>
      <c r="Y162" s="1193"/>
      <c r="Z162" s="1193"/>
      <c r="AA162" s="1193"/>
      <c r="AB162" s="1193"/>
      <c r="AC162" s="1193"/>
      <c r="AD162" s="1193"/>
      <c r="AE162" s="405"/>
      <c r="AF162" s="405"/>
      <c r="AG162" s="405"/>
      <c r="AJ162" s="405"/>
      <c r="AK162" s="405"/>
      <c r="AL162" s="405"/>
      <c r="AM162" s="465"/>
      <c r="AN162" s="459"/>
      <c r="AO162" s="464" t="s">
        <v>2031</v>
      </c>
      <c r="AP162" s="461">
        <v>3</v>
      </c>
    </row>
    <row r="163" spans="1:73" s="418" customFormat="1" ht="12.75" customHeight="1">
      <c r="A163" s="405"/>
      <c r="B163" s="405"/>
      <c r="C163" s="2009" t="s">
        <v>2019</v>
      </c>
      <c r="D163" s="2009"/>
      <c r="E163" s="2009"/>
      <c r="F163" s="2009"/>
      <c r="G163" s="2009"/>
      <c r="H163" s="2009"/>
      <c r="I163" s="2009"/>
      <c r="J163" s="2009"/>
      <c r="K163" s="2009"/>
      <c r="L163" s="2009"/>
      <c r="M163" s="2009"/>
      <c r="N163" s="2009"/>
      <c r="O163" s="2009"/>
      <c r="P163" s="2009"/>
      <c r="Q163" s="2009"/>
      <c r="R163" s="2009"/>
      <c r="S163" s="2009"/>
      <c r="T163" s="2009"/>
      <c r="U163" s="2009"/>
      <c r="V163" s="2009"/>
      <c r="W163" s="2009"/>
      <c r="X163" s="2009"/>
      <c r="Y163" s="2009"/>
      <c r="Z163" s="2009"/>
      <c r="AA163" s="2009"/>
      <c r="AB163" s="2009"/>
      <c r="AC163" s="2009"/>
      <c r="AD163" s="2009"/>
      <c r="AE163" s="405"/>
      <c r="AF163" s="405"/>
      <c r="AG163" s="405"/>
      <c r="AH163" s="405"/>
      <c r="AI163" s="405"/>
      <c r="AJ163" s="405"/>
      <c r="AK163" s="405"/>
      <c r="AL163" s="405"/>
      <c r="AM163" s="465"/>
      <c r="AN163" s="459"/>
      <c r="AO163" s="464"/>
      <c r="AP163" s="461"/>
    </row>
    <row r="164" spans="1:73" s="418" customFormat="1" ht="12.75" customHeight="1">
      <c r="A164" s="405"/>
      <c r="B164" s="405"/>
      <c r="C164" s="408" t="s">
        <v>2023</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2032</v>
      </c>
      <c r="D166" s="1193"/>
      <c r="E166" s="1193"/>
      <c r="F166" s="1193"/>
      <c r="G166" s="1193"/>
      <c r="H166" s="1193"/>
      <c r="I166" s="1193"/>
      <c r="J166" s="1193"/>
      <c r="K166" s="1193"/>
      <c r="L166" s="1193"/>
      <c r="M166" s="1193"/>
      <c r="N166" s="1193"/>
      <c r="O166" s="1193"/>
      <c r="P166" s="1193"/>
      <c r="Q166" s="1193"/>
      <c r="R166" s="1193"/>
      <c r="S166" s="1193"/>
      <c r="T166" s="1193"/>
      <c r="U166" s="1193"/>
      <c r="V166" s="1193"/>
      <c r="W166" s="1193"/>
      <c r="X166" s="1193"/>
      <c r="Y166" s="1193"/>
      <c r="Z166" s="1193"/>
      <c r="AA166" s="1193"/>
      <c r="AB166" s="1193"/>
      <c r="AC166" s="1193"/>
      <c r="AD166" s="1193"/>
      <c r="AE166" s="405"/>
      <c r="AF166" s="405"/>
      <c r="AG166" s="405"/>
      <c r="AH166" s="405"/>
      <c r="AI166" s="405"/>
      <c r="AJ166" s="405"/>
      <c r="AK166" s="405"/>
      <c r="AL166" s="405"/>
      <c r="AM166" s="465"/>
      <c r="AN166" s="459"/>
      <c r="AO166" s="352" t="s">
        <v>2019</v>
      </c>
      <c r="AP166" s="352"/>
    </row>
    <row r="167" spans="1:73" s="418" customFormat="1" ht="12.75" customHeight="1">
      <c r="A167" s="405"/>
      <c r="B167" s="405"/>
      <c r="C167" s="2010" t="str">
        <f>Application!AA335</f>
        <v>The John Stewart Company</v>
      </c>
      <c r="D167" s="2010"/>
      <c r="E167" s="2010"/>
      <c r="F167" s="2010"/>
      <c r="G167" s="2010"/>
      <c r="H167" s="2010"/>
      <c r="I167" s="2010"/>
      <c r="J167" s="2010"/>
      <c r="K167" s="2010"/>
      <c r="L167" s="2010"/>
      <c r="M167" s="2010"/>
      <c r="N167" s="2010"/>
      <c r="O167" s="2010"/>
      <c r="P167" s="2010"/>
      <c r="Q167" s="2010"/>
      <c r="R167" s="2010"/>
      <c r="S167" s="2010"/>
      <c r="T167" s="2010"/>
      <c r="U167" s="2010"/>
      <c r="V167" s="2010"/>
      <c r="W167" s="2010"/>
      <c r="X167" s="2010"/>
      <c r="Y167" s="2010"/>
      <c r="Z167" s="2010"/>
      <c r="AA167" s="2010"/>
      <c r="AB167" s="2010"/>
      <c r="AC167" s="2010"/>
      <c r="AD167" s="2010"/>
      <c r="AE167" s="405"/>
      <c r="AF167" s="405"/>
      <c r="AG167" s="405"/>
      <c r="AH167" s="405"/>
      <c r="AI167" s="405"/>
      <c r="AJ167" s="405"/>
      <c r="AK167" s="405"/>
      <c r="AL167" s="405"/>
      <c r="AM167" s="465"/>
      <c r="AN167" s="459"/>
      <c r="AO167" s="352" t="s">
        <v>2033</v>
      </c>
      <c r="AP167" s="461">
        <v>2</v>
      </c>
    </row>
    <row r="168" spans="1:73" s="418" customFormat="1" ht="12.75" customHeight="1">
      <c r="A168" s="405"/>
      <c r="B168" s="405"/>
      <c r="C168" s="1193"/>
      <c r="D168" s="1193"/>
      <c r="E168" s="1193"/>
      <c r="F168" s="1193"/>
      <c r="G168" s="1193"/>
      <c r="H168" s="1193"/>
      <c r="I168" s="1193"/>
      <c r="J168" s="1193"/>
      <c r="K168" s="1193"/>
      <c r="L168" s="1193"/>
      <c r="M168" s="1193"/>
      <c r="N168" s="1193"/>
      <c r="O168" s="1193"/>
      <c r="P168" s="1193"/>
      <c r="Q168" s="1193"/>
      <c r="R168" s="1193"/>
      <c r="S168" s="1193"/>
      <c r="T168" s="1193"/>
      <c r="U168" s="1193"/>
      <c r="V168" s="1193"/>
      <c r="W168" s="1193"/>
      <c r="X168" s="1193"/>
      <c r="Y168" s="1193"/>
      <c r="Z168" s="1193"/>
      <c r="AA168" s="1193"/>
      <c r="AB168" s="1193"/>
      <c r="AC168" s="1193"/>
      <c r="AD168" s="1193"/>
      <c r="AE168" s="405"/>
      <c r="AF168" s="405"/>
      <c r="AG168" s="405"/>
      <c r="AH168" s="405"/>
      <c r="AI168" s="405"/>
      <c r="AJ168" s="405"/>
      <c r="AK168" s="405"/>
      <c r="AL168" s="405"/>
      <c r="AM168" s="465"/>
      <c r="AN168" s="459"/>
      <c r="AO168" s="352" t="s">
        <v>2034</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2035</v>
      </c>
      <c r="AJ169" s="1873">
        <f>IF($AF$161="N/A",VLOOKUP($C$159,$AO$159:$AP$162,2,FALSE),VLOOKUP($C$163,$AO$166:$AP$168,2,FALSE))</f>
        <v>3</v>
      </c>
      <c r="AK169" s="1873"/>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2036</v>
      </c>
      <c r="AK172" s="2003">
        <f>$AJ$155+$AJ$169</f>
        <v>10</v>
      </c>
      <c r="AL172" s="2004"/>
      <c r="AM172" s="2005"/>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204"/>
      <c r="J174" s="1204"/>
      <c r="K174" s="1204"/>
      <c r="L174" s="1204"/>
      <c r="M174" s="1204"/>
      <c r="N174" s="1204"/>
      <c r="O174" s="1204"/>
      <c r="P174" s="1204"/>
      <c r="Q174" s="1204"/>
      <c r="R174" s="436"/>
      <c r="S174" s="408"/>
      <c r="T174" s="408"/>
      <c r="U174" s="408"/>
      <c r="V174" s="408"/>
      <c r="W174" s="408"/>
      <c r="X174" s="408"/>
      <c r="Y174" s="408"/>
      <c r="Z174" s="408"/>
      <c r="AA174" s="408"/>
      <c r="AB174" s="408"/>
      <c r="AC174" s="408"/>
      <c r="AD174" s="408"/>
      <c r="AE174" s="408"/>
      <c r="AF174" s="436"/>
      <c r="AG174" s="408"/>
      <c r="AH174" s="408"/>
      <c r="AI174" s="408"/>
      <c r="AJ174" s="408"/>
      <c r="AN174" s="459"/>
      <c r="AP174" s="473" t="s">
        <v>2037</v>
      </c>
      <c r="AQ174" s="473">
        <v>0</v>
      </c>
    </row>
    <row r="175" spans="1:73" s="418" customFormat="1" ht="12.75" customHeight="1">
      <c r="A175" s="407" t="s">
        <v>2038</v>
      </c>
      <c r="B175" s="407" t="s">
        <v>2039</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210"/>
      <c r="Z175" s="1210"/>
      <c r="AA175" s="1210"/>
      <c r="AB175" s="1210"/>
      <c r="AC175" s="405"/>
      <c r="AD175" s="405"/>
      <c r="AE175" s="1847" t="s">
        <v>1968</v>
      </c>
      <c r="AF175" s="1847"/>
      <c r="AG175" s="1847"/>
      <c r="AH175" s="1847"/>
      <c r="AI175" s="1847"/>
      <c r="AJ175" s="1847"/>
      <c r="AK175" s="1847"/>
      <c r="AL175" s="1201"/>
      <c r="AN175" s="459"/>
      <c r="AP175" s="418" t="s">
        <v>988</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210"/>
      <c r="S176" s="1210"/>
      <c r="T176" s="1210"/>
      <c r="U176" s="1210"/>
      <c r="V176" s="1210"/>
      <c r="W176" s="1210"/>
      <c r="X176" s="1210"/>
      <c r="Y176" s="1210"/>
      <c r="Z176" s="1210"/>
      <c r="AA176" s="1210"/>
      <c r="AB176" s="1210"/>
      <c r="AC176" s="1201"/>
      <c r="AD176" s="1201"/>
      <c r="AE176" s="405"/>
      <c r="AF176" s="405"/>
      <c r="AG176" s="405"/>
      <c r="AH176" s="405"/>
      <c r="AI176" s="405"/>
      <c r="AJ176" s="405"/>
      <c r="AK176" s="405"/>
      <c r="AL176" s="405"/>
      <c r="AN176" s="459"/>
      <c r="AP176" s="418" t="s">
        <v>2040</v>
      </c>
      <c r="AQ176" s="418">
        <v>10</v>
      </c>
    </row>
    <row r="177" spans="1:45" s="418" customFormat="1" ht="12.75" customHeight="1">
      <c r="A177" s="405"/>
      <c r="B177" s="2006" t="s">
        <v>988</v>
      </c>
      <c r="C177" s="2006"/>
      <c r="D177" s="2006"/>
      <c r="E177" s="2006"/>
      <c r="F177" s="2006"/>
      <c r="G177" s="2006"/>
      <c r="H177" s="2006"/>
      <c r="I177" s="2006"/>
      <c r="J177" s="2006"/>
      <c r="K177" s="2006"/>
      <c r="L177" s="2006"/>
      <c r="M177" s="2006"/>
      <c r="N177" s="2006"/>
      <c r="O177" s="2006"/>
      <c r="P177" s="2006"/>
      <c r="Q177" s="2006"/>
      <c r="R177" s="2006"/>
      <c r="S177" s="2006"/>
      <c r="T177" s="2006"/>
      <c r="U177" s="2006"/>
      <c r="V177" s="2006"/>
      <c r="W177" s="2006"/>
      <c r="X177" s="2006"/>
      <c r="Y177" s="2006"/>
      <c r="Z177" s="2006"/>
      <c r="AA177" s="2006"/>
      <c r="AB177" s="2006"/>
      <c r="AC177" s="2006"/>
      <c r="AD177" s="405"/>
      <c r="AE177" s="405"/>
      <c r="AF177" s="1914" t="s">
        <v>2041</v>
      </c>
      <c r="AG177" s="1914"/>
      <c r="AH177" s="1914"/>
      <c r="AI177" s="1914"/>
      <c r="AJ177" s="1914"/>
      <c r="AK177" s="1914"/>
      <c r="AL177" s="1914"/>
      <c r="AN177" s="459"/>
      <c r="AP177" s="418" t="s">
        <v>996</v>
      </c>
      <c r="AQ177" s="418">
        <v>10</v>
      </c>
    </row>
    <row r="178" spans="1:45" s="418" customFormat="1" ht="12.75" customHeight="1">
      <c r="A178" s="405"/>
      <c r="B178" s="2007" t="s">
        <v>2042</v>
      </c>
      <c r="C178" s="2007"/>
      <c r="D178" s="2007"/>
      <c r="E178" s="2007"/>
      <c r="F178" s="2007"/>
      <c r="G178" s="2007"/>
      <c r="H178" s="2007"/>
      <c r="I178" s="2007"/>
      <c r="J178" s="2007"/>
      <c r="K178" s="2007"/>
      <c r="L178" s="2007"/>
      <c r="M178" s="2007"/>
      <c r="N178" s="2007"/>
      <c r="O178" s="2007"/>
      <c r="P178" s="2007"/>
      <c r="Q178" s="2007"/>
      <c r="R178" s="2007"/>
      <c r="S178" s="2007"/>
      <c r="T178" s="2008" t="s">
        <v>299</v>
      </c>
      <c r="U178" s="2008"/>
      <c r="V178" s="2008"/>
      <c r="W178" s="2008"/>
      <c r="X178" s="2008"/>
      <c r="Y178" s="2008"/>
      <c r="Z178" s="2008"/>
      <c r="AA178" s="2008"/>
      <c r="AB178" s="2008"/>
      <c r="AC178" s="2008"/>
      <c r="AD178" s="405"/>
      <c r="AE178" s="405"/>
      <c r="AF178" s="405"/>
      <c r="AG178" s="405"/>
      <c r="AH178" s="405"/>
      <c r="AI178" s="405"/>
      <c r="AJ178" s="1184"/>
      <c r="AK178" s="457"/>
      <c r="AL178" s="457"/>
      <c r="AM178" s="457"/>
      <c r="AN178" s="459"/>
      <c r="AP178" s="418" t="s">
        <v>997</v>
      </c>
      <c r="AQ178" s="418">
        <v>10</v>
      </c>
      <c r="AS178" s="418" t="s">
        <v>299</v>
      </c>
    </row>
    <row r="179" spans="1:45" s="418" customFormat="1" ht="12.75" customHeight="1">
      <c r="A179" s="405"/>
      <c r="B179" s="1193"/>
      <c r="C179" s="1193"/>
      <c r="D179" s="1193"/>
      <c r="E179" s="1193"/>
      <c r="F179" s="1193"/>
      <c r="G179" s="1193"/>
      <c r="H179" s="1193"/>
      <c r="I179" s="1193"/>
      <c r="J179" s="1193"/>
      <c r="K179" s="1193"/>
      <c r="L179" s="1193"/>
      <c r="M179" s="1193"/>
      <c r="N179" s="1193"/>
      <c r="O179" s="1193"/>
      <c r="P179" s="1193"/>
      <c r="Q179" s="1193"/>
      <c r="R179" s="1193"/>
      <c r="S179" s="1193"/>
      <c r="T179" s="1193"/>
      <c r="U179" s="1193"/>
      <c r="V179" s="1193"/>
      <c r="W179" s="1193"/>
      <c r="X179" s="1193"/>
      <c r="Y179" s="1193"/>
      <c r="Z179" s="1193"/>
      <c r="AA179" s="1193"/>
      <c r="AB179" s="1193"/>
      <c r="AC179" s="1193"/>
      <c r="AD179" s="1193"/>
      <c r="AE179" s="405"/>
      <c r="AF179" s="405"/>
      <c r="AG179" s="405"/>
      <c r="AH179" s="405"/>
      <c r="AI179" s="405"/>
      <c r="AJ179" s="1184"/>
      <c r="AK179" s="457"/>
      <c r="AL179" s="457"/>
      <c r="AM179" s="478"/>
      <c r="AP179" s="418" t="s">
        <v>2043</v>
      </c>
      <c r="AQ179" s="418">
        <v>10</v>
      </c>
      <c r="AS179" s="418" t="s">
        <v>2044</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2045</v>
      </c>
      <c r="AK180" s="1841">
        <f>IF(AK78&gt;0,VLOOKUP($B$177,AP174:AQ180,2,FALSE),0)</f>
        <v>10</v>
      </c>
      <c r="AL180" s="1842"/>
      <c r="AM180" s="1843"/>
      <c r="AN180" s="404"/>
      <c r="AP180" s="418" t="s">
        <v>2046</v>
      </c>
      <c r="AQ180" s="418">
        <v>10</v>
      </c>
      <c r="AS180" s="418" t="s">
        <v>2047</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204"/>
      <c r="J182" s="1204"/>
      <c r="K182" s="1204"/>
      <c r="L182" s="1204"/>
      <c r="M182" s="1204"/>
      <c r="N182" s="1204"/>
      <c r="O182" s="1204"/>
      <c r="P182" s="1204"/>
      <c r="Q182" s="1204"/>
      <c r="R182" s="436"/>
      <c r="S182" s="408"/>
      <c r="T182" s="408"/>
      <c r="U182" s="408"/>
      <c r="V182" s="408"/>
      <c r="W182" s="408"/>
      <c r="X182" s="408"/>
      <c r="Y182" s="408"/>
      <c r="Z182" s="408"/>
      <c r="AA182" s="408"/>
      <c r="AB182" s="408"/>
      <c r="AC182" s="408"/>
      <c r="AD182" s="408"/>
      <c r="AE182" s="408"/>
      <c r="AF182" s="436"/>
      <c r="AG182" s="408"/>
      <c r="AH182" s="408"/>
      <c r="AI182" s="408"/>
      <c r="AJ182" s="408"/>
      <c r="AN182" s="459"/>
    </row>
    <row r="183" spans="1:45">
      <c r="A183" s="407" t="s">
        <v>2048</v>
      </c>
      <c r="B183" s="407" t="s">
        <v>2049</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210"/>
      <c r="Z183" s="1210"/>
      <c r="AA183" s="1210"/>
      <c r="AB183" s="1210"/>
      <c r="AC183" s="418"/>
      <c r="AD183" s="418"/>
      <c r="AE183" s="1847" t="s">
        <v>2050</v>
      </c>
      <c r="AF183" s="1847"/>
      <c r="AG183" s="1847"/>
      <c r="AH183" s="1847"/>
      <c r="AI183" s="1847"/>
      <c r="AJ183" s="1847"/>
      <c r="AK183" s="1847"/>
    </row>
    <row r="184" spans="1:45">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210"/>
      <c r="Z184" s="1210"/>
      <c r="AA184" s="1210"/>
      <c r="AB184" s="1210"/>
      <c r="AC184" s="405"/>
      <c r="AD184" s="405"/>
      <c r="AE184" s="1184"/>
      <c r="AF184" s="1184"/>
      <c r="AG184" s="1184"/>
      <c r="AH184" s="1184"/>
      <c r="AI184" s="1184"/>
      <c r="AJ184" s="1184"/>
      <c r="AK184" s="1184"/>
    </row>
    <row r="185" spans="1:45">
      <c r="A185" s="407"/>
      <c r="B185" s="688" t="s">
        <v>2051</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210"/>
      <c r="Z185" s="1210"/>
      <c r="AA185" s="1210"/>
      <c r="AB185" s="1210"/>
      <c r="AC185" s="405"/>
      <c r="AD185" s="405"/>
      <c r="AE185" s="1184"/>
      <c r="AF185" s="1184"/>
      <c r="AG185" s="1184"/>
      <c r="AH185" s="1184"/>
      <c r="AI185" s="1184"/>
      <c r="AJ185" s="1184"/>
      <c r="AK185" s="1184"/>
    </row>
    <row r="186" spans="1:45">
      <c r="A186" s="1193"/>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197"/>
      <c r="Z186" s="1197"/>
      <c r="AA186" s="1197"/>
      <c r="AB186" s="1197"/>
      <c r="AC186" s="405"/>
      <c r="AD186" s="405"/>
      <c r="AE186" s="471"/>
      <c r="AF186" s="471"/>
      <c r="AG186" s="471"/>
      <c r="AH186" s="471"/>
      <c r="AI186" s="471"/>
      <c r="AJ186" s="471"/>
      <c r="AK186" s="471"/>
    </row>
    <row r="187" spans="1:45">
      <c r="A187" s="1193"/>
      <c r="B187" s="689" t="s">
        <v>2052</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197"/>
      <c r="Z187" s="1197"/>
      <c r="AA187" s="1197"/>
      <c r="AB187" s="1197"/>
      <c r="AC187" s="405"/>
      <c r="AD187" s="405"/>
      <c r="AE187" s="471"/>
      <c r="AF187" s="471"/>
      <c r="AG187" s="471"/>
      <c r="AH187" s="471"/>
      <c r="AI187" s="471"/>
      <c r="AJ187" s="471"/>
      <c r="AK187" s="471"/>
    </row>
    <row r="188" spans="1:45">
      <c r="A188" s="1193"/>
      <c r="B188" s="2000" t="s">
        <v>2053</v>
      </c>
      <c r="C188" s="2000"/>
      <c r="D188" s="2000"/>
      <c r="E188" s="2000"/>
      <c r="F188" s="2000"/>
      <c r="G188" s="2000"/>
      <c r="H188" s="2000"/>
      <c r="I188" s="2000"/>
      <c r="J188" s="2000"/>
      <c r="K188" s="2000"/>
      <c r="L188" s="2000"/>
      <c r="M188" s="2000"/>
      <c r="N188" s="2000"/>
      <c r="O188" s="2000"/>
      <c r="P188" s="2000"/>
      <c r="Q188" s="2000"/>
      <c r="R188" s="2000"/>
      <c r="S188" s="2000"/>
      <c r="T188" s="2000"/>
      <c r="U188" s="2000"/>
      <c r="V188" s="2000"/>
      <c r="W188" s="2000"/>
      <c r="X188" s="2000"/>
      <c r="Y188" s="2000"/>
      <c r="Z188" s="2000"/>
      <c r="AA188" s="2000"/>
      <c r="AB188" s="2000"/>
      <c r="AC188" s="690"/>
      <c r="AD188" s="1990">
        <v>4000000</v>
      </c>
      <c r="AE188" s="1990"/>
      <c r="AF188" s="1990"/>
      <c r="AG188" s="1990"/>
      <c r="AH188" s="1990"/>
      <c r="AI188" s="1990"/>
      <c r="AJ188" s="1990"/>
      <c r="AK188" s="471"/>
    </row>
    <row r="189" spans="1:45">
      <c r="A189" s="1193"/>
      <c r="B189" s="2000" t="s">
        <v>2054</v>
      </c>
      <c r="C189" s="2000"/>
      <c r="D189" s="2000"/>
      <c r="E189" s="2000"/>
      <c r="F189" s="2000"/>
      <c r="G189" s="2000"/>
      <c r="H189" s="2000"/>
      <c r="I189" s="2000"/>
      <c r="J189" s="2000"/>
      <c r="K189" s="2000"/>
      <c r="L189" s="2000"/>
      <c r="M189" s="2000"/>
      <c r="N189" s="2000"/>
      <c r="O189" s="2000"/>
      <c r="P189" s="2000"/>
      <c r="Q189" s="2000"/>
      <c r="R189" s="2000"/>
      <c r="S189" s="2000"/>
      <c r="T189" s="2000"/>
      <c r="U189" s="2000"/>
      <c r="V189" s="2000"/>
      <c r="W189" s="2000"/>
      <c r="X189" s="2000"/>
      <c r="Y189" s="2000"/>
      <c r="Z189" s="2000"/>
      <c r="AA189" s="2000"/>
      <c r="AB189" s="2000"/>
      <c r="AC189" s="690"/>
      <c r="AD189" s="1990">
        <v>4403263</v>
      </c>
      <c r="AE189" s="1990"/>
      <c r="AF189" s="1990"/>
      <c r="AG189" s="1990"/>
      <c r="AH189" s="1990"/>
      <c r="AI189" s="1990"/>
      <c r="AJ189" s="1990"/>
      <c r="AK189" s="471"/>
    </row>
    <row r="190" spans="1:45">
      <c r="A190" s="1193"/>
      <c r="B190" s="2000"/>
      <c r="C190" s="2000"/>
      <c r="D190" s="2000"/>
      <c r="E190" s="2000"/>
      <c r="F190" s="2000"/>
      <c r="G190" s="2000"/>
      <c r="H190" s="2000"/>
      <c r="I190" s="2000"/>
      <c r="J190" s="2000"/>
      <c r="K190" s="2000"/>
      <c r="L190" s="2000"/>
      <c r="M190" s="2000"/>
      <c r="N190" s="2000"/>
      <c r="O190" s="2000"/>
      <c r="P190" s="2000"/>
      <c r="Q190" s="2000"/>
      <c r="R190" s="2000"/>
      <c r="S190" s="2000"/>
      <c r="T190" s="2000"/>
      <c r="U190" s="2000"/>
      <c r="V190" s="2000"/>
      <c r="W190" s="2000"/>
      <c r="X190" s="2000"/>
      <c r="Y190" s="2000"/>
      <c r="Z190" s="2000"/>
      <c r="AA190" s="2000"/>
      <c r="AB190" s="2000"/>
      <c r="AC190" s="690"/>
      <c r="AD190" s="1990"/>
      <c r="AE190" s="1990"/>
      <c r="AF190" s="1990"/>
      <c r="AG190" s="1990"/>
      <c r="AH190" s="1990"/>
      <c r="AI190" s="1990"/>
      <c r="AJ190" s="1990"/>
      <c r="AK190" s="471"/>
    </row>
    <row r="191" spans="1:45">
      <c r="A191" s="1193"/>
      <c r="B191" s="2000"/>
      <c r="C191" s="2000"/>
      <c r="D191" s="2000"/>
      <c r="E191" s="2000"/>
      <c r="F191" s="2000"/>
      <c r="G191" s="2000"/>
      <c r="H191" s="2000"/>
      <c r="I191" s="2000"/>
      <c r="J191" s="2000"/>
      <c r="K191" s="2000"/>
      <c r="L191" s="2000"/>
      <c r="M191" s="2000"/>
      <c r="N191" s="2000"/>
      <c r="O191" s="2000"/>
      <c r="P191" s="2000"/>
      <c r="Q191" s="2000"/>
      <c r="R191" s="2000"/>
      <c r="S191" s="2000"/>
      <c r="T191" s="2000"/>
      <c r="U191" s="2000"/>
      <c r="V191" s="2000"/>
      <c r="W191" s="2000"/>
      <c r="X191" s="2000"/>
      <c r="Y191" s="2000"/>
      <c r="Z191" s="2000"/>
      <c r="AA191" s="2000"/>
      <c r="AB191" s="2000"/>
      <c r="AC191" s="690"/>
      <c r="AD191" s="1990"/>
      <c r="AE191" s="1990"/>
      <c r="AF191" s="1990"/>
      <c r="AG191" s="1990"/>
      <c r="AH191" s="1990"/>
      <c r="AI191" s="1990"/>
      <c r="AJ191" s="1990"/>
      <c r="AK191" s="471"/>
    </row>
    <row r="192" spans="1:45">
      <c r="A192" s="1193"/>
      <c r="B192" s="2000"/>
      <c r="C192" s="2000"/>
      <c r="D192" s="2000"/>
      <c r="E192" s="2000"/>
      <c r="F192" s="2000"/>
      <c r="G192" s="2000"/>
      <c r="H192" s="2000"/>
      <c r="I192" s="2000"/>
      <c r="J192" s="2000"/>
      <c r="K192" s="2000"/>
      <c r="L192" s="2000"/>
      <c r="M192" s="2000"/>
      <c r="N192" s="2000"/>
      <c r="O192" s="2000"/>
      <c r="P192" s="2000"/>
      <c r="Q192" s="2000"/>
      <c r="R192" s="2000"/>
      <c r="S192" s="2000"/>
      <c r="T192" s="2000"/>
      <c r="U192" s="2000"/>
      <c r="V192" s="2000"/>
      <c r="W192" s="2000"/>
      <c r="X192" s="2000"/>
      <c r="Y192" s="2000"/>
      <c r="Z192" s="2000"/>
      <c r="AA192" s="2000"/>
      <c r="AB192" s="2000"/>
      <c r="AC192" s="690"/>
      <c r="AD192" s="1990"/>
      <c r="AE192" s="1990"/>
      <c r="AF192" s="1990"/>
      <c r="AG192" s="1990"/>
      <c r="AH192" s="1990"/>
      <c r="AI192" s="1990"/>
      <c r="AJ192" s="1990"/>
      <c r="AK192" s="471"/>
    </row>
    <row r="193" spans="1:37">
      <c r="A193" s="1193"/>
      <c r="B193" s="2000"/>
      <c r="C193" s="2000"/>
      <c r="D193" s="2000"/>
      <c r="E193" s="2000"/>
      <c r="F193" s="2000"/>
      <c r="G193" s="2000"/>
      <c r="H193" s="2000"/>
      <c r="I193" s="2000"/>
      <c r="J193" s="2000"/>
      <c r="K193" s="2000"/>
      <c r="L193" s="2000"/>
      <c r="M193" s="2000"/>
      <c r="N193" s="2000"/>
      <c r="O193" s="2000"/>
      <c r="P193" s="2000"/>
      <c r="Q193" s="2000"/>
      <c r="R193" s="2000"/>
      <c r="S193" s="2000"/>
      <c r="T193" s="2000"/>
      <c r="U193" s="2000"/>
      <c r="V193" s="2000"/>
      <c r="W193" s="2000"/>
      <c r="X193" s="2000"/>
      <c r="Y193" s="2000"/>
      <c r="Z193" s="2000"/>
      <c r="AA193" s="2000"/>
      <c r="AB193" s="2000"/>
      <c r="AC193" s="690"/>
      <c r="AD193" s="1990"/>
      <c r="AE193" s="1990"/>
      <c r="AF193" s="1990"/>
      <c r="AG193" s="1990"/>
      <c r="AH193" s="1990"/>
      <c r="AI193" s="1990"/>
      <c r="AJ193" s="1990"/>
      <c r="AK193" s="471"/>
    </row>
    <row r="194" spans="1:37">
      <c r="A194" s="1193"/>
      <c r="B194" s="2000"/>
      <c r="C194" s="2000"/>
      <c r="D194" s="2000"/>
      <c r="E194" s="2000"/>
      <c r="F194" s="2000"/>
      <c r="G194" s="2000"/>
      <c r="H194" s="2000"/>
      <c r="I194" s="2000"/>
      <c r="J194" s="2000"/>
      <c r="K194" s="2000"/>
      <c r="L194" s="2000"/>
      <c r="M194" s="2000"/>
      <c r="N194" s="2000"/>
      <c r="O194" s="2000"/>
      <c r="P194" s="2000"/>
      <c r="Q194" s="2000"/>
      <c r="R194" s="2000"/>
      <c r="S194" s="2000"/>
      <c r="T194" s="2000"/>
      <c r="U194" s="2000"/>
      <c r="V194" s="2000"/>
      <c r="W194" s="2000"/>
      <c r="X194" s="2000"/>
      <c r="Y194" s="2000"/>
      <c r="Z194" s="2000"/>
      <c r="AA194" s="2000"/>
      <c r="AB194" s="2000"/>
      <c r="AC194" s="690"/>
      <c r="AD194" s="1990"/>
      <c r="AE194" s="1990"/>
      <c r="AF194" s="1990"/>
      <c r="AG194" s="1990"/>
      <c r="AH194" s="1990"/>
      <c r="AI194" s="1990"/>
      <c r="AJ194" s="1990"/>
      <c r="AK194" s="471"/>
    </row>
    <row r="195" spans="1:37">
      <c r="A195" s="1193"/>
      <c r="B195" s="2000"/>
      <c r="C195" s="2000"/>
      <c r="D195" s="2000"/>
      <c r="E195" s="2000"/>
      <c r="F195" s="2000"/>
      <c r="G195" s="2000"/>
      <c r="H195" s="2000"/>
      <c r="I195" s="2000"/>
      <c r="J195" s="2000"/>
      <c r="K195" s="2000"/>
      <c r="L195" s="2000"/>
      <c r="M195" s="2000"/>
      <c r="N195" s="2000"/>
      <c r="O195" s="2000"/>
      <c r="P195" s="2000"/>
      <c r="Q195" s="2000"/>
      <c r="R195" s="2000"/>
      <c r="S195" s="2000"/>
      <c r="T195" s="2000"/>
      <c r="U195" s="2000"/>
      <c r="V195" s="2000"/>
      <c r="W195" s="2000"/>
      <c r="X195" s="2000"/>
      <c r="Y195" s="2000"/>
      <c r="Z195" s="2000"/>
      <c r="AA195" s="2000"/>
      <c r="AB195" s="2000"/>
      <c r="AC195" s="690"/>
      <c r="AD195" s="1990"/>
      <c r="AE195" s="1990"/>
      <c r="AF195" s="1990"/>
      <c r="AG195" s="1990"/>
      <c r="AH195" s="1990"/>
      <c r="AI195" s="1990"/>
      <c r="AJ195" s="1990"/>
      <c r="AK195" s="471"/>
    </row>
    <row r="196" spans="1:37">
      <c r="A196" s="1193"/>
      <c r="B196" s="2000"/>
      <c r="C196" s="2000"/>
      <c r="D196" s="2000"/>
      <c r="E196" s="2000"/>
      <c r="F196" s="2000"/>
      <c r="G196" s="2000"/>
      <c r="H196" s="2000"/>
      <c r="I196" s="2000"/>
      <c r="J196" s="2000"/>
      <c r="K196" s="2000"/>
      <c r="L196" s="2000"/>
      <c r="M196" s="2000"/>
      <c r="N196" s="2000"/>
      <c r="O196" s="2000"/>
      <c r="P196" s="2000"/>
      <c r="Q196" s="2000"/>
      <c r="R196" s="2000"/>
      <c r="S196" s="2000"/>
      <c r="T196" s="2000"/>
      <c r="U196" s="2000"/>
      <c r="V196" s="2000"/>
      <c r="W196" s="2000"/>
      <c r="X196" s="2000"/>
      <c r="Y196" s="2000"/>
      <c r="Z196" s="2000"/>
      <c r="AA196" s="2000"/>
      <c r="AB196" s="2000"/>
      <c r="AC196" s="690"/>
      <c r="AD196" s="1990"/>
      <c r="AE196" s="1990"/>
      <c r="AF196" s="1990"/>
      <c r="AG196" s="1990"/>
      <c r="AH196" s="1990"/>
      <c r="AI196" s="1990"/>
      <c r="AJ196" s="1990"/>
      <c r="AK196" s="471"/>
    </row>
    <row r="197" spans="1:37">
      <c r="A197" s="1193"/>
      <c r="B197" s="2000"/>
      <c r="C197" s="2000"/>
      <c r="D197" s="2000"/>
      <c r="E197" s="2000"/>
      <c r="F197" s="2000"/>
      <c r="G197" s="2000"/>
      <c r="H197" s="2000"/>
      <c r="I197" s="2000"/>
      <c r="J197" s="2000"/>
      <c r="K197" s="2000"/>
      <c r="L197" s="2000"/>
      <c r="M197" s="2000"/>
      <c r="N197" s="2000"/>
      <c r="O197" s="2000"/>
      <c r="P197" s="2000"/>
      <c r="Q197" s="2000"/>
      <c r="R197" s="2000"/>
      <c r="S197" s="2000"/>
      <c r="T197" s="2000"/>
      <c r="U197" s="2000"/>
      <c r="V197" s="2000"/>
      <c r="W197" s="2000"/>
      <c r="X197" s="2000"/>
      <c r="Y197" s="2000"/>
      <c r="Z197" s="2000"/>
      <c r="AA197" s="2000"/>
      <c r="AB197" s="2000"/>
      <c r="AC197" s="690"/>
      <c r="AD197" s="1990"/>
      <c r="AE197" s="1990"/>
      <c r="AF197" s="1990"/>
      <c r="AG197" s="1990"/>
      <c r="AH197" s="1990"/>
      <c r="AI197" s="1990"/>
      <c r="AJ197" s="1990"/>
      <c r="AK197" s="471"/>
    </row>
    <row r="198" spans="1:37">
      <c r="A198" s="1193"/>
      <c r="B198" s="1861" t="s">
        <v>2055</v>
      </c>
      <c r="C198" s="1861"/>
      <c r="D198" s="1861"/>
      <c r="E198" s="1861"/>
      <c r="F198" s="1861"/>
      <c r="G198" s="1861"/>
      <c r="H198" s="1861"/>
      <c r="I198" s="1861"/>
      <c r="J198" s="1861"/>
      <c r="K198" s="1861"/>
      <c r="L198" s="1861"/>
      <c r="M198" s="1861"/>
      <c r="N198" s="1861"/>
      <c r="O198" s="1861"/>
      <c r="P198" s="1861"/>
      <c r="Q198" s="1861"/>
      <c r="R198" s="1861"/>
      <c r="S198" s="1861"/>
      <c r="T198" s="1861"/>
      <c r="U198" s="1861"/>
      <c r="V198" s="1861"/>
      <c r="W198" s="1861"/>
      <c r="X198" s="1861"/>
      <c r="Y198" s="1861"/>
      <c r="Z198" s="1861"/>
      <c r="AA198" s="1861"/>
      <c r="AB198" s="1861"/>
      <c r="AC198" s="405"/>
      <c r="AD198" s="1988">
        <f>AB249</f>
        <v>0</v>
      </c>
      <c r="AE198" s="1988"/>
      <c r="AF198" s="1988"/>
      <c r="AG198" s="1988"/>
      <c r="AH198" s="1988"/>
      <c r="AI198" s="1988"/>
      <c r="AJ198" s="1988"/>
      <c r="AK198" s="471"/>
    </row>
    <row r="199" spans="1:37">
      <c r="A199" s="1193"/>
      <c r="B199" s="1859" t="s">
        <v>2056</v>
      </c>
      <c r="C199" s="1859"/>
      <c r="D199" s="1859"/>
      <c r="E199" s="1859"/>
      <c r="F199" s="1859"/>
      <c r="G199" s="1859"/>
      <c r="H199" s="1859"/>
      <c r="I199" s="1859"/>
      <c r="J199" s="1859"/>
      <c r="K199" s="1859"/>
      <c r="L199" s="1859"/>
      <c r="M199" s="1859"/>
      <c r="N199" s="1859"/>
      <c r="O199" s="1859"/>
      <c r="P199" s="1859"/>
      <c r="Q199" s="1859"/>
      <c r="R199" s="1859"/>
      <c r="S199" s="1859"/>
      <c r="T199" s="1859"/>
      <c r="U199" s="1859"/>
      <c r="V199" s="1859"/>
      <c r="W199" s="1859"/>
      <c r="X199" s="1859"/>
      <c r="Y199" s="1859"/>
      <c r="Z199" s="1859"/>
      <c r="AA199" s="1859"/>
      <c r="AB199" s="1859"/>
      <c r="AC199" s="690"/>
      <c r="AD199" s="1989">
        <f>'Sources and Uses Budget'!B15</f>
        <v>0</v>
      </c>
      <c r="AE199" s="1989"/>
      <c r="AF199" s="1989"/>
      <c r="AG199" s="1989"/>
      <c r="AH199" s="1989"/>
      <c r="AI199" s="1989"/>
      <c r="AJ199" s="1989"/>
      <c r="AK199" s="471"/>
    </row>
    <row r="200" spans="1:37">
      <c r="A200" s="1193"/>
      <c r="B200" s="1106"/>
      <c r="C200" s="1106"/>
      <c r="D200" s="1106"/>
      <c r="E200" s="1106"/>
      <c r="F200" s="1106"/>
      <c r="G200" s="1106"/>
      <c r="H200" s="1106"/>
      <c r="I200" s="1106"/>
      <c r="J200" s="1106"/>
      <c r="K200" s="1106"/>
      <c r="L200" s="1106"/>
      <c r="M200" s="1106"/>
      <c r="N200" s="1106"/>
      <c r="O200" s="1106"/>
      <c r="P200" s="1106"/>
      <c r="Q200" s="1106"/>
      <c r="R200" s="1106"/>
      <c r="S200" s="1106"/>
      <c r="T200" s="1106"/>
      <c r="U200" s="1106"/>
      <c r="V200" s="1106"/>
      <c r="W200" s="1106"/>
      <c r="X200" s="1106"/>
      <c r="Y200" s="1106"/>
      <c r="Z200" s="1106"/>
      <c r="AA200" s="1106"/>
      <c r="AB200" s="483" t="s">
        <v>1543</v>
      </c>
      <c r="AC200" s="405"/>
      <c r="AD200" s="1994">
        <f>SUM(AD188:AJ198)-AD199</f>
        <v>8403263</v>
      </c>
      <c r="AE200" s="1994"/>
      <c r="AF200" s="1994"/>
      <c r="AG200" s="1994"/>
      <c r="AH200" s="1994"/>
      <c r="AI200" s="1994"/>
      <c r="AJ200" s="1994"/>
      <c r="AK200" s="471"/>
    </row>
    <row r="201" spans="1:37">
      <c r="A201" s="1193"/>
      <c r="B201" s="1193"/>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197"/>
      <c r="Z201" s="1197"/>
      <c r="AA201" s="1197"/>
      <c r="AB201" s="1197"/>
      <c r="AC201" s="405"/>
      <c r="AD201" s="405"/>
      <c r="AE201" s="471"/>
      <c r="AF201" s="471"/>
      <c r="AG201" s="471"/>
      <c r="AH201" s="471"/>
      <c r="AI201" s="471"/>
      <c r="AJ201" s="471"/>
      <c r="AK201" s="471"/>
    </row>
    <row r="202" spans="1:37">
      <c r="A202" s="1193"/>
      <c r="B202" s="370" t="s">
        <v>2057</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197"/>
      <c r="Z202" s="1197"/>
      <c r="AA202" s="1197"/>
      <c r="AB202" s="1197"/>
      <c r="AC202" s="405"/>
      <c r="AD202" s="405"/>
      <c r="AE202" s="471"/>
      <c r="AF202" s="471"/>
      <c r="AG202" s="471"/>
      <c r="AH202" s="471"/>
      <c r="AI202" s="471"/>
      <c r="AJ202" s="471"/>
      <c r="AK202" s="471"/>
    </row>
    <row r="203" spans="1:37">
      <c r="A203" s="1193"/>
      <c r="B203" s="352" t="s">
        <v>2058</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197"/>
      <c r="Z203" s="1197"/>
      <c r="AA203" s="1197"/>
      <c r="AB203" s="1197"/>
      <c r="AC203" s="405"/>
      <c r="AD203" s="405"/>
      <c r="AE203" s="471"/>
      <c r="AF203" s="471"/>
      <c r="AG203" s="471"/>
      <c r="AH203" s="471"/>
      <c r="AI203" s="471"/>
      <c r="AJ203" s="471"/>
      <c r="AK203" s="471"/>
    </row>
    <row r="204" spans="1:37">
      <c r="A204" s="697"/>
      <c r="B204" s="713" t="s">
        <v>2059</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199"/>
      <c r="Z204" s="1199"/>
      <c r="AA204" s="1199"/>
      <c r="AB204" s="1199"/>
      <c r="AC204" s="597"/>
      <c r="AD204" s="597"/>
      <c r="AE204" s="675"/>
      <c r="AF204" s="675"/>
      <c r="AG204" s="675"/>
      <c r="AH204" s="675"/>
      <c r="AI204" s="675"/>
      <c r="AJ204" s="676"/>
      <c r="AK204" s="471"/>
    </row>
    <row r="205" spans="1:37">
      <c r="A205" s="697"/>
      <c r="B205" s="717" t="s">
        <v>2060</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197"/>
      <c r="Z205" s="1197"/>
      <c r="AA205" s="1197"/>
      <c r="AB205" s="1197"/>
      <c r="AC205" s="405"/>
      <c r="AD205" s="405"/>
      <c r="AE205" s="471"/>
      <c r="AF205" s="471"/>
      <c r="AG205" s="471"/>
      <c r="AH205" s="471"/>
      <c r="AI205" s="471"/>
      <c r="AJ205" s="677"/>
      <c r="AK205" s="471"/>
    </row>
    <row r="206" spans="1:37">
      <c r="A206" s="697"/>
      <c r="B206" s="717" t="s">
        <v>2061</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197"/>
      <c r="Z206" s="1197"/>
      <c r="AA206" s="1197"/>
      <c r="AB206" s="1197"/>
      <c r="AC206" s="405"/>
      <c r="AD206" s="405"/>
      <c r="AE206" s="471"/>
      <c r="AF206" s="471"/>
      <c r="AG206" s="471"/>
      <c r="AH206" s="471"/>
      <c r="AI206" s="471"/>
      <c r="AJ206" s="677"/>
      <c r="AK206" s="471"/>
    </row>
    <row r="207" spans="1:37">
      <c r="A207" s="697"/>
      <c r="B207" s="717" t="s">
        <v>2062</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197"/>
      <c r="Z207" s="1197"/>
      <c r="AA207" s="1197"/>
      <c r="AB207" s="1197"/>
      <c r="AC207" s="405"/>
      <c r="AD207" s="405"/>
      <c r="AE207" s="471"/>
      <c r="AF207" s="471"/>
      <c r="AG207" s="471"/>
      <c r="AH207" s="471"/>
      <c r="AI207" s="471"/>
      <c r="AJ207" s="677"/>
      <c r="AK207" s="471"/>
    </row>
    <row r="208" spans="1:37">
      <c r="A208" s="697"/>
      <c r="B208" s="721" t="s">
        <v>2063</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197"/>
      <c r="Z208" s="1197"/>
      <c r="AA208" s="1197"/>
      <c r="AB208" s="1197"/>
      <c r="AC208" s="405"/>
      <c r="AD208" s="405"/>
      <c r="AE208" s="471"/>
      <c r="AF208" s="471"/>
      <c r="AG208" s="471"/>
      <c r="AH208" s="471"/>
      <c r="AI208" s="471"/>
      <c r="AJ208" s="677"/>
      <c r="AK208" s="471"/>
    </row>
    <row r="209" spans="1:37">
      <c r="A209" s="697"/>
      <c r="B209" s="722" t="s">
        <v>2064</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198"/>
      <c r="Z209" s="1198"/>
      <c r="AA209" s="1198"/>
      <c r="AB209" s="1198"/>
      <c r="AC209" s="590"/>
      <c r="AD209" s="590"/>
      <c r="AE209" s="678"/>
      <c r="AF209" s="678"/>
      <c r="AG209" s="678"/>
      <c r="AH209" s="678"/>
      <c r="AI209" s="678"/>
      <c r="AJ209" s="679"/>
      <c r="AK209" s="471"/>
    </row>
    <row r="210" spans="1:37">
      <c r="A210" s="1193"/>
      <c r="B210" s="1193"/>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197"/>
      <c r="Z210" s="1197"/>
      <c r="AA210" s="1197"/>
      <c r="AB210" s="1197"/>
      <c r="AC210" s="405"/>
      <c r="AD210" s="405"/>
      <c r="AE210" s="471"/>
      <c r="AF210" s="471"/>
      <c r="AG210" s="471"/>
      <c r="AH210" s="471"/>
      <c r="AI210" s="471"/>
      <c r="AJ210" s="471"/>
      <c r="AK210" s="471"/>
    </row>
    <row r="211" spans="1:37">
      <c r="A211" s="1193"/>
      <c r="B211" s="692"/>
      <c r="C211" s="352"/>
      <c r="D211" s="352"/>
      <c r="I211" s="2014" t="s">
        <v>2065</v>
      </c>
      <c r="J211" s="2014"/>
      <c r="K211" s="2014"/>
      <c r="L211" s="405"/>
      <c r="M211" s="405"/>
      <c r="N211" s="405"/>
      <c r="O211" s="405"/>
      <c r="P211" s="405"/>
      <c r="Q211" s="405"/>
      <c r="R211" s="405"/>
      <c r="S211" s="405"/>
      <c r="T211" s="1825" t="s">
        <v>2066</v>
      </c>
      <c r="U211" s="1825"/>
      <c r="V211" s="1825"/>
      <c r="W211" s="1825"/>
      <c r="X211" s="1825"/>
      <c r="Y211" s="1825"/>
      <c r="Z211" s="693"/>
      <c r="AA211" s="362"/>
      <c r="AB211" s="2011" t="s">
        <v>2067</v>
      </c>
      <c r="AC211" s="2011"/>
      <c r="AD211" s="2011"/>
      <c r="AE211" s="2011"/>
      <c r="AF211" s="2011"/>
      <c r="AG211" s="2011"/>
      <c r="AH211" s="674"/>
      <c r="AI211" s="674"/>
      <c r="AJ211" s="674"/>
      <c r="AK211" s="471"/>
    </row>
    <row r="212" spans="1:37">
      <c r="A212" s="1193"/>
      <c r="B212" s="2012" t="s">
        <v>2068</v>
      </c>
      <c r="C212" s="2012"/>
      <c r="D212" s="2012"/>
      <c r="E212" s="2012"/>
      <c r="F212" s="2012"/>
      <c r="G212" s="2012"/>
      <c r="I212" s="2013" t="s">
        <v>2069</v>
      </c>
      <c r="J212" s="2013"/>
      <c r="K212" s="2013"/>
      <c r="L212" s="1192"/>
      <c r="N212" s="1860" t="s">
        <v>2070</v>
      </c>
      <c r="O212" s="1860"/>
      <c r="P212" s="1860"/>
      <c r="Q212" s="1860"/>
      <c r="R212" s="1860"/>
      <c r="T212" s="1860" t="s">
        <v>2071</v>
      </c>
      <c r="U212" s="1860"/>
      <c r="V212" s="1860"/>
      <c r="W212" s="1860"/>
      <c r="X212" s="1860"/>
      <c r="Y212" s="1860"/>
      <c r="Z212" s="694"/>
      <c r="AA212" s="362"/>
      <c r="AB212" s="1863" t="s">
        <v>2072</v>
      </c>
      <c r="AC212" s="1863"/>
      <c r="AD212" s="1863"/>
      <c r="AE212" s="1863"/>
      <c r="AF212" s="1863"/>
      <c r="AG212" s="1863"/>
      <c r="AH212" s="674"/>
      <c r="AI212" s="674"/>
      <c r="AJ212" s="674"/>
      <c r="AK212" s="471"/>
    </row>
    <row r="213" spans="1:37">
      <c r="A213" s="1193"/>
      <c r="B213" s="1862" t="s">
        <v>1077</v>
      </c>
      <c r="C213" s="1862"/>
      <c r="D213" s="1862"/>
      <c r="E213" s="1862"/>
      <c r="F213" s="1862"/>
      <c r="G213" s="1862"/>
      <c r="H213" s="696"/>
      <c r="I213" s="1830"/>
      <c r="J213" s="1830"/>
      <c r="K213" s="1830"/>
      <c r="L213" s="1192"/>
      <c r="N213" s="1827"/>
      <c r="O213" s="1827"/>
      <c r="P213" s="1827"/>
      <c r="Q213" s="1827"/>
      <c r="R213" s="1827"/>
      <c r="T213" s="1826"/>
      <c r="U213" s="1826"/>
      <c r="V213" s="1826"/>
      <c r="W213" s="1826"/>
      <c r="X213" s="1826"/>
      <c r="Y213" s="1826"/>
      <c r="Z213" s="695"/>
      <c r="AA213" s="695"/>
      <c r="AB213" s="1824">
        <f t="shared" ref="AB213:AB222" si="0">MAX(($T213-$N213)*$I213*12,0)</f>
        <v>0</v>
      </c>
      <c r="AC213" s="1824"/>
      <c r="AD213" s="1824"/>
      <c r="AE213" s="1824"/>
      <c r="AF213" s="1824"/>
      <c r="AG213" s="1824"/>
      <c r="AH213" s="674"/>
      <c r="AI213" s="674"/>
      <c r="AJ213" s="674"/>
      <c r="AK213" s="471"/>
    </row>
    <row r="214" spans="1:37">
      <c r="A214" s="1193"/>
      <c r="B214" s="1862" t="s">
        <v>1077</v>
      </c>
      <c r="C214" s="1862"/>
      <c r="D214" s="1862"/>
      <c r="E214" s="1862"/>
      <c r="F214" s="1862"/>
      <c r="G214" s="1862"/>
      <c r="I214" s="1830"/>
      <c r="J214" s="1830"/>
      <c r="K214" s="1830"/>
      <c r="L214" s="1192"/>
      <c r="N214" s="1827"/>
      <c r="O214" s="1827"/>
      <c r="P214" s="1827"/>
      <c r="Q214" s="1827"/>
      <c r="R214" s="1827"/>
      <c r="T214" s="1826"/>
      <c r="U214" s="1826"/>
      <c r="V214" s="1826"/>
      <c r="W214" s="1826"/>
      <c r="X214" s="1826"/>
      <c r="Y214" s="1826"/>
      <c r="Z214" s="695"/>
      <c r="AA214" s="695"/>
      <c r="AB214" s="1824">
        <f t="shared" si="0"/>
        <v>0</v>
      </c>
      <c r="AC214" s="1824"/>
      <c r="AD214" s="1824"/>
      <c r="AE214" s="1824"/>
      <c r="AF214" s="1824"/>
      <c r="AG214" s="1824"/>
      <c r="AH214" s="674"/>
      <c r="AI214" s="674"/>
      <c r="AJ214" s="674"/>
      <c r="AK214" s="471"/>
    </row>
    <row r="215" spans="1:37">
      <c r="A215" s="1193"/>
      <c r="B215" s="1862" t="s">
        <v>1077</v>
      </c>
      <c r="C215" s="1862"/>
      <c r="D215" s="1862"/>
      <c r="E215" s="1862"/>
      <c r="F215" s="1862"/>
      <c r="G215" s="1862"/>
      <c r="I215" s="1830"/>
      <c r="J215" s="1830"/>
      <c r="K215" s="1830"/>
      <c r="L215" s="1192"/>
      <c r="N215" s="1827"/>
      <c r="O215" s="1827"/>
      <c r="P215" s="1827"/>
      <c r="Q215" s="1827"/>
      <c r="R215" s="1827"/>
      <c r="T215" s="1826"/>
      <c r="U215" s="1826"/>
      <c r="V215" s="1826"/>
      <c r="W215" s="1826"/>
      <c r="X215" s="1826"/>
      <c r="Y215" s="1826"/>
      <c r="Z215" s="695"/>
      <c r="AA215" s="695"/>
      <c r="AB215" s="1824">
        <f t="shared" si="0"/>
        <v>0</v>
      </c>
      <c r="AC215" s="1824"/>
      <c r="AD215" s="1824"/>
      <c r="AE215" s="1824"/>
      <c r="AF215" s="1824"/>
      <c r="AG215" s="1824"/>
      <c r="AH215" s="674"/>
      <c r="AI215" s="674"/>
      <c r="AJ215" s="674"/>
      <c r="AK215" s="471"/>
    </row>
    <row r="216" spans="1:37">
      <c r="A216" s="1193"/>
      <c r="B216" s="1862" t="s">
        <v>1077</v>
      </c>
      <c r="C216" s="1862"/>
      <c r="D216" s="1862"/>
      <c r="E216" s="1862"/>
      <c r="F216" s="1862"/>
      <c r="G216" s="1862"/>
      <c r="I216" s="1830"/>
      <c r="J216" s="1830"/>
      <c r="K216" s="1830"/>
      <c r="L216" s="1192"/>
      <c r="N216" s="1827"/>
      <c r="O216" s="1827"/>
      <c r="P216" s="1827"/>
      <c r="Q216" s="1827"/>
      <c r="R216" s="1827"/>
      <c r="T216" s="1826"/>
      <c r="U216" s="1826"/>
      <c r="V216" s="1826"/>
      <c r="W216" s="1826"/>
      <c r="X216" s="1826"/>
      <c r="Y216" s="1826"/>
      <c r="Z216" s="695"/>
      <c r="AA216" s="695"/>
      <c r="AB216" s="1824">
        <f t="shared" si="0"/>
        <v>0</v>
      </c>
      <c r="AC216" s="1824"/>
      <c r="AD216" s="1824"/>
      <c r="AE216" s="1824"/>
      <c r="AF216" s="1824"/>
      <c r="AG216" s="1824"/>
      <c r="AH216" s="674"/>
      <c r="AI216" s="674"/>
      <c r="AJ216" s="674"/>
      <c r="AK216" s="471"/>
    </row>
    <row r="217" spans="1:37">
      <c r="A217" s="1193"/>
      <c r="B217" s="1862" t="s">
        <v>1077</v>
      </c>
      <c r="C217" s="1862"/>
      <c r="D217" s="1862"/>
      <c r="E217" s="1862"/>
      <c r="F217" s="1862"/>
      <c r="G217" s="1862"/>
      <c r="I217" s="1830"/>
      <c r="J217" s="1830"/>
      <c r="K217" s="1830"/>
      <c r="L217" s="825"/>
      <c r="N217" s="1827"/>
      <c r="O217" s="1827"/>
      <c r="P217" s="1827"/>
      <c r="Q217" s="1827"/>
      <c r="R217" s="1827"/>
      <c r="T217" s="1826"/>
      <c r="U217" s="1826"/>
      <c r="V217" s="1826"/>
      <c r="W217" s="1826"/>
      <c r="X217" s="1826"/>
      <c r="Y217" s="1826"/>
      <c r="Z217" s="695"/>
      <c r="AA217" s="695"/>
      <c r="AB217" s="1824">
        <f t="shared" si="0"/>
        <v>0</v>
      </c>
      <c r="AC217" s="1824"/>
      <c r="AD217" s="1824"/>
      <c r="AE217" s="1824"/>
      <c r="AF217" s="1824"/>
      <c r="AG217" s="1824"/>
      <c r="AH217" s="674"/>
      <c r="AI217" s="674"/>
      <c r="AJ217" s="674"/>
      <c r="AK217" s="471"/>
    </row>
    <row r="218" spans="1:37">
      <c r="A218" s="1193"/>
      <c r="B218" s="1862" t="s">
        <v>1077</v>
      </c>
      <c r="C218" s="1862"/>
      <c r="D218" s="1862"/>
      <c r="E218" s="1862"/>
      <c r="F218" s="1862"/>
      <c r="G218" s="1862"/>
      <c r="I218" s="1830"/>
      <c r="J218" s="1830"/>
      <c r="K218" s="1830"/>
      <c r="L218" s="825"/>
      <c r="N218" s="1827"/>
      <c r="O218" s="1827"/>
      <c r="P218" s="1827"/>
      <c r="Q218" s="1827"/>
      <c r="R218" s="1827"/>
      <c r="T218" s="1826"/>
      <c r="U218" s="1826"/>
      <c r="V218" s="1826"/>
      <c r="W218" s="1826"/>
      <c r="X218" s="1826"/>
      <c r="Y218" s="1826"/>
      <c r="Z218" s="695"/>
      <c r="AA218" s="695"/>
      <c r="AB218" s="1824">
        <f t="shared" si="0"/>
        <v>0</v>
      </c>
      <c r="AC218" s="1824"/>
      <c r="AD218" s="1824"/>
      <c r="AE218" s="1824"/>
      <c r="AF218" s="1824"/>
      <c r="AG218" s="1824"/>
      <c r="AH218" s="674"/>
      <c r="AI218" s="674"/>
      <c r="AJ218" s="674"/>
      <c r="AK218" s="471"/>
    </row>
    <row r="219" spans="1:37">
      <c r="A219" s="1193"/>
      <c r="B219" s="1862" t="s">
        <v>1077</v>
      </c>
      <c r="C219" s="1862"/>
      <c r="D219" s="1862"/>
      <c r="E219" s="1862"/>
      <c r="F219" s="1862"/>
      <c r="G219" s="1862"/>
      <c r="I219" s="1830"/>
      <c r="J219" s="1830"/>
      <c r="K219" s="1830"/>
      <c r="L219" s="825"/>
      <c r="N219" s="1827"/>
      <c r="O219" s="1827"/>
      <c r="P219" s="1827"/>
      <c r="Q219" s="1827"/>
      <c r="R219" s="1827"/>
      <c r="T219" s="1826"/>
      <c r="U219" s="1826"/>
      <c r="V219" s="1826"/>
      <c r="W219" s="1826"/>
      <c r="X219" s="1826"/>
      <c r="Y219" s="1826"/>
      <c r="Z219" s="695"/>
      <c r="AA219" s="695"/>
      <c r="AB219" s="1824">
        <f t="shared" si="0"/>
        <v>0</v>
      </c>
      <c r="AC219" s="1824"/>
      <c r="AD219" s="1824"/>
      <c r="AE219" s="1824"/>
      <c r="AF219" s="1824"/>
      <c r="AG219" s="1824"/>
      <c r="AH219" s="674"/>
      <c r="AI219" s="674"/>
      <c r="AJ219" s="674"/>
      <c r="AK219" s="471"/>
    </row>
    <row r="220" spans="1:37">
      <c r="A220" s="1193"/>
      <c r="B220" s="1862" t="s">
        <v>1077</v>
      </c>
      <c r="C220" s="1862"/>
      <c r="D220" s="1862"/>
      <c r="E220" s="1862"/>
      <c r="F220" s="1862"/>
      <c r="G220" s="1862"/>
      <c r="I220" s="1830"/>
      <c r="J220" s="1830"/>
      <c r="K220" s="1830"/>
      <c r="L220" s="825"/>
      <c r="N220" s="1827"/>
      <c r="O220" s="1827"/>
      <c r="P220" s="1827"/>
      <c r="Q220" s="1827"/>
      <c r="R220" s="1827"/>
      <c r="T220" s="1826"/>
      <c r="U220" s="1826"/>
      <c r="V220" s="1826"/>
      <c r="W220" s="1826"/>
      <c r="X220" s="1826"/>
      <c r="Y220" s="1826"/>
      <c r="Z220" s="695"/>
      <c r="AA220" s="695"/>
      <c r="AB220" s="1824">
        <f t="shared" si="0"/>
        <v>0</v>
      </c>
      <c r="AC220" s="1824"/>
      <c r="AD220" s="1824"/>
      <c r="AE220" s="1824"/>
      <c r="AF220" s="1824"/>
      <c r="AG220" s="1824"/>
      <c r="AH220" s="674"/>
      <c r="AI220" s="674"/>
      <c r="AJ220" s="674"/>
      <c r="AK220" s="471"/>
    </row>
    <row r="221" spans="1:37">
      <c r="A221" s="1193"/>
      <c r="B221" s="1862" t="s">
        <v>1077</v>
      </c>
      <c r="C221" s="1862"/>
      <c r="D221" s="1862"/>
      <c r="E221" s="1862"/>
      <c r="F221" s="1862"/>
      <c r="G221" s="1862"/>
      <c r="I221" s="1830"/>
      <c r="J221" s="1830"/>
      <c r="K221" s="1830"/>
      <c r="L221" s="825"/>
      <c r="N221" s="1827"/>
      <c r="O221" s="1827"/>
      <c r="P221" s="1827"/>
      <c r="Q221" s="1827"/>
      <c r="R221" s="1827"/>
      <c r="T221" s="1826"/>
      <c r="U221" s="1826"/>
      <c r="V221" s="1826"/>
      <c r="W221" s="1826"/>
      <c r="X221" s="1826"/>
      <c r="Y221" s="1826"/>
      <c r="Z221" s="695"/>
      <c r="AA221" s="695"/>
      <c r="AB221" s="1824">
        <f t="shared" si="0"/>
        <v>0</v>
      </c>
      <c r="AC221" s="1824"/>
      <c r="AD221" s="1824"/>
      <c r="AE221" s="1824"/>
      <c r="AF221" s="1824"/>
      <c r="AG221" s="1824"/>
      <c r="AH221" s="674"/>
      <c r="AI221" s="674"/>
      <c r="AJ221" s="674"/>
      <c r="AK221" s="471"/>
    </row>
    <row r="222" spans="1:37">
      <c r="A222" s="1193"/>
      <c r="B222" s="1862" t="s">
        <v>1077</v>
      </c>
      <c r="C222" s="1862"/>
      <c r="D222" s="1862"/>
      <c r="E222" s="1862"/>
      <c r="F222" s="1862"/>
      <c r="G222" s="1862"/>
      <c r="I222" s="2015"/>
      <c r="J222" s="2015"/>
      <c r="K222" s="2015"/>
      <c r="L222" s="825"/>
      <c r="N222" s="1827"/>
      <c r="O222" s="1827"/>
      <c r="P222" s="1827"/>
      <c r="Q222" s="1827"/>
      <c r="R222" s="1827"/>
      <c r="T222" s="1826"/>
      <c r="U222" s="1826"/>
      <c r="V222" s="1826"/>
      <c r="W222" s="1826"/>
      <c r="X222" s="1826"/>
      <c r="Y222" s="1826"/>
      <c r="Z222" s="695"/>
      <c r="AA222" s="695"/>
      <c r="AB222" s="1831">
        <f t="shared" si="0"/>
        <v>0</v>
      </c>
      <c r="AC222" s="1831"/>
      <c r="AD222" s="1831"/>
      <c r="AE222" s="1831"/>
      <c r="AF222" s="1831"/>
      <c r="AG222" s="1831"/>
      <c r="AH222" s="674"/>
      <c r="AI222" s="674"/>
      <c r="AJ222" s="674"/>
      <c r="AK222" s="471"/>
    </row>
    <row r="223" spans="1:37">
      <c r="A223" s="1193"/>
      <c r="B223" s="352"/>
      <c r="C223" s="696"/>
      <c r="D223" s="352"/>
      <c r="K223" s="405"/>
      <c r="L223" s="405"/>
      <c r="M223" s="405"/>
      <c r="N223" s="405"/>
      <c r="O223" s="405"/>
      <c r="P223" s="405"/>
      <c r="Q223" s="405"/>
      <c r="R223" s="405"/>
      <c r="S223" s="405"/>
      <c r="T223" s="405"/>
      <c r="U223" s="405"/>
      <c r="V223" s="405"/>
      <c r="W223" s="405"/>
      <c r="X223" s="405"/>
      <c r="Y223" s="1191" t="s">
        <v>2073</v>
      </c>
      <c r="AA223" s="1191"/>
      <c r="AB223" s="1824">
        <f>SUM(AB213:AB222)</f>
        <v>0</v>
      </c>
      <c r="AC223" s="1824"/>
      <c r="AD223" s="1824"/>
      <c r="AE223" s="1824"/>
      <c r="AF223" s="1824"/>
      <c r="AG223" s="1824"/>
      <c r="AH223" s="674"/>
      <c r="AI223" s="674"/>
      <c r="AJ223" s="674"/>
      <c r="AK223" s="471"/>
    </row>
    <row r="224" spans="1:37">
      <c r="A224" s="1193"/>
      <c r="B224" s="1193"/>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197"/>
      <c r="Z224" s="1197"/>
      <c r="AA224" s="1197"/>
      <c r="AB224" s="1197"/>
      <c r="AC224" s="418"/>
      <c r="AD224" s="418"/>
      <c r="AE224" s="471"/>
      <c r="AF224" s="471"/>
      <c r="AG224" s="471"/>
      <c r="AH224" s="471"/>
      <c r="AI224" s="471"/>
      <c r="AJ224" s="471"/>
      <c r="AK224" s="471"/>
    </row>
    <row r="225" spans="1:37">
      <c r="A225" s="947" t="s">
        <v>2074</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197"/>
      <c r="Z225" s="1197"/>
      <c r="AA225" s="1197"/>
      <c r="AB225" s="1197"/>
      <c r="AC225" s="405"/>
      <c r="AD225" s="405"/>
      <c r="AE225" s="471"/>
      <c r="AF225" s="471"/>
      <c r="AG225" s="471"/>
      <c r="AH225" s="471"/>
      <c r="AI225" s="471"/>
      <c r="AJ225" s="471"/>
      <c r="AK225" s="471"/>
    </row>
    <row r="226" spans="1:37">
      <c r="A226" s="1193"/>
      <c r="B226" s="352" t="s">
        <v>2075</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197"/>
      <c r="Z226" s="1197"/>
      <c r="AA226" s="1197"/>
      <c r="AB226" s="1197"/>
      <c r="AC226" s="405"/>
      <c r="AD226" s="405"/>
      <c r="AE226" s="471"/>
      <c r="AF226" s="471"/>
      <c r="AG226" s="471"/>
      <c r="AH226" s="471"/>
      <c r="AI226" s="471"/>
      <c r="AJ226" s="471"/>
      <c r="AK226" s="471"/>
    </row>
    <row r="227" spans="1:37">
      <c r="A227" s="1193"/>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197"/>
      <c r="Z227" s="1197"/>
      <c r="AA227" s="1197"/>
      <c r="AB227" s="1197"/>
      <c r="AC227" s="405"/>
      <c r="AD227" s="405"/>
      <c r="AE227" s="471"/>
      <c r="AF227" s="471"/>
      <c r="AG227" s="471"/>
      <c r="AH227" s="471"/>
      <c r="AI227" s="471"/>
      <c r="AJ227" s="471"/>
      <c r="AK227" s="471"/>
    </row>
    <row r="228" spans="1:37">
      <c r="A228" s="1193"/>
      <c r="B228" s="681" t="s">
        <v>2076</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197"/>
      <c r="Z228" s="1197"/>
      <c r="AA228" s="1197"/>
      <c r="AB228" s="1197"/>
      <c r="AC228" s="405"/>
      <c r="AD228" s="405"/>
      <c r="AE228" s="471"/>
      <c r="AF228" s="471"/>
      <c r="AG228" s="471"/>
      <c r="AH228" s="471"/>
      <c r="AI228" s="471"/>
      <c r="AJ228" s="471"/>
      <c r="AK228" s="471"/>
    </row>
    <row r="229" spans="1:37">
      <c r="A229" s="1193"/>
      <c r="B229" s="681" t="s">
        <v>2077</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197"/>
      <c r="Z229" s="1197"/>
      <c r="AA229" s="1197"/>
      <c r="AB229" s="1864"/>
      <c r="AC229" s="1864"/>
      <c r="AD229" s="1864"/>
      <c r="AE229" s="1864"/>
      <c r="AF229" s="1864"/>
      <c r="AG229" s="1864"/>
      <c r="AH229" s="471"/>
      <c r="AI229" s="471"/>
      <c r="AJ229" s="471"/>
      <c r="AK229" s="471"/>
    </row>
    <row r="230" spans="1:37">
      <c r="A230" s="1193"/>
      <c r="B230" s="682" t="s">
        <v>2078</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197"/>
      <c r="Z230" s="1197"/>
      <c r="AA230" s="1197"/>
      <c r="AB230" s="1197"/>
      <c r="AC230" s="405"/>
      <c r="AD230" s="405"/>
      <c r="AE230" s="471"/>
      <c r="AF230" s="471"/>
      <c r="AG230" s="471"/>
      <c r="AH230" s="471"/>
      <c r="AI230" s="471"/>
      <c r="AJ230" s="471"/>
      <c r="AK230" s="471"/>
    </row>
    <row r="231" spans="1:37">
      <c r="A231" s="1193"/>
      <c r="B231" s="683" t="s">
        <v>2079</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197"/>
      <c r="Z231" s="1197"/>
      <c r="AA231" s="1197"/>
      <c r="AB231" s="1197"/>
      <c r="AC231" s="405"/>
      <c r="AD231" s="405"/>
      <c r="AE231" s="471"/>
      <c r="AF231" s="471"/>
      <c r="AG231" s="471"/>
      <c r="AH231" s="471"/>
      <c r="AI231" s="471"/>
      <c r="AJ231" s="471"/>
      <c r="AK231" s="471"/>
    </row>
    <row r="232" spans="1:37">
      <c r="A232" s="1193"/>
      <c r="B232" s="683" t="s">
        <v>2080</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197"/>
      <c r="Z232" s="1197"/>
      <c r="AA232" s="1197"/>
      <c r="AB232" s="1864"/>
      <c r="AC232" s="1864"/>
      <c r="AD232" s="1864"/>
      <c r="AE232" s="1864"/>
      <c r="AF232" s="1864"/>
      <c r="AG232" s="1864"/>
      <c r="AH232" s="471"/>
      <c r="AI232" s="471"/>
      <c r="AJ232" s="471"/>
      <c r="AK232" s="471"/>
    </row>
    <row r="233" spans="1:37">
      <c r="A233" s="1193"/>
      <c r="B233" s="683" t="s">
        <v>2081</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197"/>
      <c r="Z233" s="1197"/>
      <c r="AA233" s="1197"/>
      <c r="AB233" s="1823"/>
      <c r="AC233" s="1823"/>
      <c r="AD233" s="1823"/>
      <c r="AE233" s="1823"/>
      <c r="AF233" s="1823"/>
      <c r="AG233" s="1823"/>
      <c r="AH233" s="471"/>
      <c r="AI233" s="471"/>
      <c r="AJ233" s="471"/>
      <c r="AK233" s="471"/>
    </row>
    <row r="234" spans="1:37">
      <c r="A234" s="1193"/>
      <c r="B234" s="683" t="s">
        <v>2082</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197"/>
      <c r="Z234" s="1197"/>
      <c r="AA234" s="1197"/>
      <c r="AB234" s="1832">
        <f>IFERROR(AB232/AB233,0)</f>
        <v>0</v>
      </c>
      <c r="AC234" s="1832"/>
      <c r="AD234" s="1832"/>
      <c r="AE234" s="1832"/>
      <c r="AF234" s="1832"/>
      <c r="AG234" s="1832"/>
      <c r="AH234" s="471"/>
      <c r="AI234" s="471"/>
      <c r="AJ234" s="471"/>
      <c r="AK234" s="471"/>
    </row>
    <row r="235" spans="1:37">
      <c r="A235" s="1193"/>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197"/>
      <c r="Z235" s="1197"/>
      <c r="AA235" s="1197"/>
      <c r="AB235" s="1197"/>
      <c r="AC235" s="405"/>
      <c r="AD235" s="405"/>
      <c r="AE235" s="471"/>
      <c r="AF235" s="471"/>
      <c r="AG235" s="471"/>
      <c r="AH235" s="471"/>
      <c r="AI235" s="471"/>
      <c r="AJ235" s="471"/>
      <c r="AK235" s="471"/>
    </row>
    <row r="236" spans="1:37">
      <c r="A236" s="1193"/>
      <c r="B236" s="352" t="s">
        <v>2083</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197"/>
      <c r="Z236" s="1197"/>
      <c r="AA236" s="1197"/>
      <c r="AB236" s="1831">
        <f>MAX(AB229,AB234)</f>
        <v>0</v>
      </c>
      <c r="AC236" s="1831"/>
      <c r="AD236" s="1831"/>
      <c r="AE236" s="1831"/>
      <c r="AF236" s="1831"/>
      <c r="AG236" s="1831"/>
      <c r="AH236" s="471"/>
      <c r="AI236" s="471"/>
      <c r="AJ236" s="471"/>
      <c r="AK236" s="471"/>
    </row>
    <row r="237" spans="1:37">
      <c r="A237" s="1193"/>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197"/>
      <c r="Z237" s="1197"/>
      <c r="AA237" s="1197"/>
      <c r="AB237" s="1197"/>
      <c r="AC237" s="405"/>
      <c r="AD237" s="405"/>
      <c r="AE237" s="471"/>
      <c r="AF237" s="471"/>
      <c r="AG237" s="471"/>
      <c r="AH237" s="471"/>
      <c r="AI237" s="471"/>
      <c r="AJ237" s="471"/>
      <c r="AK237" s="471"/>
    </row>
    <row r="238" spans="1:37">
      <c r="A238" s="1193"/>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197"/>
      <c r="Z238" s="1197"/>
      <c r="AA238" s="1197"/>
      <c r="AB238" s="1197"/>
      <c r="AC238" s="405"/>
      <c r="AD238" s="405"/>
      <c r="AE238" s="471"/>
      <c r="AF238" s="471"/>
      <c r="AG238" s="471"/>
      <c r="AH238" s="471"/>
      <c r="AI238" s="471"/>
      <c r="AJ238" s="471"/>
      <c r="AK238" s="471"/>
    </row>
    <row r="239" spans="1:37">
      <c r="A239" s="1193"/>
      <c r="B239" s="352" t="s">
        <v>2084</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197"/>
      <c r="AA239" s="1197"/>
      <c r="AB239" s="1824">
        <f>AB223+AB236</f>
        <v>0</v>
      </c>
      <c r="AC239" s="1824"/>
      <c r="AD239" s="1824"/>
      <c r="AE239" s="1824"/>
      <c r="AF239" s="1824"/>
      <c r="AG239" s="1824"/>
      <c r="AH239" s="471"/>
      <c r="AI239" s="471"/>
      <c r="AJ239" s="471"/>
      <c r="AK239" s="471"/>
    </row>
    <row r="240" spans="1:37">
      <c r="A240" s="1193"/>
      <c r="B240" s="352" t="s">
        <v>2085</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197"/>
      <c r="AA240" s="1197"/>
      <c r="AB240" s="1998">
        <v>0.05</v>
      </c>
      <c r="AC240" s="1998"/>
      <c r="AD240" s="1998"/>
      <c r="AE240" s="1998"/>
      <c r="AF240" s="1998"/>
      <c r="AG240" s="1998"/>
      <c r="AH240" s="471"/>
      <c r="AI240" s="471"/>
      <c r="AJ240" s="471"/>
      <c r="AK240" s="471"/>
    </row>
    <row r="241" spans="1:37">
      <c r="A241" s="1193"/>
      <c r="B241" s="352" t="s">
        <v>2086</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197"/>
      <c r="AA241" s="1197"/>
      <c r="AB241" s="1999">
        <f>AB239-(AB239*AB240)</f>
        <v>0</v>
      </c>
      <c r="AC241" s="1999"/>
      <c r="AD241" s="1999"/>
      <c r="AE241" s="1999"/>
      <c r="AF241" s="1999"/>
      <c r="AG241" s="1999"/>
      <c r="AH241" s="471"/>
      <c r="AI241" s="471"/>
      <c r="AJ241" s="471"/>
      <c r="AK241" s="471"/>
    </row>
    <row r="242" spans="1:37">
      <c r="A242" s="1193"/>
      <c r="B242" s="352" t="s">
        <v>2087</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196"/>
      <c r="Z242" s="1197"/>
      <c r="AA242" s="1197"/>
      <c r="AB242" s="405"/>
      <c r="AC242" s="405"/>
      <c r="AD242" s="405"/>
      <c r="AE242" s="471"/>
      <c r="AF242" s="471"/>
      <c r="AG242" s="471"/>
      <c r="AH242" s="471"/>
      <c r="AI242" s="471"/>
      <c r="AJ242" s="471"/>
      <c r="AK242" s="471"/>
    </row>
    <row r="243" spans="1:37">
      <c r="A243" s="1193"/>
      <c r="B243" s="352" t="s">
        <v>2088</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197"/>
      <c r="AA243" s="1197"/>
      <c r="AB243" s="1824">
        <f>AB241/AB247</f>
        <v>0</v>
      </c>
      <c r="AC243" s="1824"/>
      <c r="AD243" s="1824"/>
      <c r="AE243" s="1824"/>
      <c r="AF243" s="1824"/>
      <c r="AG243" s="1824"/>
      <c r="AH243" s="471"/>
      <c r="AI243" s="471"/>
      <c r="AJ243" s="471"/>
      <c r="AK243" s="471"/>
    </row>
    <row r="244" spans="1:37">
      <c r="A244" s="1193"/>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197"/>
      <c r="AA244" s="1197"/>
      <c r="AB244" s="405"/>
      <c r="AC244" s="405"/>
      <c r="AD244" s="405"/>
      <c r="AE244" s="471"/>
      <c r="AF244" s="471"/>
      <c r="AG244" s="471"/>
      <c r="AH244" s="471"/>
      <c r="AI244" s="471"/>
      <c r="AJ244" s="471"/>
      <c r="AK244" s="471"/>
    </row>
    <row r="245" spans="1:37">
      <c r="A245" s="1193"/>
      <c r="B245" s="352" t="s">
        <v>2089</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197"/>
      <c r="AA245" s="1197"/>
      <c r="AB245" s="2011">
        <v>15</v>
      </c>
      <c r="AC245" s="2011"/>
      <c r="AD245" s="2011"/>
      <c r="AE245" s="2011"/>
      <c r="AF245" s="2011"/>
      <c r="AG245" s="2011"/>
      <c r="AH245" s="471"/>
      <c r="AI245" s="471"/>
      <c r="AJ245" s="471"/>
      <c r="AK245" s="471"/>
    </row>
    <row r="246" spans="1:37">
      <c r="A246" s="1193"/>
      <c r="B246" s="352" t="s">
        <v>2090</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197"/>
      <c r="AA246" s="1197"/>
      <c r="AB246" s="2001">
        <v>0.04</v>
      </c>
      <c r="AC246" s="2001"/>
      <c r="AD246" s="2001"/>
      <c r="AE246" s="2001"/>
      <c r="AF246" s="2001"/>
      <c r="AG246" s="2001"/>
      <c r="AH246" s="471"/>
      <c r="AI246" s="471"/>
      <c r="AJ246" s="471"/>
      <c r="AK246" s="471"/>
    </row>
    <row r="247" spans="1:37">
      <c r="A247" s="1193"/>
      <c r="B247" s="352" t="s">
        <v>2091</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197"/>
      <c r="AA247" s="1197"/>
      <c r="AB247" s="2002">
        <v>1.1499999999999999</v>
      </c>
      <c r="AC247" s="2002"/>
      <c r="AD247" s="2002"/>
      <c r="AE247" s="2002"/>
      <c r="AF247" s="2002"/>
      <c r="AG247" s="2002"/>
      <c r="AH247" s="471"/>
      <c r="AI247" s="471"/>
      <c r="AJ247" s="471"/>
      <c r="AK247" s="471"/>
    </row>
    <row r="248" spans="1:37">
      <c r="A248" s="1193"/>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197"/>
      <c r="AA248" s="1197"/>
      <c r="AB248" s="405"/>
      <c r="AC248" s="405"/>
      <c r="AD248" s="405"/>
      <c r="AE248" s="471"/>
      <c r="AF248" s="471"/>
      <c r="AG248" s="471"/>
      <c r="AH248" s="471"/>
      <c r="AI248" s="471"/>
      <c r="AJ248" s="471"/>
      <c r="AK248" s="471"/>
    </row>
    <row r="249" spans="1:37">
      <c r="A249" s="1193"/>
      <c r="B249" s="688" t="s">
        <v>2092</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197"/>
      <c r="AA249" s="1197"/>
      <c r="AB249" s="1991">
        <f>PV(AB246/12,AB245*12,-AB243/12, ,0)</f>
        <v>0</v>
      </c>
      <c r="AC249" s="1992"/>
      <c r="AD249" s="1992"/>
      <c r="AE249" s="1992"/>
      <c r="AF249" s="1992"/>
      <c r="AG249" s="1993"/>
      <c r="AH249" s="471"/>
      <c r="AI249" s="471"/>
      <c r="AJ249" s="471"/>
      <c r="AK249" s="471"/>
    </row>
    <row r="250" spans="1:37">
      <c r="A250" s="1193"/>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197"/>
      <c r="AA250" s="1197"/>
      <c r="AB250" s="698"/>
      <c r="AC250" s="698"/>
      <c r="AD250" s="698"/>
      <c r="AE250" s="698"/>
      <c r="AF250" s="698"/>
      <c r="AG250" s="698"/>
      <c r="AH250" s="471"/>
      <c r="AI250" s="471"/>
      <c r="AJ250" s="471"/>
      <c r="AK250" s="471"/>
    </row>
    <row r="251" spans="1:37">
      <c r="A251" s="1193"/>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197"/>
      <c r="AA251" s="1197"/>
      <c r="AB251" s="698"/>
      <c r="AC251" s="698"/>
      <c r="AD251" s="698"/>
      <c r="AE251" s="698"/>
      <c r="AF251" s="698"/>
      <c r="AG251" s="698"/>
      <c r="AH251" s="471"/>
      <c r="AI251" s="471"/>
      <c r="AJ251" s="471"/>
      <c r="AK251" s="471"/>
    </row>
    <row r="252" spans="1:37">
      <c r="A252" s="1193"/>
      <c r="B252" s="691" t="s">
        <v>2093</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197"/>
      <c r="Z252" s="1197"/>
      <c r="AA252" s="1197"/>
      <c r="AB252" s="1197"/>
      <c r="AC252" s="405"/>
      <c r="AD252" s="405"/>
      <c r="AE252" s="471"/>
      <c r="AF252" s="471"/>
      <c r="AG252" s="471"/>
      <c r="AH252" s="471"/>
      <c r="AI252" s="471"/>
      <c r="AJ252" s="471"/>
      <c r="AK252" s="471"/>
    </row>
    <row r="253" spans="1:37">
      <c r="A253" s="1193"/>
      <c r="B253" s="1193" t="s">
        <v>2094</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197"/>
      <c r="Z253" s="1197"/>
      <c r="AA253" s="1197"/>
      <c r="AB253" s="1197"/>
      <c r="AC253" s="405"/>
      <c r="AD253" s="405"/>
      <c r="AE253" s="471"/>
      <c r="AF253" s="471"/>
      <c r="AG253" s="471"/>
      <c r="AH253" s="471"/>
      <c r="AI253" s="471"/>
      <c r="AJ253" s="471"/>
      <c r="AK253" s="471"/>
    </row>
    <row r="254" spans="1:37">
      <c r="A254" s="1193"/>
      <c r="B254" s="1193" t="s">
        <v>2095</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197"/>
      <c r="Z254" s="1197"/>
      <c r="AA254" s="1197"/>
      <c r="AB254" s="1197"/>
      <c r="AC254" s="405"/>
      <c r="AD254" s="405"/>
      <c r="AE254" s="471"/>
      <c r="AF254" s="471"/>
      <c r="AG254" s="471"/>
      <c r="AH254" s="471"/>
      <c r="AI254" s="471"/>
      <c r="AJ254" s="471"/>
      <c r="AK254" s="471"/>
    </row>
    <row r="255" spans="1:37">
      <c r="A255" s="1193"/>
      <c r="B255" s="1193" t="s">
        <v>2096</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197"/>
      <c r="Z255" s="1197"/>
      <c r="AA255" s="1197"/>
      <c r="AB255" s="1995">
        <f>IFERROR(('Sources and Uses Budget'!D105/'Sources and Uses Budget'!B105),0)</f>
        <v>0</v>
      </c>
      <c r="AC255" s="1996"/>
      <c r="AD255" s="1996"/>
      <c r="AE255" s="1996"/>
      <c r="AF255" s="1996"/>
      <c r="AG255" s="1997"/>
      <c r="AH255" s="699"/>
      <c r="AI255" s="699"/>
      <c r="AJ255" s="699"/>
      <c r="AK255" s="471"/>
    </row>
    <row r="256" spans="1:37">
      <c r="A256" s="1193"/>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197"/>
      <c r="Z256" s="1197"/>
      <c r="AA256" s="1197"/>
      <c r="AB256" s="1197"/>
      <c r="AC256" s="405"/>
      <c r="AD256" s="405"/>
      <c r="AE256" s="471"/>
      <c r="AF256" s="471"/>
      <c r="AG256" s="471"/>
      <c r="AH256" s="471"/>
      <c r="AI256" s="471"/>
      <c r="AJ256" s="471"/>
      <c r="AK256" s="471"/>
    </row>
    <row r="257" spans="1:52">
      <c r="A257" s="482"/>
      <c r="B257" s="1106" t="s">
        <v>2097</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838">
        <f>AD200*(1-AB255)</f>
        <v>8403263</v>
      </c>
      <c r="AH257" s="1838"/>
      <c r="AI257" s="1838"/>
      <c r="AJ257" s="1838"/>
      <c r="AK257" s="1838"/>
    </row>
    <row r="258" spans="1:52">
      <c r="A258" s="482"/>
      <c r="B258" s="485" t="s">
        <v>2098</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838">
        <f>'Sources and Uses Budget'!C105</f>
        <v>55233895</v>
      </c>
      <c r="AH258" s="1838"/>
      <c r="AI258" s="1838"/>
      <c r="AJ258" s="1838"/>
      <c r="AK258" s="1838"/>
    </row>
    <row r="259" spans="1:52">
      <c r="A259" s="482"/>
      <c r="B259" s="484" t="s">
        <v>1710</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987">
        <f>ROUNDDOWN(IF(AND(C281="Yes",AK78=10),((AG257*2)/AG258),AG257/AG258),2)</f>
        <v>0.3</v>
      </c>
      <c r="AH259" s="1987"/>
      <c r="AI259" s="1987"/>
      <c r="AJ259" s="1987"/>
      <c r="AK259" s="1987"/>
    </row>
    <row r="260" spans="1:52">
      <c r="A260" s="482"/>
      <c r="B260" s="800" t="s">
        <v>2099</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9"/>
      <c r="AH260" s="799"/>
      <c r="AI260" s="799"/>
      <c r="AJ260" s="799"/>
      <c r="AK260" s="799"/>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2100</v>
      </c>
      <c r="AK262" s="1976">
        <f>IFERROR(IF(AG259=0,0,IF((AG259*100)&gt;8,8,(AG259*100))),0)</f>
        <v>8</v>
      </c>
      <c r="AL262" s="1976"/>
      <c r="AM262" s="1977"/>
    </row>
    <row r="263" spans="1:52" ht="14"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c r="A265" s="407" t="s">
        <v>2101</v>
      </c>
      <c r="B265" s="407" t="s">
        <v>2102</v>
      </c>
      <c r="C265" s="40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201" t="s">
        <v>1968</v>
      </c>
      <c r="AI265" s="418"/>
      <c r="AJ265" s="418"/>
      <c r="AK265" s="418"/>
      <c r="AL265" s="418"/>
      <c r="AM265" s="418"/>
      <c r="AO265" s="418"/>
    </row>
    <row r="266" spans="1:52" ht="14.25" customHeight="1">
      <c r="A266" s="1201"/>
      <c r="AI266" s="419"/>
      <c r="AJ266" s="418"/>
      <c r="AK266" s="418"/>
      <c r="AL266" s="418"/>
      <c r="AM266" s="418"/>
      <c r="AO266" s="418"/>
    </row>
    <row r="267" spans="1:52" ht="13.75" customHeight="1">
      <c r="A267" s="418"/>
      <c r="B267" s="458"/>
      <c r="C267" s="1856" t="s">
        <v>837</v>
      </c>
      <c r="D267" s="1856"/>
      <c r="E267" s="415"/>
      <c r="F267" s="1807" t="s">
        <v>2103</v>
      </c>
      <c r="G267" s="1808"/>
      <c r="H267" s="1808"/>
      <c r="I267" s="1808"/>
      <c r="J267" s="1808"/>
      <c r="K267" s="1808"/>
      <c r="L267" s="1808"/>
      <c r="M267" s="1808"/>
      <c r="N267" s="1808"/>
      <c r="O267" s="1808"/>
      <c r="P267" s="1808"/>
      <c r="Q267" s="1808"/>
      <c r="R267" s="1808"/>
      <c r="S267" s="1808"/>
      <c r="T267" s="1808"/>
      <c r="U267" s="1808"/>
      <c r="V267" s="1808"/>
      <c r="W267" s="1808"/>
      <c r="X267" s="1808"/>
      <c r="Y267" s="1808"/>
      <c r="Z267" s="1808"/>
      <c r="AA267" s="1808"/>
      <c r="AB267" s="1808"/>
      <c r="AC267" s="1808"/>
      <c r="AD267" s="1809"/>
      <c r="AE267" s="418"/>
      <c r="AF267" s="495"/>
      <c r="AG267" s="1985" t="s">
        <v>2041</v>
      </c>
      <c r="AH267" s="1985"/>
      <c r="AI267" s="1985"/>
      <c r="AJ267" s="1985"/>
      <c r="AK267" s="418"/>
      <c r="AL267" s="418"/>
      <c r="AM267" s="418"/>
      <c r="AO267" s="418"/>
    </row>
    <row r="268" spans="1:52" ht="13.75" customHeight="1">
      <c r="A268" s="418"/>
      <c r="B268" s="458"/>
      <c r="C268" s="496"/>
      <c r="D268" s="418"/>
      <c r="E268" s="415"/>
      <c r="F268" s="1810"/>
      <c r="G268" s="1811"/>
      <c r="H268" s="1811"/>
      <c r="I268" s="1811"/>
      <c r="J268" s="1811"/>
      <c r="K268" s="1811"/>
      <c r="L268" s="1811"/>
      <c r="M268" s="1811"/>
      <c r="N268" s="1811"/>
      <c r="O268" s="1811"/>
      <c r="P268" s="1811"/>
      <c r="Q268" s="1811"/>
      <c r="R268" s="1811"/>
      <c r="S268" s="1811"/>
      <c r="T268" s="1811"/>
      <c r="U268" s="1811"/>
      <c r="V268" s="1811"/>
      <c r="W268" s="1811"/>
      <c r="X268" s="1811"/>
      <c r="Y268" s="1811"/>
      <c r="Z268" s="1811"/>
      <c r="AA268" s="1811"/>
      <c r="AB268" s="1811"/>
      <c r="AC268" s="1811"/>
      <c r="AD268" s="1812"/>
      <c r="AE268" s="418"/>
      <c r="AF268" s="495"/>
      <c r="AG268" s="495"/>
      <c r="AH268" s="495"/>
      <c r="AI268" s="495"/>
      <c r="AJ268" s="418"/>
      <c r="AK268" s="418"/>
      <c r="AL268" s="418"/>
      <c r="AM268" s="418"/>
      <c r="AO268" s="418"/>
    </row>
    <row r="269" spans="1:52">
      <c r="A269" s="418"/>
      <c r="B269" s="458"/>
      <c r="C269" s="496"/>
      <c r="D269" s="418"/>
      <c r="E269" s="415"/>
      <c r="F269" s="1810"/>
      <c r="G269" s="1811"/>
      <c r="H269" s="1811"/>
      <c r="I269" s="1811"/>
      <c r="J269" s="1811"/>
      <c r="K269" s="1811"/>
      <c r="L269" s="1811"/>
      <c r="M269" s="1811"/>
      <c r="N269" s="1811"/>
      <c r="O269" s="1811"/>
      <c r="P269" s="1811"/>
      <c r="Q269" s="1811"/>
      <c r="R269" s="1811"/>
      <c r="S269" s="1811"/>
      <c r="T269" s="1811"/>
      <c r="U269" s="1811"/>
      <c r="V269" s="1811"/>
      <c r="W269" s="1811"/>
      <c r="X269" s="1811"/>
      <c r="Y269" s="1811"/>
      <c r="Z269" s="1811"/>
      <c r="AA269" s="1811"/>
      <c r="AB269" s="1811"/>
      <c r="AC269" s="1811"/>
      <c r="AD269" s="1812"/>
      <c r="AE269" s="418"/>
      <c r="AF269" s="495"/>
      <c r="AG269" s="495"/>
      <c r="AH269" s="495"/>
      <c r="AI269" s="495"/>
      <c r="AJ269" s="418"/>
      <c r="AK269" s="418"/>
      <c r="AL269" s="418"/>
      <c r="AM269" s="418"/>
      <c r="AO269" s="418"/>
      <c r="AP269" s="497"/>
    </row>
    <row r="270" spans="1:52">
      <c r="A270" s="418"/>
      <c r="B270" s="458"/>
      <c r="C270" s="496"/>
      <c r="D270" s="418"/>
      <c r="E270" s="415"/>
      <c r="F270" s="1810"/>
      <c r="G270" s="1811"/>
      <c r="H270" s="1811"/>
      <c r="I270" s="1811"/>
      <c r="J270" s="1811"/>
      <c r="K270" s="1811"/>
      <c r="L270" s="1811"/>
      <c r="M270" s="1811"/>
      <c r="N270" s="1811"/>
      <c r="O270" s="1811"/>
      <c r="P270" s="1811"/>
      <c r="Q270" s="1811"/>
      <c r="R270" s="1811"/>
      <c r="S270" s="1811"/>
      <c r="T270" s="1811"/>
      <c r="U270" s="1811"/>
      <c r="V270" s="1811"/>
      <c r="W270" s="1811"/>
      <c r="X270" s="1811"/>
      <c r="Y270" s="1811"/>
      <c r="Z270" s="1811"/>
      <c r="AA270" s="1811"/>
      <c r="AB270" s="1811"/>
      <c r="AC270" s="1811"/>
      <c r="AD270" s="1812"/>
      <c r="AE270" s="418"/>
      <c r="AF270" s="495"/>
      <c r="AG270" s="495"/>
      <c r="AH270" s="495"/>
      <c r="AI270" s="495"/>
      <c r="AJ270" s="418"/>
      <c r="AK270" s="418"/>
      <c r="AL270" s="418"/>
      <c r="AM270" s="418"/>
      <c r="AO270" s="418"/>
      <c r="AP270" s="497"/>
    </row>
    <row r="271" spans="1:52" ht="13.75" customHeight="1">
      <c r="A271" s="418"/>
      <c r="B271" s="458"/>
      <c r="C271" s="1986"/>
      <c r="D271" s="1986"/>
      <c r="E271" s="415"/>
      <c r="F271" s="1813"/>
      <c r="G271" s="1814"/>
      <c r="H271" s="1814"/>
      <c r="I271" s="1814"/>
      <c r="J271" s="1814"/>
      <c r="K271" s="1814"/>
      <c r="L271" s="1814"/>
      <c r="M271" s="1814"/>
      <c r="N271" s="1814"/>
      <c r="O271" s="1814"/>
      <c r="P271" s="1814"/>
      <c r="Q271" s="1814"/>
      <c r="R271" s="1814"/>
      <c r="S271" s="1814"/>
      <c r="T271" s="1814"/>
      <c r="U271" s="1814"/>
      <c r="V271" s="1814"/>
      <c r="W271" s="1814"/>
      <c r="X271" s="1814"/>
      <c r="Y271" s="1814"/>
      <c r="Z271" s="1814"/>
      <c r="AA271" s="1814"/>
      <c r="AB271" s="1814"/>
      <c r="AC271" s="1814"/>
      <c r="AD271" s="1815"/>
      <c r="AE271" s="418"/>
      <c r="AF271" s="495"/>
      <c r="AG271" s="1985"/>
      <c r="AH271" s="1985"/>
      <c r="AI271" s="1985"/>
      <c r="AJ271" s="1985"/>
      <c r="AK271" s="418"/>
      <c r="AL271" s="418"/>
      <c r="AM271" s="418"/>
    </row>
    <row r="272" spans="1:52" ht="13.75" hidden="1" customHeight="1">
      <c r="A272" s="418"/>
      <c r="C272" s="465"/>
      <c r="D272" s="465"/>
      <c r="E272" s="465"/>
      <c r="F272" s="832"/>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c r="AD272" s="834"/>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2104</v>
      </c>
      <c r="AK274" s="1976">
        <f>IF($C$267="yes",10,0)</f>
        <v>10</v>
      </c>
      <c r="AL274" s="1976"/>
      <c r="AM274" s="1977"/>
      <c r="AN274" s="44"/>
    </row>
    <row r="275" spans="1:49" ht="14" thickBot="1"/>
    <row r="276" spans="1:49" ht="14"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c r="A277" s="407" t="s">
        <v>2105</v>
      </c>
      <c r="B277" s="407" t="s">
        <v>2106</v>
      </c>
      <c r="AH277" s="1201" t="s">
        <v>1968</v>
      </c>
    </row>
    <row r="278" spans="1:49" ht="15" customHeight="1">
      <c r="B278" s="408"/>
    </row>
    <row r="279" spans="1:49" ht="15" customHeight="1">
      <c r="B279" s="408" t="s">
        <v>1969</v>
      </c>
    </row>
    <row r="280" spans="1:49">
      <c r="B280" s="418"/>
      <c r="C280" s="1194"/>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567" t="s">
        <v>2107</v>
      </c>
      <c r="B281" s="1567"/>
      <c r="C281" s="1950" t="s">
        <v>837</v>
      </c>
      <c r="D281" s="1856"/>
      <c r="E281" s="415"/>
      <c r="F281" s="1978" t="s">
        <v>2108</v>
      </c>
      <c r="G281" s="1979"/>
      <c r="H281" s="1979"/>
      <c r="I281" s="1979"/>
      <c r="J281" s="1979"/>
      <c r="K281" s="1979"/>
      <c r="L281" s="1979"/>
      <c r="M281" s="1979"/>
      <c r="N281" s="1979"/>
      <c r="O281" s="1979"/>
      <c r="P281" s="1979"/>
      <c r="Q281" s="1979"/>
      <c r="R281" s="1979"/>
      <c r="S281" s="1979"/>
      <c r="T281" s="1979"/>
      <c r="U281" s="1979"/>
      <c r="V281" s="1979"/>
      <c r="W281" s="1979"/>
      <c r="X281" s="1979"/>
      <c r="Y281" s="1979"/>
      <c r="Z281" s="1979"/>
      <c r="AA281" s="1979"/>
      <c r="AB281" s="1979"/>
      <c r="AC281" s="1979"/>
      <c r="AD281" s="1980"/>
      <c r="AE281" s="501"/>
      <c r="AF281" s="418"/>
      <c r="AG281" s="1981" t="s">
        <v>2109</v>
      </c>
      <c r="AH281" s="1981"/>
      <c r="AI281" s="1981"/>
      <c r="AJ281" s="1981"/>
      <c r="AK281" s="1981"/>
      <c r="AL281" s="418"/>
      <c r="AM281" s="418"/>
      <c r="AN281" s="44"/>
      <c r="AO281" s="12"/>
      <c r="AP281" s="24"/>
      <c r="AS281" s="436"/>
      <c r="AT281" s="436"/>
      <c r="AU281" s="436"/>
      <c r="AV281" s="26"/>
      <c r="AW281" s="26"/>
    </row>
    <row r="282" spans="1:49">
      <c r="A282" s="1194"/>
      <c r="B282" s="458"/>
      <c r="F282" s="1833"/>
      <c r="G282" s="1834"/>
      <c r="H282" s="1834"/>
      <c r="I282" s="1834"/>
      <c r="J282" s="1834"/>
      <c r="K282" s="1834"/>
      <c r="L282" s="1834"/>
      <c r="M282" s="1834"/>
      <c r="N282" s="1834"/>
      <c r="O282" s="1834"/>
      <c r="P282" s="1834"/>
      <c r="Q282" s="1834"/>
      <c r="R282" s="1834"/>
      <c r="S282" s="1834"/>
      <c r="T282" s="1834"/>
      <c r="U282" s="1834"/>
      <c r="V282" s="1834"/>
      <c r="W282" s="1834"/>
      <c r="X282" s="1834"/>
      <c r="Y282" s="1834"/>
      <c r="Z282" s="1834"/>
      <c r="AA282" s="1834"/>
      <c r="AB282" s="1834"/>
      <c r="AC282" s="1834"/>
      <c r="AD282" s="1835"/>
      <c r="AE282" s="501"/>
      <c r="AF282" s="419"/>
      <c r="AH282" s="419"/>
      <c r="AI282" s="419"/>
      <c r="AJ282" s="418"/>
      <c r="AK282" s="418"/>
      <c r="AL282" s="418"/>
      <c r="AM282" s="418"/>
      <c r="AN282" s="44"/>
      <c r="AO282" s="12"/>
      <c r="AP282" s="418">
        <f>IF($C$281="yes",10,IF(C281="50% Met",9,0))</f>
        <v>10</v>
      </c>
      <c r="AS282" s="436"/>
      <c r="AT282" s="436"/>
      <c r="AU282" s="436"/>
      <c r="AV282" s="26"/>
      <c r="AW282" s="26"/>
    </row>
    <row r="283" spans="1:49" ht="15" customHeight="1">
      <c r="A283" s="1194"/>
      <c r="B283" s="458"/>
      <c r="F283" s="1833"/>
      <c r="G283" s="1834"/>
      <c r="H283" s="1834"/>
      <c r="I283" s="1834"/>
      <c r="J283" s="1834"/>
      <c r="K283" s="1834"/>
      <c r="L283" s="1834"/>
      <c r="M283" s="1834"/>
      <c r="N283" s="1834"/>
      <c r="O283" s="1834"/>
      <c r="P283" s="1834"/>
      <c r="Q283" s="1834"/>
      <c r="R283" s="1834"/>
      <c r="S283" s="1834"/>
      <c r="T283" s="1834"/>
      <c r="U283" s="1834"/>
      <c r="V283" s="1834"/>
      <c r="W283" s="1834"/>
      <c r="X283" s="1834"/>
      <c r="Y283" s="1834"/>
      <c r="Z283" s="1834"/>
      <c r="AA283" s="1834"/>
      <c r="AB283" s="1834"/>
      <c r="AC283" s="1834"/>
      <c r="AD283" s="1835"/>
      <c r="AE283" s="501"/>
      <c r="AF283" s="419"/>
      <c r="AH283" s="419"/>
      <c r="AI283" s="419"/>
      <c r="AJ283" s="418"/>
      <c r="AK283" s="418"/>
      <c r="AL283" s="418"/>
      <c r="AM283" s="418"/>
      <c r="AN283" s="44"/>
      <c r="AO283" s="12"/>
      <c r="AP283" s="418">
        <f>IF($C$291="yes",9,0)</f>
        <v>0</v>
      </c>
      <c r="AS283" s="436"/>
      <c r="AT283" s="436"/>
      <c r="AU283" s="436"/>
      <c r="AV283" s="26"/>
      <c r="AW283" s="26"/>
    </row>
    <row r="284" spans="1:49" ht="12.75" customHeight="1">
      <c r="A284" s="1194"/>
      <c r="B284" s="458"/>
      <c r="F284" s="1833" t="s">
        <v>2110</v>
      </c>
      <c r="G284" s="1834"/>
      <c r="H284" s="1834"/>
      <c r="I284" s="1834"/>
      <c r="J284" s="1834"/>
      <c r="K284" s="1834"/>
      <c r="L284" s="1834"/>
      <c r="M284" s="1834"/>
      <c r="N284" s="1834"/>
      <c r="O284" s="1834"/>
      <c r="P284" s="1834"/>
      <c r="Q284" s="1834"/>
      <c r="R284" s="1834"/>
      <c r="S284" s="1834"/>
      <c r="T284" s="1834"/>
      <c r="U284" s="1834"/>
      <c r="V284" s="1834"/>
      <c r="W284" s="1834"/>
      <c r="X284" s="1834"/>
      <c r="Y284" s="1834"/>
      <c r="Z284" s="1834"/>
      <c r="AA284" s="1834"/>
      <c r="AB284" s="1834"/>
      <c r="AC284" s="1834"/>
      <c r="AD284" s="1835"/>
      <c r="AE284" s="501"/>
      <c r="AF284" s="419"/>
      <c r="AH284" s="419"/>
      <c r="AI284" s="419"/>
      <c r="AJ284" s="418"/>
      <c r="AK284" s="418"/>
      <c r="AL284" s="418"/>
      <c r="AM284" s="418"/>
      <c r="AN284" s="44"/>
      <c r="AO284" s="12"/>
      <c r="AP284" s="472">
        <f>MAX(AP282,AP283)</f>
        <v>10</v>
      </c>
      <c r="AQ284" s="439" t="s">
        <v>1972</v>
      </c>
      <c r="AS284" s="436"/>
      <c r="AT284" s="436"/>
      <c r="AU284" s="436"/>
      <c r="AV284" s="26"/>
      <c r="AW284" s="26"/>
    </row>
    <row r="285" spans="1:49">
      <c r="A285" s="1194"/>
      <c r="B285" s="458"/>
      <c r="F285" s="1833"/>
      <c r="G285" s="1834"/>
      <c r="H285" s="1834"/>
      <c r="I285" s="1834"/>
      <c r="J285" s="1834"/>
      <c r="K285" s="1834"/>
      <c r="L285" s="1834"/>
      <c r="M285" s="1834"/>
      <c r="N285" s="1834"/>
      <c r="O285" s="1834"/>
      <c r="P285" s="1834"/>
      <c r="Q285" s="1834"/>
      <c r="R285" s="1834"/>
      <c r="S285" s="1834"/>
      <c r="T285" s="1834"/>
      <c r="U285" s="1834"/>
      <c r="V285" s="1834"/>
      <c r="W285" s="1834"/>
      <c r="X285" s="1834"/>
      <c r="Y285" s="1834"/>
      <c r="Z285" s="1834"/>
      <c r="AA285" s="1834"/>
      <c r="AB285" s="1834"/>
      <c r="AC285" s="1834"/>
      <c r="AD285" s="1835"/>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833" t="s">
        <v>2111</v>
      </c>
      <c r="G286" s="1834"/>
      <c r="H286" s="1834"/>
      <c r="I286" s="1834"/>
      <c r="J286" s="1834"/>
      <c r="K286" s="1834"/>
      <c r="L286" s="1834"/>
      <c r="M286" s="1834"/>
      <c r="N286" s="1834"/>
      <c r="O286" s="1834"/>
      <c r="P286" s="1834"/>
      <c r="Q286" s="1834"/>
      <c r="R286" s="1834"/>
      <c r="S286" s="1834"/>
      <c r="T286" s="1834"/>
      <c r="U286" s="1834"/>
      <c r="V286" s="1834"/>
      <c r="W286" s="1834"/>
      <c r="X286" s="1834"/>
      <c r="Y286" s="1834"/>
      <c r="Z286" s="1834"/>
      <c r="AA286" s="1834"/>
      <c r="AB286" s="1834"/>
      <c r="AC286" s="1834"/>
      <c r="AD286" s="1835"/>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833"/>
      <c r="G287" s="1834"/>
      <c r="H287" s="1834"/>
      <c r="I287" s="1834"/>
      <c r="J287" s="1834"/>
      <c r="K287" s="1834"/>
      <c r="L287" s="1834"/>
      <c r="M287" s="1834"/>
      <c r="N287" s="1834"/>
      <c r="O287" s="1834"/>
      <c r="P287" s="1834"/>
      <c r="Q287" s="1834"/>
      <c r="R287" s="1834"/>
      <c r="S287" s="1834"/>
      <c r="T287" s="1834"/>
      <c r="U287" s="1834"/>
      <c r="V287" s="1834"/>
      <c r="W287" s="1834"/>
      <c r="X287" s="1834"/>
      <c r="Y287" s="1834"/>
      <c r="Z287" s="1834"/>
      <c r="AA287" s="1834"/>
      <c r="AB287" s="1834"/>
      <c r="AC287" s="1834"/>
      <c r="AD287" s="1835"/>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833" t="s">
        <v>2112</v>
      </c>
      <c r="G288" s="1834"/>
      <c r="H288" s="1834"/>
      <c r="I288" s="1834"/>
      <c r="J288" s="1834"/>
      <c r="K288" s="1834"/>
      <c r="L288" s="1834"/>
      <c r="M288" s="1834"/>
      <c r="N288" s="1834"/>
      <c r="O288" s="1834"/>
      <c r="P288" s="1834"/>
      <c r="Q288" s="1834"/>
      <c r="R288" s="1834"/>
      <c r="S288" s="1834"/>
      <c r="T288" s="1834"/>
      <c r="U288" s="1834"/>
      <c r="V288" s="1834"/>
      <c r="W288" s="1834"/>
      <c r="X288" s="1834"/>
      <c r="Y288" s="1834"/>
      <c r="Z288" s="1834"/>
      <c r="AA288" s="1834"/>
      <c r="AB288" s="1834"/>
      <c r="AC288" s="1834"/>
      <c r="AD288" s="1835"/>
      <c r="AE288" s="1197"/>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836"/>
      <c r="G289" s="1837"/>
      <c r="H289" s="1837"/>
      <c r="I289" s="1837"/>
      <c r="J289" s="1837"/>
      <c r="K289" s="1837"/>
      <c r="L289" s="1837"/>
      <c r="M289" s="1837"/>
      <c r="N289" s="1837"/>
      <c r="O289" s="1837"/>
      <c r="P289" s="1837"/>
      <c r="Q289" s="1837"/>
      <c r="R289" s="1837"/>
      <c r="S289" s="1837"/>
      <c r="T289" s="1837"/>
      <c r="U289" s="1837"/>
      <c r="V289" s="1837"/>
      <c r="W289" s="1837"/>
      <c r="X289" s="1837"/>
      <c r="Y289" s="1837"/>
      <c r="Z289" s="1837"/>
      <c r="AA289" s="1837"/>
      <c r="AB289" s="1837"/>
      <c r="AC289" s="1837"/>
      <c r="AD289" s="1975"/>
      <c r="AE289" s="1197"/>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197"/>
      <c r="G290" s="1197"/>
      <c r="H290" s="1197"/>
      <c r="I290" s="1197"/>
      <c r="J290" s="1197"/>
      <c r="K290" s="1197"/>
      <c r="L290" s="1197"/>
      <c r="M290" s="1197"/>
      <c r="N290" s="1197"/>
      <c r="O290" s="1197"/>
      <c r="P290" s="1197"/>
      <c r="Q290" s="1197"/>
      <c r="R290" s="1197"/>
      <c r="S290" s="1197"/>
      <c r="T290" s="1197"/>
      <c r="U290" s="1197"/>
      <c r="V290" s="1197"/>
      <c r="W290" s="1197"/>
      <c r="X290" s="1197"/>
      <c r="Y290" s="1197"/>
      <c r="Z290" s="1197"/>
      <c r="AA290" s="1197"/>
      <c r="AB290" s="1197"/>
      <c r="AC290" s="1197"/>
      <c r="AD290" s="1197"/>
      <c r="AE290" s="419"/>
      <c r="AF290" s="419"/>
      <c r="AG290" s="419"/>
      <c r="AH290" s="419"/>
      <c r="AI290" s="419"/>
      <c r="AJ290" s="418"/>
      <c r="AK290" s="418"/>
      <c r="AL290" s="418"/>
      <c r="AM290" s="418"/>
      <c r="AN290" s="44"/>
      <c r="AO290" s="12"/>
      <c r="AS290" s="436"/>
      <c r="AT290" s="436"/>
      <c r="AU290" s="436"/>
      <c r="AV290" s="26"/>
      <c r="AW290" s="26"/>
    </row>
    <row r="291" spans="1:49" ht="15" customHeight="1">
      <c r="A291" s="1567" t="s">
        <v>2113</v>
      </c>
      <c r="B291" s="1567"/>
      <c r="C291" s="1856" t="s">
        <v>299</v>
      </c>
      <c r="D291" s="1856"/>
      <c r="E291" s="415"/>
      <c r="F291" s="502" t="s">
        <v>2114</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408" t="s">
        <v>2115</v>
      </c>
      <c r="AH291" s="419"/>
      <c r="AI291" s="419"/>
      <c r="AJ291" s="418"/>
      <c r="AK291" s="418"/>
      <c r="AL291" s="418"/>
      <c r="AM291" s="418"/>
      <c r="AN291" s="505"/>
      <c r="AO291" s="12"/>
    </row>
    <row r="292" spans="1:49">
      <c r="A292" s="418"/>
      <c r="B292" s="419"/>
      <c r="C292" s="418"/>
      <c r="D292" s="419"/>
      <c r="E292" s="418"/>
      <c r="F292" s="1960" t="s">
        <v>2116</v>
      </c>
      <c r="G292" s="1961"/>
      <c r="H292" s="1961"/>
      <c r="I292" s="1961"/>
      <c r="J292" s="1961"/>
      <c r="K292" s="1961"/>
      <c r="L292" s="1961"/>
      <c r="M292" s="1961"/>
      <c r="N292" s="1961"/>
      <c r="O292" s="1961"/>
      <c r="P292" s="1961"/>
      <c r="Q292" s="1961"/>
      <c r="R292" s="1961"/>
      <c r="S292" s="1961"/>
      <c r="T292" s="1961"/>
      <c r="U292" s="1961"/>
      <c r="V292" s="1961"/>
      <c r="W292" s="1961"/>
      <c r="X292" s="1961"/>
      <c r="Y292" s="1961"/>
      <c r="Z292" s="1961"/>
      <c r="AA292" s="1961"/>
      <c r="AB292" s="1961"/>
      <c r="AC292" s="1961"/>
      <c r="AD292" s="1962"/>
      <c r="AE292" s="419"/>
      <c r="AF292" s="419"/>
      <c r="AG292" s="419"/>
      <c r="AH292" s="419"/>
      <c r="AI292" s="419"/>
      <c r="AJ292" s="418"/>
      <c r="AK292" s="418"/>
      <c r="AL292" s="418"/>
      <c r="AM292" s="418"/>
      <c r="AR292" s="506"/>
    </row>
    <row r="293" spans="1:49" ht="15" customHeight="1">
      <c r="A293" s="418"/>
      <c r="B293" s="419"/>
      <c r="C293" s="418"/>
      <c r="D293" s="419"/>
      <c r="E293" s="418"/>
      <c r="F293" s="1960"/>
      <c r="G293" s="1961"/>
      <c r="H293" s="1961"/>
      <c r="I293" s="1961"/>
      <c r="J293" s="1961"/>
      <c r="K293" s="1961"/>
      <c r="L293" s="1961"/>
      <c r="M293" s="1961"/>
      <c r="N293" s="1961"/>
      <c r="O293" s="1961"/>
      <c r="P293" s="1961"/>
      <c r="Q293" s="1961"/>
      <c r="R293" s="1961"/>
      <c r="S293" s="1961"/>
      <c r="T293" s="1961"/>
      <c r="U293" s="1961"/>
      <c r="V293" s="1961"/>
      <c r="W293" s="1961"/>
      <c r="X293" s="1961"/>
      <c r="Y293" s="1961"/>
      <c r="Z293" s="1961"/>
      <c r="AA293" s="1961"/>
      <c r="AB293" s="1961"/>
      <c r="AC293" s="1961"/>
      <c r="AD293" s="1962"/>
      <c r="AE293" s="419"/>
      <c r="AF293" s="419"/>
      <c r="AG293" s="419"/>
      <c r="AH293" s="419"/>
      <c r="AI293" s="419"/>
      <c r="AJ293" s="418"/>
      <c r="AK293" s="418"/>
      <c r="AL293" s="418"/>
      <c r="AM293" s="418"/>
      <c r="AR293" s="506"/>
    </row>
    <row r="294" spans="1:49">
      <c r="A294" s="418"/>
      <c r="B294" s="419"/>
      <c r="C294" s="418"/>
      <c r="D294" s="419"/>
      <c r="E294" s="418"/>
      <c r="F294" s="1960"/>
      <c r="G294" s="1961"/>
      <c r="H294" s="1961"/>
      <c r="I294" s="1961"/>
      <c r="J294" s="1961"/>
      <c r="K294" s="1961"/>
      <c r="L294" s="1961"/>
      <c r="M294" s="1961"/>
      <c r="N294" s="1961"/>
      <c r="O294" s="1961"/>
      <c r="P294" s="1961"/>
      <c r="Q294" s="1961"/>
      <c r="R294" s="1961"/>
      <c r="S294" s="1961"/>
      <c r="T294" s="1961"/>
      <c r="U294" s="1961"/>
      <c r="V294" s="1961"/>
      <c r="W294" s="1961"/>
      <c r="X294" s="1961"/>
      <c r="Y294" s="1961"/>
      <c r="Z294" s="1961"/>
      <c r="AA294" s="1961"/>
      <c r="AB294" s="1961"/>
      <c r="AC294" s="1961"/>
      <c r="AD294" s="1962"/>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982"/>
      <c r="G295" s="1983"/>
      <c r="H295" s="1983"/>
      <c r="I295" s="1983"/>
      <c r="J295" s="1983"/>
      <c r="K295" s="1983"/>
      <c r="L295" s="1983"/>
      <c r="M295" s="1983"/>
      <c r="N295" s="1983"/>
      <c r="O295" s="1983"/>
      <c r="P295" s="1983"/>
      <c r="Q295" s="1983"/>
      <c r="R295" s="1983"/>
      <c r="S295" s="1983"/>
      <c r="T295" s="1983"/>
      <c r="U295" s="1983"/>
      <c r="V295" s="1983"/>
      <c r="W295" s="1983"/>
      <c r="X295" s="1983"/>
      <c r="Y295" s="1983"/>
      <c r="Z295" s="1983"/>
      <c r="AA295" s="1983"/>
      <c r="AB295" s="1983"/>
      <c r="AC295" s="1983"/>
      <c r="AD295" s="1984"/>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idden="1">
      <c r="A299" s="1567" t="s">
        <v>2117</v>
      </c>
      <c r="B299" s="1567"/>
      <c r="C299" s="1856" t="s">
        <v>299</v>
      </c>
      <c r="D299" s="1856"/>
      <c r="E299" s="415"/>
      <c r="F299" s="502" t="s">
        <v>2118</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408" t="s">
        <v>2115</v>
      </c>
      <c r="AH299" s="419"/>
      <c r="AI299" s="419"/>
      <c r="AJ299" s="418"/>
      <c r="AK299" s="418"/>
      <c r="AL299" s="418"/>
      <c r="AM299" s="418"/>
      <c r="AN299" s="44"/>
      <c r="AO299" s="12"/>
    </row>
    <row r="300" spans="1:49" hidden="1">
      <c r="A300" s="1160"/>
      <c r="B300" s="1160"/>
      <c r="C300" s="1211"/>
      <c r="D300" s="1211"/>
      <c r="E300" s="415"/>
      <c r="F300" s="1833" t="s">
        <v>2119</v>
      </c>
      <c r="G300" s="1834"/>
      <c r="H300" s="1834"/>
      <c r="I300" s="1834"/>
      <c r="J300" s="1834"/>
      <c r="K300" s="1834"/>
      <c r="L300" s="1834"/>
      <c r="M300" s="1834"/>
      <c r="N300" s="1834"/>
      <c r="O300" s="1834"/>
      <c r="P300" s="1834"/>
      <c r="Q300" s="1834"/>
      <c r="R300" s="1834"/>
      <c r="S300" s="1834"/>
      <c r="T300" s="1834"/>
      <c r="U300" s="1834"/>
      <c r="V300" s="1834"/>
      <c r="W300" s="1834"/>
      <c r="X300" s="1834"/>
      <c r="Y300" s="1834"/>
      <c r="Z300" s="1834"/>
      <c r="AA300" s="1834"/>
      <c r="AB300" s="1834"/>
      <c r="AC300" s="1834"/>
      <c r="AD300" s="1835"/>
      <c r="AE300" s="419"/>
      <c r="AF300" s="419"/>
      <c r="AG300" s="408"/>
      <c r="AH300" s="419"/>
      <c r="AI300" s="419"/>
      <c r="AJ300" s="418"/>
      <c r="AK300" s="418"/>
      <c r="AL300" s="418"/>
      <c r="AM300" s="418"/>
      <c r="AN300" s="44"/>
      <c r="AO300" s="12"/>
      <c r="AP300" s="423" t="s">
        <v>1077</v>
      </c>
    </row>
    <row r="301" spans="1:49" hidden="1">
      <c r="F301" s="1833"/>
      <c r="G301" s="1834"/>
      <c r="H301" s="1834"/>
      <c r="I301" s="1834"/>
      <c r="J301" s="1834"/>
      <c r="K301" s="1834"/>
      <c r="L301" s="1834"/>
      <c r="M301" s="1834"/>
      <c r="N301" s="1834"/>
      <c r="O301" s="1834"/>
      <c r="P301" s="1834"/>
      <c r="Q301" s="1834"/>
      <c r="R301" s="1834"/>
      <c r="S301" s="1834"/>
      <c r="T301" s="1834"/>
      <c r="U301" s="1834"/>
      <c r="V301" s="1834"/>
      <c r="W301" s="1834"/>
      <c r="X301" s="1834"/>
      <c r="Y301" s="1834"/>
      <c r="Z301" s="1834"/>
      <c r="AA301" s="1834"/>
      <c r="AB301" s="1834"/>
      <c r="AC301" s="1834"/>
      <c r="AD301" s="1835"/>
      <c r="AE301" s="419"/>
      <c r="AF301" s="419"/>
      <c r="AH301" s="419"/>
      <c r="AI301" s="419"/>
      <c r="AJ301" s="418"/>
      <c r="AK301" s="418"/>
      <c r="AL301" s="418"/>
      <c r="AM301" s="418"/>
      <c r="AN301" s="44"/>
      <c r="AO301" s="12"/>
      <c r="AP301" s="423" t="s">
        <v>2120</v>
      </c>
    </row>
    <row r="302" spans="1:49" hidden="1">
      <c r="A302" s="418"/>
      <c r="B302" s="419"/>
      <c r="C302" s="1211"/>
      <c r="D302" s="1211"/>
      <c r="E302" s="415"/>
      <c r="F302" s="509" t="s">
        <v>2121</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30"/>
      <c r="AE302" s="419"/>
      <c r="AF302" s="419"/>
      <c r="AG302" s="408"/>
      <c r="AH302" s="419"/>
      <c r="AI302" s="419"/>
      <c r="AJ302" s="418"/>
      <c r="AK302" s="418"/>
      <c r="AL302" s="418"/>
      <c r="AM302" s="418"/>
      <c r="AN302" s="44"/>
      <c r="AO302" s="12"/>
      <c r="AP302" s="423" t="s">
        <v>2122</v>
      </c>
    </row>
    <row r="303" spans="1:49" hidden="1">
      <c r="A303" s="418"/>
      <c r="B303" s="419"/>
      <c r="C303" s="1211"/>
      <c r="D303" s="1211"/>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30"/>
      <c r="AE303" s="419"/>
      <c r="AF303" s="419"/>
      <c r="AG303" s="408"/>
      <c r="AH303" s="419"/>
      <c r="AI303" s="419"/>
      <c r="AJ303" s="418"/>
      <c r="AK303" s="418"/>
      <c r="AL303" s="418"/>
      <c r="AM303" s="418"/>
      <c r="AN303" s="44"/>
      <c r="AO303" s="12"/>
      <c r="AP303" s="423" t="s">
        <v>2123</v>
      </c>
    </row>
    <row r="304" spans="1:49" ht="12.75" hidden="1" customHeight="1">
      <c r="A304" s="418"/>
      <c r="B304" s="419"/>
      <c r="C304" s="1211"/>
      <c r="D304" s="1211"/>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408"/>
      <c r="AH304" s="419"/>
      <c r="AI304" s="419"/>
      <c r="AJ304" s="418"/>
      <c r="AK304" s="418"/>
      <c r="AL304" s="418"/>
      <c r="AM304" s="418"/>
      <c r="AN304" s="44"/>
      <c r="AO304" s="12"/>
      <c r="AP304" s="24"/>
    </row>
    <row r="305" spans="1:42" ht="12.75" hidden="1" customHeight="1">
      <c r="A305" s="418"/>
      <c r="B305" s="419"/>
      <c r="C305" s="1211"/>
      <c r="D305" s="1211"/>
      <c r="E305" s="415"/>
      <c r="F305" s="1963" t="s">
        <v>1077</v>
      </c>
      <c r="G305" s="1964"/>
      <c r="H305" s="1964"/>
      <c r="I305" s="1964"/>
      <c r="J305" s="1964"/>
      <c r="K305" s="1964"/>
      <c r="L305" s="1964"/>
      <c r="M305" s="1964"/>
      <c r="N305" s="1964"/>
      <c r="O305" s="1964"/>
      <c r="P305" s="1964"/>
      <c r="Q305" s="1964"/>
      <c r="R305" s="1964"/>
      <c r="S305" s="1964"/>
      <c r="T305" s="1964"/>
      <c r="U305" s="1964"/>
      <c r="V305" s="1964"/>
      <c r="W305" s="1964"/>
      <c r="X305" s="1964"/>
      <c r="Y305" s="1964"/>
      <c r="Z305" s="1964"/>
      <c r="AA305" s="1964"/>
      <c r="AB305" s="1964"/>
      <c r="AC305" s="1964"/>
      <c r="AD305" s="1965"/>
      <c r="AE305" s="501"/>
      <c r="AF305" s="501"/>
      <c r="AG305" s="501"/>
      <c r="AH305" s="501"/>
      <c r="AI305" s="501"/>
      <c r="AJ305" s="501"/>
      <c r="AK305" s="501"/>
      <c r="AL305" s="418"/>
      <c r="AM305" s="418"/>
      <c r="AN305" s="44"/>
      <c r="AO305" s="12"/>
      <c r="AP305" s="24"/>
    </row>
    <row r="306" spans="1:42" hidden="1">
      <c r="A306" s="418"/>
      <c r="B306" s="419"/>
      <c r="C306" s="1211"/>
      <c r="D306" s="1211"/>
      <c r="E306" s="415"/>
      <c r="F306" s="1963"/>
      <c r="G306" s="1964"/>
      <c r="H306" s="1964"/>
      <c r="I306" s="1964"/>
      <c r="J306" s="1964"/>
      <c r="K306" s="1964"/>
      <c r="L306" s="1964"/>
      <c r="M306" s="1964"/>
      <c r="N306" s="1964"/>
      <c r="O306" s="1964"/>
      <c r="P306" s="1964"/>
      <c r="Q306" s="1964"/>
      <c r="R306" s="1964"/>
      <c r="S306" s="1964"/>
      <c r="T306" s="1964"/>
      <c r="U306" s="1964"/>
      <c r="V306" s="1964"/>
      <c r="W306" s="1964"/>
      <c r="X306" s="1964"/>
      <c r="Y306" s="1964"/>
      <c r="Z306" s="1964"/>
      <c r="AA306" s="1964"/>
      <c r="AB306" s="1964"/>
      <c r="AC306" s="1964"/>
      <c r="AD306" s="1965"/>
      <c r="AE306" s="419"/>
      <c r="AF306" s="419"/>
      <c r="AG306" s="408"/>
      <c r="AH306" s="419"/>
      <c r="AI306" s="419"/>
      <c r="AJ306" s="418"/>
      <c r="AK306" s="418"/>
      <c r="AL306" s="418"/>
      <c r="AM306" s="418"/>
      <c r="AN306" s="44"/>
      <c r="AO306" s="12"/>
      <c r="AP306" s="24"/>
    </row>
    <row r="307" spans="1:42" hidden="1">
      <c r="A307" s="418"/>
      <c r="B307" s="419"/>
      <c r="C307" s="1211"/>
      <c r="D307" s="1211"/>
      <c r="E307" s="415"/>
      <c r="F307" s="1963"/>
      <c r="G307" s="1964"/>
      <c r="H307" s="1964"/>
      <c r="I307" s="1964"/>
      <c r="J307" s="1964"/>
      <c r="K307" s="1964"/>
      <c r="L307" s="1964"/>
      <c r="M307" s="1964"/>
      <c r="N307" s="1964"/>
      <c r="O307" s="1964"/>
      <c r="P307" s="1964"/>
      <c r="Q307" s="1964"/>
      <c r="R307" s="1964"/>
      <c r="S307" s="1964"/>
      <c r="T307" s="1964"/>
      <c r="U307" s="1964"/>
      <c r="V307" s="1964"/>
      <c r="W307" s="1964"/>
      <c r="X307" s="1964"/>
      <c r="Y307" s="1964"/>
      <c r="Z307" s="1964"/>
      <c r="AA307" s="1964"/>
      <c r="AB307" s="1964"/>
      <c r="AC307" s="1964"/>
      <c r="AD307" s="1965"/>
      <c r="AE307" s="419"/>
      <c r="AF307" s="419"/>
      <c r="AG307" s="408"/>
      <c r="AH307" s="419"/>
      <c r="AI307" s="419"/>
      <c r="AJ307" s="418"/>
      <c r="AK307" s="418"/>
      <c r="AL307" s="418"/>
      <c r="AM307" s="418"/>
      <c r="AN307" s="44"/>
      <c r="AO307" s="12"/>
      <c r="AP307" s="24"/>
    </row>
    <row r="308" spans="1:42" hidden="1">
      <c r="A308" s="418"/>
      <c r="B308" s="419"/>
      <c r="C308" s="1211"/>
      <c r="D308" s="1211"/>
      <c r="E308" s="415"/>
      <c r="F308" s="1963"/>
      <c r="G308" s="1964"/>
      <c r="H308" s="1964"/>
      <c r="I308" s="1964"/>
      <c r="J308" s="1964"/>
      <c r="K308" s="1964"/>
      <c r="L308" s="1964"/>
      <c r="M308" s="1964"/>
      <c r="N308" s="1964"/>
      <c r="O308" s="1964"/>
      <c r="P308" s="1964"/>
      <c r="Q308" s="1964"/>
      <c r="R308" s="1964"/>
      <c r="S308" s="1964"/>
      <c r="T308" s="1964"/>
      <c r="U308" s="1964"/>
      <c r="V308" s="1964"/>
      <c r="W308" s="1964"/>
      <c r="X308" s="1964"/>
      <c r="Y308" s="1964"/>
      <c r="Z308" s="1964"/>
      <c r="AA308" s="1964"/>
      <c r="AB308" s="1964"/>
      <c r="AC308" s="1964"/>
      <c r="AD308" s="1965"/>
      <c r="AE308" s="419"/>
      <c r="AF308" s="419"/>
      <c r="AG308" s="408"/>
      <c r="AH308" s="419"/>
      <c r="AI308" s="419"/>
      <c r="AJ308" s="418"/>
      <c r="AK308" s="418"/>
      <c r="AL308" s="418"/>
      <c r="AM308" s="418"/>
      <c r="AN308" s="44"/>
      <c r="AO308" s="12"/>
      <c r="AP308" s="24"/>
    </row>
    <row r="309" spans="1:42" hidden="1">
      <c r="A309" s="418"/>
      <c r="B309" s="419"/>
      <c r="C309" s="1211"/>
      <c r="D309" s="1211"/>
      <c r="E309" s="415"/>
      <c r="F309" s="1966"/>
      <c r="G309" s="1967"/>
      <c r="H309" s="1967"/>
      <c r="I309" s="1967"/>
      <c r="J309" s="1967"/>
      <c r="K309" s="1967"/>
      <c r="L309" s="1967"/>
      <c r="M309" s="1967"/>
      <c r="N309" s="1967"/>
      <c r="O309" s="1967"/>
      <c r="P309" s="1967"/>
      <c r="Q309" s="1967"/>
      <c r="R309" s="1967"/>
      <c r="S309" s="1967"/>
      <c r="T309" s="1967"/>
      <c r="U309" s="1967"/>
      <c r="V309" s="1967"/>
      <c r="W309" s="1967"/>
      <c r="X309" s="1967"/>
      <c r="Y309" s="1967"/>
      <c r="Z309" s="1967"/>
      <c r="AA309" s="1967"/>
      <c r="AB309" s="1967"/>
      <c r="AC309" s="1967"/>
      <c r="AD309" s="1968"/>
      <c r="AE309" s="419"/>
      <c r="AF309" s="419"/>
      <c r="AG309" s="408"/>
      <c r="AH309" s="419"/>
      <c r="AI309" s="419"/>
      <c r="AJ309" s="418"/>
      <c r="AK309" s="418"/>
      <c r="AL309" s="418"/>
      <c r="AM309" s="418"/>
      <c r="AN309" s="44"/>
      <c r="AO309" s="12"/>
      <c r="AP309" s="24"/>
    </row>
    <row r="310" spans="1:42" hidden="1">
      <c r="A310" s="418"/>
      <c r="B310" s="419"/>
      <c r="C310" s="1211"/>
      <c r="D310" s="1211"/>
      <c r="E310" s="415"/>
      <c r="F310" s="797"/>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408"/>
      <c r="AH310" s="419"/>
      <c r="AI310" s="419"/>
      <c r="AJ310" s="418"/>
      <c r="AK310" s="418"/>
      <c r="AL310" s="418"/>
      <c r="AM310" s="418"/>
      <c r="AN310" s="44"/>
      <c r="AO310" s="12"/>
      <c r="AP310" s="24"/>
    </row>
    <row r="311" spans="1:42" hidden="1">
      <c r="A311" s="418"/>
      <c r="B311" s="419"/>
      <c r="C311" s="1211"/>
      <c r="D311" s="1211"/>
      <c r="E311" s="415"/>
      <c r="F311" s="511" t="s">
        <v>2124</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408"/>
      <c r="AH311" s="419"/>
      <c r="AI311" s="419"/>
      <c r="AJ311" s="418"/>
      <c r="AK311" s="418"/>
      <c r="AL311" s="418"/>
      <c r="AM311" s="418"/>
      <c r="AN311" s="44"/>
      <c r="AO311" s="12"/>
      <c r="AP311" s="24"/>
    </row>
    <row r="312" spans="1:42" hidden="1">
      <c r="A312" s="418"/>
      <c r="B312" s="419"/>
      <c r="C312" s="1211"/>
      <c r="D312" s="1211"/>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408"/>
      <c r="AH312" s="419"/>
      <c r="AI312" s="419"/>
      <c r="AJ312" s="418"/>
      <c r="AK312" s="418"/>
      <c r="AL312" s="418"/>
      <c r="AM312" s="418"/>
      <c r="AN312" s="44"/>
      <c r="AO312" s="12"/>
      <c r="AP312" s="423" t="s">
        <v>1077</v>
      </c>
    </row>
    <row r="313" spans="1:42" ht="12.75" hidden="1" customHeight="1">
      <c r="A313" s="418"/>
      <c r="B313" s="419"/>
      <c r="C313" s="1211"/>
      <c r="D313" s="1211"/>
      <c r="E313" s="415"/>
      <c r="F313" s="513"/>
      <c r="G313" s="440" t="s">
        <v>21</v>
      </c>
      <c r="H313" s="440"/>
      <c r="I313" s="1969" t="s">
        <v>1077</v>
      </c>
      <c r="J313" s="1969"/>
      <c r="K313" s="1969"/>
      <c r="L313" s="1969"/>
      <c r="M313" s="1969"/>
      <c r="N313" s="1969"/>
      <c r="O313" s="1969"/>
      <c r="P313" s="1969"/>
      <c r="Q313" s="1969"/>
      <c r="R313" s="1969"/>
      <c r="S313" s="1969"/>
      <c r="T313" s="1969"/>
      <c r="U313" s="1969"/>
      <c r="V313" s="1969"/>
      <c r="W313" s="1969"/>
      <c r="X313" s="1969"/>
      <c r="Y313" s="1969"/>
      <c r="Z313" s="1969"/>
      <c r="AA313" s="1969"/>
      <c r="AB313" s="1969"/>
      <c r="AC313" s="1969"/>
      <c r="AD313" s="1970"/>
      <c r="AE313" s="419"/>
      <c r="AF313" s="419"/>
      <c r="AG313" s="408"/>
      <c r="AH313" s="419"/>
      <c r="AI313" s="419"/>
      <c r="AJ313" s="418"/>
      <c r="AK313" s="418"/>
      <c r="AL313" s="418"/>
      <c r="AM313" s="418"/>
      <c r="AN313" s="44"/>
      <c r="AO313" s="12"/>
      <c r="AP313" s="423" t="s">
        <v>2125</v>
      </c>
    </row>
    <row r="314" spans="1:42" hidden="1">
      <c r="A314" s="418"/>
      <c r="B314" s="419"/>
      <c r="C314" s="1211"/>
      <c r="D314" s="1211"/>
      <c r="E314" s="415"/>
      <c r="F314" s="513"/>
      <c r="G314" s="440"/>
      <c r="H314" s="440"/>
      <c r="I314" s="1969"/>
      <c r="J314" s="1969"/>
      <c r="K314" s="1969"/>
      <c r="L314" s="1969"/>
      <c r="M314" s="1969"/>
      <c r="N314" s="1969"/>
      <c r="O314" s="1969"/>
      <c r="P314" s="1969"/>
      <c r="Q314" s="1969"/>
      <c r="R314" s="1969"/>
      <c r="S314" s="1969"/>
      <c r="T314" s="1969"/>
      <c r="U314" s="1969"/>
      <c r="V314" s="1969"/>
      <c r="W314" s="1969"/>
      <c r="X314" s="1969"/>
      <c r="Y314" s="1969"/>
      <c r="Z314" s="1969"/>
      <c r="AA314" s="1969"/>
      <c r="AB314" s="1969"/>
      <c r="AC314" s="1969"/>
      <c r="AD314" s="1970"/>
      <c r="AE314" s="419"/>
      <c r="AF314" s="419"/>
      <c r="AG314" s="408"/>
      <c r="AH314" s="419"/>
      <c r="AI314" s="419"/>
      <c r="AJ314" s="418"/>
      <c r="AK314" s="418"/>
      <c r="AL314" s="418"/>
      <c r="AM314" s="418"/>
      <c r="AN314" s="44"/>
      <c r="AO314" s="12"/>
      <c r="AP314" s="423" t="s">
        <v>2126</v>
      </c>
    </row>
    <row r="315" spans="1:42" hidden="1">
      <c r="A315" s="418"/>
      <c r="B315" s="419"/>
      <c r="C315" s="1195"/>
      <c r="D315" s="1195"/>
      <c r="E315" s="415"/>
      <c r="F315" s="513"/>
      <c r="G315" s="440"/>
      <c r="H315" s="440"/>
      <c r="I315" s="1969"/>
      <c r="J315" s="1969"/>
      <c r="K315" s="1969"/>
      <c r="L315" s="1969"/>
      <c r="M315" s="1969"/>
      <c r="N315" s="1969"/>
      <c r="O315" s="1969"/>
      <c r="P315" s="1969"/>
      <c r="Q315" s="1969"/>
      <c r="R315" s="1969"/>
      <c r="S315" s="1969"/>
      <c r="T315" s="1969"/>
      <c r="U315" s="1969"/>
      <c r="V315" s="1969"/>
      <c r="W315" s="1969"/>
      <c r="X315" s="1969"/>
      <c r="Y315" s="1969"/>
      <c r="Z315" s="1969"/>
      <c r="AA315" s="1969"/>
      <c r="AB315" s="1969"/>
      <c r="AC315" s="1969"/>
      <c r="AD315" s="1970"/>
      <c r="AE315" s="419"/>
      <c r="AF315" s="419"/>
      <c r="AG315" s="408"/>
      <c r="AH315" s="419"/>
      <c r="AI315" s="419"/>
      <c r="AJ315" s="418"/>
      <c r="AK315" s="418"/>
      <c r="AL315" s="418"/>
      <c r="AM315" s="418"/>
      <c r="AN315" s="44"/>
      <c r="AO315" s="12"/>
      <c r="AP315" s="423" t="s">
        <v>2127</v>
      </c>
    </row>
    <row r="316" spans="1:42" hidden="1">
      <c r="A316" s="418"/>
      <c r="B316" s="419"/>
      <c r="C316" s="1195"/>
      <c r="D316" s="1195"/>
      <c r="E316" s="415"/>
      <c r="F316" s="511"/>
      <c r="G316" s="419"/>
      <c r="H316" s="419"/>
      <c r="I316" s="1971"/>
      <c r="J316" s="1971"/>
      <c r="K316" s="1971"/>
      <c r="L316" s="1971"/>
      <c r="M316" s="1971"/>
      <c r="N316" s="1971"/>
      <c r="O316" s="1971"/>
      <c r="P316" s="1971"/>
      <c r="Q316" s="1971"/>
      <c r="R316" s="1971"/>
      <c r="S316" s="1971"/>
      <c r="T316" s="1971"/>
      <c r="U316" s="1971"/>
      <c r="V316" s="1971"/>
      <c r="W316" s="1971"/>
      <c r="X316" s="1971"/>
      <c r="Y316" s="1971"/>
      <c r="Z316" s="1971"/>
      <c r="AA316" s="1971"/>
      <c r="AB316" s="1971"/>
      <c r="AC316" s="1971"/>
      <c r="AD316" s="1972"/>
      <c r="AE316" s="419"/>
      <c r="AF316" s="419"/>
      <c r="AG316" s="408"/>
      <c r="AH316" s="419"/>
      <c r="AI316" s="419"/>
      <c r="AJ316" s="418"/>
      <c r="AK316" s="418"/>
      <c r="AL316" s="418"/>
      <c r="AM316" s="418"/>
      <c r="AN316" s="44"/>
      <c r="AO316" s="12"/>
      <c r="AP316" s="423" t="s">
        <v>2128</v>
      </c>
    </row>
    <row r="317" spans="1:42" hidden="1">
      <c r="A317" s="418"/>
      <c r="B317" s="419"/>
      <c r="C317" s="1195"/>
      <c r="D317" s="1195"/>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408"/>
      <c r="AH317" s="419"/>
      <c r="AI317" s="419"/>
      <c r="AJ317" s="418"/>
      <c r="AK317" s="418"/>
      <c r="AL317" s="418"/>
      <c r="AM317" s="418"/>
      <c r="AN317" s="44"/>
      <c r="AO317" s="12"/>
      <c r="AP317" s="24"/>
    </row>
    <row r="318" spans="1:42" hidden="1">
      <c r="A318" s="418"/>
      <c r="B318" s="419"/>
      <c r="C318" s="1195"/>
      <c r="D318" s="1195"/>
      <c r="E318" s="415"/>
      <c r="F318" s="511"/>
      <c r="G318" s="419" t="s">
        <v>26</v>
      </c>
      <c r="H318" s="419"/>
      <c r="I318" s="1969" t="s">
        <v>1077</v>
      </c>
      <c r="J318" s="1969"/>
      <c r="K318" s="1969"/>
      <c r="L318" s="1969"/>
      <c r="M318" s="1969"/>
      <c r="N318" s="1969"/>
      <c r="O318" s="1969"/>
      <c r="P318" s="1969"/>
      <c r="Q318" s="1969"/>
      <c r="R318" s="1969"/>
      <c r="S318" s="1969"/>
      <c r="T318" s="1969"/>
      <c r="U318" s="1969"/>
      <c r="V318" s="1969"/>
      <c r="W318" s="1969"/>
      <c r="X318" s="1969"/>
      <c r="Y318" s="1969"/>
      <c r="Z318" s="1969"/>
      <c r="AA318" s="1969"/>
      <c r="AB318" s="1969"/>
      <c r="AC318" s="1969"/>
      <c r="AD318" s="1970"/>
      <c r="AE318" s="419"/>
      <c r="AF318" s="419"/>
      <c r="AG318" s="408"/>
      <c r="AH318" s="419"/>
      <c r="AI318" s="419"/>
      <c r="AJ318" s="418"/>
      <c r="AK318" s="418"/>
      <c r="AL318" s="418"/>
      <c r="AM318" s="418"/>
      <c r="AN318" s="44"/>
      <c r="AO318" s="12"/>
    </row>
    <row r="319" spans="1:42" hidden="1">
      <c r="A319" s="418"/>
      <c r="B319" s="419"/>
      <c r="C319" s="1195"/>
      <c r="D319" s="1195"/>
      <c r="E319" s="415"/>
      <c r="F319" s="511"/>
      <c r="G319" s="419"/>
      <c r="H319" s="419"/>
      <c r="I319" s="1969"/>
      <c r="J319" s="1969"/>
      <c r="K319" s="1969"/>
      <c r="L319" s="1969"/>
      <c r="M319" s="1969"/>
      <c r="N319" s="1969"/>
      <c r="O319" s="1969"/>
      <c r="P319" s="1969"/>
      <c r="Q319" s="1969"/>
      <c r="R319" s="1969"/>
      <c r="S319" s="1969"/>
      <c r="T319" s="1969"/>
      <c r="U319" s="1969"/>
      <c r="V319" s="1969"/>
      <c r="W319" s="1969"/>
      <c r="X319" s="1969"/>
      <c r="Y319" s="1969"/>
      <c r="Z319" s="1969"/>
      <c r="AA319" s="1969"/>
      <c r="AB319" s="1969"/>
      <c r="AC319" s="1969"/>
      <c r="AD319" s="1970"/>
      <c r="AE319" s="419"/>
      <c r="AF319" s="419"/>
      <c r="AG319" s="408"/>
      <c r="AH319" s="419"/>
      <c r="AI319" s="419"/>
      <c r="AJ319" s="418"/>
      <c r="AK319" s="418"/>
      <c r="AL319" s="418"/>
      <c r="AM319" s="418"/>
      <c r="AN319" s="44"/>
      <c r="AO319" s="12"/>
      <c r="AP319" s="423" t="s">
        <v>1077</v>
      </c>
    </row>
    <row r="320" spans="1:42" hidden="1">
      <c r="A320" s="418"/>
      <c r="B320" s="419"/>
      <c r="C320" s="1195"/>
      <c r="D320" s="1195"/>
      <c r="E320" s="415"/>
      <c r="F320" s="514"/>
      <c r="G320" s="515"/>
      <c r="H320" s="515"/>
      <c r="I320" s="1971"/>
      <c r="J320" s="1971"/>
      <c r="K320" s="1971"/>
      <c r="L320" s="1971"/>
      <c r="M320" s="1971"/>
      <c r="N320" s="1971"/>
      <c r="O320" s="1971"/>
      <c r="P320" s="1971"/>
      <c r="Q320" s="1971"/>
      <c r="R320" s="1971"/>
      <c r="S320" s="1971"/>
      <c r="T320" s="1971"/>
      <c r="U320" s="1971"/>
      <c r="V320" s="1971"/>
      <c r="W320" s="1971"/>
      <c r="X320" s="1971"/>
      <c r="Y320" s="1971"/>
      <c r="Z320" s="1971"/>
      <c r="AA320" s="1971"/>
      <c r="AB320" s="1971"/>
      <c r="AC320" s="1971"/>
      <c r="AD320" s="1972"/>
      <c r="AE320" s="419"/>
      <c r="AF320" s="419"/>
      <c r="AG320" s="408"/>
      <c r="AH320" s="419"/>
      <c r="AI320" s="419"/>
      <c r="AJ320" s="418"/>
      <c r="AK320" s="418"/>
      <c r="AL320" s="418"/>
      <c r="AM320" s="418"/>
      <c r="AN320" s="44"/>
      <c r="AO320" s="12"/>
      <c r="AP320" s="423" t="s">
        <v>2129</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2130</v>
      </c>
    </row>
    <row r="322" spans="1:44" ht="12.75" hidden="1" customHeight="1">
      <c r="A322" s="1567" t="s">
        <v>2131</v>
      </c>
      <c r="B322" s="1567"/>
      <c r="C322" s="1856" t="s">
        <v>299</v>
      </c>
      <c r="D322" s="1856"/>
      <c r="E322" s="415"/>
      <c r="F322" s="1957" t="s">
        <v>2132</v>
      </c>
      <c r="G322" s="1958"/>
      <c r="H322" s="1958"/>
      <c r="I322" s="1958"/>
      <c r="J322" s="1958"/>
      <c r="K322" s="1958"/>
      <c r="L322" s="1958"/>
      <c r="M322" s="1958"/>
      <c r="N322" s="1958"/>
      <c r="O322" s="1958"/>
      <c r="P322" s="1958"/>
      <c r="Q322" s="1958"/>
      <c r="R322" s="1958"/>
      <c r="S322" s="1958"/>
      <c r="T322" s="1958"/>
      <c r="U322" s="1958"/>
      <c r="V322" s="1958"/>
      <c r="W322" s="1958"/>
      <c r="X322" s="1958"/>
      <c r="Y322" s="1958"/>
      <c r="Z322" s="1958"/>
      <c r="AA322" s="1958"/>
      <c r="AB322" s="1958"/>
      <c r="AC322" s="1958"/>
      <c r="AD322" s="1959"/>
      <c r="AE322" s="419"/>
      <c r="AF322" s="419"/>
      <c r="AG322" s="408" t="s">
        <v>2115</v>
      </c>
      <c r="AH322" s="419"/>
      <c r="AI322" s="419"/>
      <c r="AJ322" s="418"/>
      <c r="AK322" s="418"/>
      <c r="AL322" s="418"/>
      <c r="AM322" s="418"/>
      <c r="AN322" s="44"/>
      <c r="AO322" s="12"/>
    </row>
    <row r="323" spans="1:44" ht="15" hidden="1" customHeight="1">
      <c r="A323" s="418"/>
      <c r="B323" s="419"/>
      <c r="C323" s="419"/>
      <c r="D323" s="419"/>
      <c r="E323" s="419"/>
      <c r="F323" s="1960"/>
      <c r="G323" s="1961"/>
      <c r="H323" s="1961"/>
      <c r="I323" s="1961"/>
      <c r="J323" s="1961"/>
      <c r="K323" s="1961"/>
      <c r="L323" s="1961"/>
      <c r="M323" s="1961"/>
      <c r="N323" s="1961"/>
      <c r="O323" s="1961"/>
      <c r="P323" s="1961"/>
      <c r="Q323" s="1961"/>
      <c r="R323" s="1961"/>
      <c r="S323" s="1961"/>
      <c r="T323" s="1961"/>
      <c r="U323" s="1961"/>
      <c r="V323" s="1961"/>
      <c r="W323" s="1961"/>
      <c r="X323" s="1961"/>
      <c r="Y323" s="1961"/>
      <c r="Z323" s="1961"/>
      <c r="AA323" s="1961"/>
      <c r="AB323" s="1961"/>
      <c r="AC323" s="1961"/>
      <c r="AD323" s="1962"/>
      <c r="AE323" s="419"/>
      <c r="AF323" s="419"/>
      <c r="AG323" s="419"/>
      <c r="AH323" s="419"/>
      <c r="AI323" s="419"/>
      <c r="AJ323" s="418"/>
      <c r="AK323" s="418"/>
      <c r="AL323" s="418"/>
      <c r="AM323" s="418"/>
      <c r="AN323" s="44"/>
      <c r="AO323" s="12"/>
    </row>
    <row r="324" spans="1:44" ht="15" hidden="1" customHeight="1">
      <c r="A324" s="418"/>
      <c r="B324" s="419"/>
      <c r="C324" s="419"/>
      <c r="D324" s="419"/>
      <c r="E324" s="419"/>
      <c r="F324" s="1960"/>
      <c r="G324" s="1961"/>
      <c r="H324" s="1961"/>
      <c r="I324" s="1961"/>
      <c r="J324" s="1961"/>
      <c r="K324" s="1961"/>
      <c r="L324" s="1961"/>
      <c r="M324" s="1961"/>
      <c r="N324" s="1961"/>
      <c r="O324" s="1961"/>
      <c r="P324" s="1961"/>
      <c r="Q324" s="1961"/>
      <c r="R324" s="1961"/>
      <c r="S324" s="1961"/>
      <c r="T324" s="1961"/>
      <c r="U324" s="1961"/>
      <c r="V324" s="1961"/>
      <c r="W324" s="1961"/>
      <c r="X324" s="1961"/>
      <c r="Y324" s="1961"/>
      <c r="Z324" s="1961"/>
      <c r="AA324" s="1961"/>
      <c r="AB324" s="1961"/>
      <c r="AC324" s="1961"/>
      <c r="AD324" s="1962"/>
      <c r="AE324" s="419"/>
      <c r="AF324" s="419"/>
      <c r="AG324" s="419"/>
      <c r="AH324" s="419"/>
      <c r="AI324" s="419"/>
      <c r="AJ324" s="418"/>
      <c r="AK324" s="418"/>
      <c r="AL324" s="418"/>
      <c r="AM324" s="516"/>
      <c r="AN324" s="12"/>
      <c r="AO324" s="12"/>
    </row>
    <row r="325" spans="1:44" hidden="1">
      <c r="A325" s="418"/>
      <c r="B325" s="419"/>
      <c r="C325" s="418"/>
      <c r="D325" s="419"/>
      <c r="E325" s="418"/>
      <c r="F325" s="517" t="s">
        <v>2133</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2134</v>
      </c>
      <c r="AK327" s="1841">
        <f>IF(NOT(OR(Application!M355="Yes",Application!M356="Yes")),0,AP284)</f>
        <v>10</v>
      </c>
      <c r="AL327" s="1842"/>
      <c r="AM327" s="1843"/>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408" t="s">
        <v>2135</v>
      </c>
      <c r="B330" s="408" t="s">
        <v>2136</v>
      </c>
      <c r="C330" s="405"/>
      <c r="AC330" s="408"/>
      <c r="AE330" s="1847" t="s">
        <v>1968</v>
      </c>
      <c r="AF330" s="1847"/>
      <c r="AG330" s="1847"/>
      <c r="AH330" s="1847"/>
      <c r="AI330" s="1847"/>
      <c r="AJ330" s="1847"/>
      <c r="AK330" s="1847"/>
      <c r="AL330" s="408"/>
      <c r="AM330" s="408"/>
      <c r="AN330" s="455"/>
    </row>
    <row r="331" spans="1:44" s="418" customFormat="1" ht="12.75" customHeight="1">
      <c r="A331" s="408"/>
      <c r="B331" s="408"/>
      <c r="C331" s="405"/>
      <c r="AC331" s="408"/>
      <c r="AE331" s="1184"/>
      <c r="AF331" s="1184"/>
      <c r="AG331" s="1184"/>
      <c r="AH331" s="1184"/>
      <c r="AI331" s="1184"/>
      <c r="AJ331" s="1184"/>
      <c r="AK331" s="1184"/>
      <c r="AL331" s="408"/>
      <c r="AM331" s="408"/>
      <c r="AN331" s="455"/>
    </row>
    <row r="332" spans="1:44" s="418" customFormat="1" ht="12.75" customHeight="1">
      <c r="A332" s="465"/>
      <c r="B332" s="472"/>
      <c r="C332" s="1851" t="s">
        <v>2137</v>
      </c>
      <c r="D332" s="1851"/>
      <c r="E332" s="1851"/>
      <c r="F332" s="1851"/>
      <c r="G332" s="1851"/>
      <c r="H332" s="1851"/>
      <c r="I332" s="1851"/>
      <c r="J332" s="1851"/>
      <c r="K332" s="1851"/>
      <c r="L332" s="1851"/>
      <c r="M332" s="1851"/>
      <c r="N332" s="1851"/>
      <c r="O332" s="1851"/>
      <c r="P332" s="1851"/>
      <c r="Q332" s="1851"/>
      <c r="R332" s="1851"/>
      <c r="S332" s="1851"/>
      <c r="T332" s="1851"/>
      <c r="U332" s="1851"/>
      <c r="V332" s="1851"/>
      <c r="W332" s="1851"/>
      <c r="X332" s="1851"/>
      <c r="Y332" s="1851"/>
      <c r="Z332" s="1851"/>
      <c r="AA332" s="1851"/>
      <c r="AB332" s="1851"/>
      <c r="AC332" s="1851"/>
      <c r="AD332" s="1851"/>
      <c r="AE332" s="1851"/>
      <c r="AF332" s="1851"/>
      <c r="AG332" s="1851"/>
      <c r="AH332" s="1851"/>
      <c r="AI332" s="1851"/>
      <c r="AJ332" s="1851"/>
      <c r="AK332" s="465"/>
      <c r="AL332" s="465"/>
      <c r="AM332" s="465"/>
      <c r="AN332" s="459"/>
    </row>
    <row r="333" spans="1:44" s="418" customFormat="1" ht="12.75" customHeight="1">
      <c r="A333" s="465"/>
      <c r="B333" s="472"/>
      <c r="C333" s="1851"/>
      <c r="D333" s="1851"/>
      <c r="E333" s="1851"/>
      <c r="F333" s="1851"/>
      <c r="G333" s="1851"/>
      <c r="H333" s="1851"/>
      <c r="I333" s="1851"/>
      <c r="J333" s="1851"/>
      <c r="K333" s="1851"/>
      <c r="L333" s="1851"/>
      <c r="M333" s="1851"/>
      <c r="N333" s="1851"/>
      <c r="O333" s="1851"/>
      <c r="P333" s="1851"/>
      <c r="Q333" s="1851"/>
      <c r="R333" s="1851"/>
      <c r="S333" s="1851"/>
      <c r="T333" s="1851"/>
      <c r="U333" s="1851"/>
      <c r="V333" s="1851"/>
      <c r="W333" s="1851"/>
      <c r="X333" s="1851"/>
      <c r="Y333" s="1851"/>
      <c r="Z333" s="1851"/>
      <c r="AA333" s="1851"/>
      <c r="AB333" s="1851"/>
      <c r="AC333" s="1851"/>
      <c r="AD333" s="1851"/>
      <c r="AE333" s="1851"/>
      <c r="AF333" s="1851"/>
      <c r="AG333" s="1851"/>
      <c r="AH333" s="1851"/>
      <c r="AI333" s="1851"/>
      <c r="AJ333" s="1851"/>
      <c r="AK333" s="465"/>
      <c r="AL333" s="465"/>
      <c r="AM333" s="465"/>
      <c r="AN333" s="459"/>
    </row>
    <row r="334" spans="1:44" s="418" customFormat="1" ht="12.75" customHeight="1">
      <c r="A334" s="465"/>
      <c r="B334" s="472"/>
      <c r="C334" s="1851"/>
      <c r="D334" s="1851"/>
      <c r="E334" s="1851"/>
      <c r="F334" s="1851"/>
      <c r="G334" s="1851"/>
      <c r="H334" s="1851"/>
      <c r="I334" s="1851"/>
      <c r="J334" s="1851"/>
      <c r="K334" s="1851"/>
      <c r="L334" s="1851"/>
      <c r="M334" s="1851"/>
      <c r="N334" s="1851"/>
      <c r="O334" s="1851"/>
      <c r="P334" s="1851"/>
      <c r="Q334" s="1851"/>
      <c r="R334" s="1851"/>
      <c r="S334" s="1851"/>
      <c r="T334" s="1851"/>
      <c r="U334" s="1851"/>
      <c r="V334" s="1851"/>
      <c r="W334" s="1851"/>
      <c r="X334" s="1851"/>
      <c r="Y334" s="1851"/>
      <c r="Z334" s="1851"/>
      <c r="AA334" s="1851"/>
      <c r="AB334" s="1851"/>
      <c r="AC334" s="1851"/>
      <c r="AD334" s="1851"/>
      <c r="AE334" s="1851"/>
      <c r="AF334" s="1851"/>
      <c r="AG334" s="1851"/>
      <c r="AH334" s="1851"/>
      <c r="AI334" s="1851"/>
      <c r="AJ334" s="1851"/>
      <c r="AK334" s="465"/>
      <c r="AL334" s="465"/>
      <c r="AM334" s="465"/>
      <c r="AN334" s="459"/>
      <c r="AQ334" s="436"/>
    </row>
    <row r="335" spans="1:44" s="418" customFormat="1" ht="12.75" customHeight="1">
      <c r="A335" s="465"/>
      <c r="B335" s="472"/>
      <c r="C335" s="1851"/>
      <c r="D335" s="1851"/>
      <c r="E335" s="1851"/>
      <c r="F335" s="1851"/>
      <c r="G335" s="1851"/>
      <c r="H335" s="1851"/>
      <c r="I335" s="1851"/>
      <c r="J335" s="1851"/>
      <c r="K335" s="1851"/>
      <c r="L335" s="1851"/>
      <c r="M335" s="1851"/>
      <c r="N335" s="1851"/>
      <c r="O335" s="1851"/>
      <c r="P335" s="1851"/>
      <c r="Q335" s="1851"/>
      <c r="R335" s="1851"/>
      <c r="S335" s="1851"/>
      <c r="T335" s="1851"/>
      <c r="U335" s="1851"/>
      <c r="V335" s="1851"/>
      <c r="W335" s="1851"/>
      <c r="X335" s="1851"/>
      <c r="Y335" s="1851"/>
      <c r="Z335" s="1851"/>
      <c r="AA335" s="1851"/>
      <c r="AB335" s="1851"/>
      <c r="AC335" s="1851"/>
      <c r="AD335" s="1851"/>
      <c r="AE335" s="1851"/>
      <c r="AF335" s="1851"/>
      <c r="AG335" s="1851"/>
      <c r="AH335" s="1851"/>
      <c r="AI335" s="1851"/>
      <c r="AJ335" s="1851"/>
      <c r="AK335" s="465"/>
      <c r="AL335" s="465"/>
      <c r="AM335" s="465"/>
      <c r="AN335" s="459"/>
      <c r="AQ335" s="436"/>
    </row>
    <row r="336" spans="1:44" s="418" customFormat="1" ht="12.5" customHeight="1">
      <c r="A336" s="465"/>
      <c r="B336" s="472"/>
      <c r="C336" s="1851"/>
      <c r="D336" s="1851"/>
      <c r="E336" s="1851"/>
      <c r="F336" s="1851"/>
      <c r="G336" s="1851"/>
      <c r="H336" s="1851"/>
      <c r="I336" s="1851"/>
      <c r="J336" s="1851"/>
      <c r="K336" s="1851"/>
      <c r="L336" s="1851"/>
      <c r="M336" s="1851"/>
      <c r="N336" s="1851"/>
      <c r="O336" s="1851"/>
      <c r="P336" s="1851"/>
      <c r="Q336" s="1851"/>
      <c r="R336" s="1851"/>
      <c r="S336" s="1851"/>
      <c r="T336" s="1851"/>
      <c r="U336" s="1851"/>
      <c r="V336" s="1851"/>
      <c r="W336" s="1851"/>
      <c r="X336" s="1851"/>
      <c r="Y336" s="1851"/>
      <c r="Z336" s="1851"/>
      <c r="AA336" s="1851"/>
      <c r="AB336" s="1851"/>
      <c r="AC336" s="1851"/>
      <c r="AD336" s="1851"/>
      <c r="AE336" s="1851"/>
      <c r="AF336" s="1851"/>
      <c r="AG336" s="1851"/>
      <c r="AH336" s="1851"/>
      <c r="AI336" s="1851"/>
      <c r="AJ336" s="1851"/>
      <c r="AK336" s="465"/>
      <c r="AL336" s="465"/>
      <c r="AM336" s="465"/>
      <c r="AN336" s="459"/>
      <c r="AQ336" s="436"/>
      <c r="AR336" s="436"/>
    </row>
    <row r="337" spans="1:46" s="418" customFormat="1" ht="45.75" customHeight="1">
      <c r="A337" s="465"/>
      <c r="B337" s="472"/>
      <c r="C337" s="1851" t="s">
        <v>2138</v>
      </c>
      <c r="D337" s="1851"/>
      <c r="E337" s="1851"/>
      <c r="F337" s="1851"/>
      <c r="G337" s="1851"/>
      <c r="H337" s="1851"/>
      <c r="I337" s="1851"/>
      <c r="J337" s="1851"/>
      <c r="K337" s="1851"/>
      <c r="L337" s="1851"/>
      <c r="M337" s="1851"/>
      <c r="N337" s="1851"/>
      <c r="O337" s="1851"/>
      <c r="P337" s="1851"/>
      <c r="Q337" s="1851"/>
      <c r="R337" s="1851"/>
      <c r="S337" s="1851"/>
      <c r="T337" s="1851"/>
      <c r="U337" s="1851"/>
      <c r="V337" s="1851"/>
      <c r="W337" s="1851"/>
      <c r="X337" s="1851"/>
      <c r="Y337" s="1851"/>
      <c r="Z337" s="1851"/>
      <c r="AA337" s="1851"/>
      <c r="AB337" s="1851"/>
      <c r="AC337" s="1851"/>
      <c r="AD337" s="1851"/>
      <c r="AE337" s="1851"/>
      <c r="AF337" s="1851"/>
      <c r="AG337" s="1851"/>
      <c r="AH337" s="1851"/>
      <c r="AI337" s="1851"/>
      <c r="AJ337" s="1851"/>
      <c r="AK337" s="465"/>
      <c r="AL337" s="465"/>
      <c r="AM337" s="465"/>
      <c r="AN337" s="459"/>
      <c r="AQ337" s="436"/>
      <c r="AR337" s="436"/>
    </row>
    <row r="338" spans="1:46" s="418" customFormat="1" ht="12.5" customHeight="1">
      <c r="A338" s="465"/>
      <c r="B338" s="472"/>
      <c r="C338" s="1200"/>
      <c r="D338" s="1200"/>
      <c r="E338" s="1200"/>
      <c r="F338" s="1200"/>
      <c r="G338" s="1200"/>
      <c r="H338" s="1200"/>
      <c r="I338" s="1200"/>
      <c r="J338" s="1200"/>
      <c r="K338" s="1200"/>
      <c r="L338" s="1200"/>
      <c r="M338" s="1200"/>
      <c r="N338" s="1200"/>
      <c r="O338" s="1200"/>
      <c r="P338" s="1200"/>
      <c r="Q338" s="1200"/>
      <c r="R338" s="1200"/>
      <c r="S338" s="1200"/>
      <c r="T338" s="1200"/>
      <c r="U338" s="1200"/>
      <c r="V338" s="1200"/>
      <c r="W338" s="1200"/>
      <c r="X338" s="1200"/>
      <c r="Y338" s="1200"/>
      <c r="Z338" s="1200"/>
      <c r="AA338" s="1200"/>
      <c r="AB338" s="1200"/>
      <c r="AC338" s="1200"/>
      <c r="AD338" s="1200"/>
      <c r="AE338" s="1200"/>
      <c r="AF338" s="1200"/>
      <c r="AG338" s="1200"/>
      <c r="AH338" s="1200"/>
      <c r="AI338" s="1200"/>
      <c r="AJ338" s="1200"/>
      <c r="AK338" s="465"/>
      <c r="AL338" s="465"/>
      <c r="AM338" s="465"/>
      <c r="AN338" s="459"/>
      <c r="AQ338" s="436"/>
      <c r="AR338" s="436"/>
    </row>
    <row r="339" spans="1:46" s="418" customFormat="1" ht="12.75" customHeight="1">
      <c r="A339" s="465"/>
      <c r="B339" s="472"/>
      <c r="C339" s="1851" t="s">
        <v>2139</v>
      </c>
      <c r="D339" s="1851"/>
      <c r="E339" s="1851"/>
      <c r="F339" s="1851"/>
      <c r="G339" s="1851"/>
      <c r="H339" s="1851"/>
      <c r="I339" s="1851"/>
      <c r="J339" s="1851"/>
      <c r="K339" s="1851"/>
      <c r="L339" s="1851"/>
      <c r="M339" s="1851"/>
      <c r="N339" s="1851"/>
      <c r="O339" s="1851"/>
      <c r="P339" s="1851"/>
      <c r="Q339" s="1851"/>
      <c r="R339" s="1851"/>
      <c r="S339" s="1851"/>
      <c r="T339" s="1851"/>
      <c r="U339" s="1851"/>
      <c r="V339" s="1851"/>
      <c r="W339" s="1851"/>
      <c r="X339" s="1851"/>
      <c r="Y339" s="1851"/>
      <c r="Z339" s="1851"/>
      <c r="AA339" s="1851"/>
      <c r="AB339" s="1851"/>
      <c r="AC339" s="1851"/>
      <c r="AD339" s="1851"/>
      <c r="AE339" s="1851"/>
      <c r="AF339" s="1851"/>
      <c r="AG339" s="1851"/>
      <c r="AH339" s="1851"/>
      <c r="AI339" s="1851"/>
      <c r="AJ339" s="1851"/>
      <c r="AK339" s="465"/>
      <c r="AL339" s="465"/>
      <c r="AM339" s="465"/>
      <c r="AN339" s="459"/>
      <c r="AQ339" s="436"/>
      <c r="AR339" s="436"/>
    </row>
    <row r="340" spans="1:46" s="418" customFormat="1" ht="30" customHeight="1">
      <c r="A340" s="465"/>
      <c r="B340" s="472"/>
      <c r="C340" s="1851"/>
      <c r="D340" s="1851"/>
      <c r="E340" s="1851"/>
      <c r="F340" s="1851"/>
      <c r="G340" s="1851"/>
      <c r="H340" s="1851"/>
      <c r="I340" s="1851"/>
      <c r="J340" s="1851"/>
      <c r="K340" s="1851"/>
      <c r="L340" s="1851"/>
      <c r="M340" s="1851"/>
      <c r="N340" s="1851"/>
      <c r="O340" s="1851"/>
      <c r="P340" s="1851"/>
      <c r="Q340" s="1851"/>
      <c r="R340" s="1851"/>
      <c r="S340" s="1851"/>
      <c r="T340" s="1851"/>
      <c r="U340" s="1851"/>
      <c r="V340" s="1851"/>
      <c r="W340" s="1851"/>
      <c r="X340" s="1851"/>
      <c r="Y340" s="1851"/>
      <c r="Z340" s="1851"/>
      <c r="AA340" s="1851"/>
      <c r="AB340" s="1851"/>
      <c r="AC340" s="1851"/>
      <c r="AD340" s="1851"/>
      <c r="AE340" s="1851"/>
      <c r="AF340" s="1851"/>
      <c r="AG340" s="1851"/>
      <c r="AH340" s="1851"/>
      <c r="AI340" s="1851"/>
      <c r="AJ340" s="1851"/>
      <c r="AK340" s="465"/>
      <c r="AL340" s="465"/>
      <c r="AM340" s="465"/>
      <c r="AN340" s="459"/>
      <c r="AR340" s="436"/>
    </row>
    <row r="341" spans="1:46" s="418" customFormat="1" ht="12.75" customHeight="1">
      <c r="A341" s="465"/>
      <c r="B341" s="472"/>
      <c r="C341" s="1851"/>
      <c r="D341" s="1851"/>
      <c r="E341" s="1851"/>
      <c r="F341" s="1851"/>
      <c r="G341" s="1851"/>
      <c r="H341" s="1851"/>
      <c r="I341" s="1851"/>
      <c r="J341" s="1851"/>
      <c r="K341" s="1851"/>
      <c r="L341" s="1851"/>
      <c r="M341" s="1851"/>
      <c r="N341" s="1851"/>
      <c r="O341" s="1851"/>
      <c r="P341" s="1851"/>
      <c r="Q341" s="1851"/>
      <c r="R341" s="1851"/>
      <c r="S341" s="1851"/>
      <c r="T341" s="1851"/>
      <c r="U341" s="1851"/>
      <c r="V341" s="1851"/>
      <c r="W341" s="1851"/>
      <c r="X341" s="1851"/>
      <c r="Y341" s="1851"/>
      <c r="Z341" s="1851"/>
      <c r="AA341" s="1851"/>
      <c r="AB341" s="1851"/>
      <c r="AC341" s="1851"/>
      <c r="AD341" s="1851"/>
      <c r="AE341" s="1851"/>
      <c r="AF341" s="1851"/>
      <c r="AG341" s="1851"/>
      <c r="AH341" s="1851"/>
      <c r="AI341" s="1851"/>
      <c r="AJ341" s="1851"/>
      <c r="AK341" s="465"/>
      <c r="AL341" s="465"/>
      <c r="AM341" s="465"/>
      <c r="AN341" s="459"/>
      <c r="AR341" s="436"/>
    </row>
    <row r="342" spans="1:46" s="418" customFormat="1" ht="12.75" customHeight="1">
      <c r="A342" s="465"/>
      <c r="B342" s="472"/>
      <c r="C342" s="1851" t="s">
        <v>2140</v>
      </c>
      <c r="D342" s="1851"/>
      <c r="E342" s="1851"/>
      <c r="F342" s="1851"/>
      <c r="G342" s="1851"/>
      <c r="H342" s="1851"/>
      <c r="I342" s="1851"/>
      <c r="J342" s="1851"/>
      <c r="K342" s="1851"/>
      <c r="L342" s="1851"/>
      <c r="M342" s="1851"/>
      <c r="N342" s="1851"/>
      <c r="O342" s="1851"/>
      <c r="P342" s="1851"/>
      <c r="Q342" s="1851"/>
      <c r="R342" s="1851"/>
      <c r="S342" s="1851"/>
      <c r="T342" s="1851"/>
      <c r="U342" s="1851"/>
      <c r="V342" s="1851"/>
      <c r="W342" s="1851"/>
      <c r="X342" s="1851"/>
      <c r="Y342" s="1851"/>
      <c r="Z342" s="1851"/>
      <c r="AA342" s="1851"/>
      <c r="AB342" s="1851"/>
      <c r="AC342" s="1851"/>
      <c r="AD342" s="1851"/>
      <c r="AE342" s="1851"/>
      <c r="AF342" s="1851"/>
      <c r="AG342" s="1851"/>
      <c r="AH342" s="1851"/>
      <c r="AI342" s="1851"/>
      <c r="AJ342" s="1851"/>
      <c r="AK342" s="465"/>
      <c r="AL342" s="465"/>
      <c r="AM342" s="465"/>
      <c r="AN342" s="459"/>
      <c r="AQ342" s="436"/>
      <c r="AR342" s="436"/>
    </row>
    <row r="343" spans="1:46" s="418" customFormat="1" ht="12.75" customHeight="1">
      <c r="A343" s="465"/>
      <c r="B343" s="472"/>
      <c r="C343" s="1851"/>
      <c r="D343" s="1851"/>
      <c r="E343" s="1851"/>
      <c r="F343" s="1851"/>
      <c r="G343" s="1851"/>
      <c r="H343" s="1851"/>
      <c r="I343" s="1851"/>
      <c r="J343" s="1851"/>
      <c r="K343" s="1851"/>
      <c r="L343" s="1851"/>
      <c r="M343" s="1851"/>
      <c r="N343" s="1851"/>
      <c r="O343" s="1851"/>
      <c r="P343" s="1851"/>
      <c r="Q343" s="1851"/>
      <c r="R343" s="1851"/>
      <c r="S343" s="1851"/>
      <c r="T343" s="1851"/>
      <c r="U343" s="1851"/>
      <c r="V343" s="1851"/>
      <c r="W343" s="1851"/>
      <c r="X343" s="1851"/>
      <c r="Y343" s="1851"/>
      <c r="Z343" s="1851"/>
      <c r="AA343" s="1851"/>
      <c r="AB343" s="1851"/>
      <c r="AC343" s="1851"/>
      <c r="AD343" s="1851"/>
      <c r="AE343" s="1851"/>
      <c r="AF343" s="1851"/>
      <c r="AG343" s="1851"/>
      <c r="AH343" s="1851"/>
      <c r="AI343" s="1851"/>
      <c r="AJ343" s="1851"/>
      <c r="AK343" s="465"/>
      <c r="AL343" s="465"/>
      <c r="AM343" s="465"/>
      <c r="AN343" s="459"/>
      <c r="AQ343" s="436"/>
      <c r="AR343" s="436"/>
    </row>
    <row r="344" spans="1:46" s="418" customFormat="1" ht="13.25" customHeight="1">
      <c r="A344" s="465"/>
      <c r="B344" s="472"/>
      <c r="C344" s="1851"/>
      <c r="D344" s="1851"/>
      <c r="E344" s="1851"/>
      <c r="F344" s="1851"/>
      <c r="G344" s="1851"/>
      <c r="H344" s="1851"/>
      <c r="I344" s="1851"/>
      <c r="J344" s="1851"/>
      <c r="K344" s="1851"/>
      <c r="L344" s="1851"/>
      <c r="M344" s="1851"/>
      <c r="N344" s="1851"/>
      <c r="O344" s="1851"/>
      <c r="P344" s="1851"/>
      <c r="Q344" s="1851"/>
      <c r="R344" s="1851"/>
      <c r="S344" s="1851"/>
      <c r="T344" s="1851"/>
      <c r="U344" s="1851"/>
      <c r="V344" s="1851"/>
      <c r="W344" s="1851"/>
      <c r="X344" s="1851"/>
      <c r="Y344" s="1851"/>
      <c r="Z344" s="1851"/>
      <c r="AA344" s="1851"/>
      <c r="AB344" s="1851"/>
      <c r="AC344" s="1851"/>
      <c r="AD344" s="1851"/>
      <c r="AE344" s="1851"/>
      <c r="AF344" s="1851"/>
      <c r="AG344" s="1851"/>
      <c r="AH344" s="1851"/>
      <c r="AI344" s="1851"/>
      <c r="AJ344" s="1851"/>
      <c r="AK344" s="465"/>
      <c r="AL344" s="465"/>
      <c r="AM344" s="465"/>
      <c r="AN344" s="459"/>
      <c r="AQ344" s="436"/>
      <c r="AR344" s="436"/>
    </row>
    <row r="345" spans="1:46" s="418" customFormat="1" ht="12.75" customHeight="1">
      <c r="A345" s="465"/>
      <c r="B345" s="472"/>
      <c r="C345" s="1851"/>
      <c r="D345" s="1851"/>
      <c r="E345" s="1851"/>
      <c r="F345" s="1851"/>
      <c r="G345" s="1851"/>
      <c r="H345" s="1851"/>
      <c r="I345" s="1851"/>
      <c r="J345" s="1851"/>
      <c r="K345" s="1851"/>
      <c r="L345" s="1851"/>
      <c r="M345" s="1851"/>
      <c r="N345" s="1851"/>
      <c r="O345" s="1851"/>
      <c r="P345" s="1851"/>
      <c r="Q345" s="1851"/>
      <c r="R345" s="1851"/>
      <c r="S345" s="1851"/>
      <c r="T345" s="1851"/>
      <c r="U345" s="1851"/>
      <c r="V345" s="1851"/>
      <c r="W345" s="1851"/>
      <c r="X345" s="1851"/>
      <c r="Y345" s="1851"/>
      <c r="Z345" s="1851"/>
      <c r="AA345" s="1851"/>
      <c r="AB345" s="1851"/>
      <c r="AC345" s="1851"/>
      <c r="AD345" s="1851"/>
      <c r="AE345" s="1851"/>
      <c r="AF345" s="1851"/>
      <c r="AG345" s="1851"/>
      <c r="AH345" s="1851"/>
      <c r="AI345" s="1851"/>
      <c r="AJ345" s="1851"/>
      <c r="AK345" s="465"/>
      <c r="AL345" s="465"/>
      <c r="AM345" s="465"/>
      <c r="AN345" s="459"/>
      <c r="AO345" s="549"/>
      <c r="AP345" s="549"/>
      <c r="AQ345" s="436"/>
    </row>
    <row r="346" spans="1:46" s="418" customFormat="1" ht="11.75" customHeight="1">
      <c r="A346" s="465"/>
      <c r="B346" s="472"/>
      <c r="C346" s="1851"/>
      <c r="D346" s="1851"/>
      <c r="E346" s="1851"/>
      <c r="F346" s="1851"/>
      <c r="G346" s="1851"/>
      <c r="H346" s="1851"/>
      <c r="I346" s="1851"/>
      <c r="J346" s="1851"/>
      <c r="K346" s="1851"/>
      <c r="L346" s="1851"/>
      <c r="M346" s="1851"/>
      <c r="N346" s="1851"/>
      <c r="O346" s="1851"/>
      <c r="P346" s="1851"/>
      <c r="Q346" s="1851"/>
      <c r="R346" s="1851"/>
      <c r="S346" s="1851"/>
      <c r="T346" s="1851"/>
      <c r="U346" s="1851"/>
      <c r="V346" s="1851"/>
      <c r="W346" s="1851"/>
      <c r="X346" s="1851"/>
      <c r="Y346" s="1851"/>
      <c r="Z346" s="1851"/>
      <c r="AA346" s="1851"/>
      <c r="AB346" s="1851"/>
      <c r="AC346" s="1851"/>
      <c r="AD346" s="1851"/>
      <c r="AE346" s="1851"/>
      <c r="AF346" s="1851"/>
      <c r="AG346" s="1851"/>
      <c r="AH346" s="1851"/>
      <c r="AI346" s="1851"/>
      <c r="AJ346" s="1851"/>
      <c r="AK346" s="465"/>
      <c r="AL346" s="465"/>
      <c r="AM346" s="465"/>
      <c r="AN346" s="459"/>
      <c r="AO346" s="550" t="s">
        <v>17</v>
      </c>
      <c r="AP346" s="551">
        <f>IF(C370="Yes",5,0)</f>
        <v>5</v>
      </c>
      <c r="AS346" s="408" t="s">
        <v>2141</v>
      </c>
    </row>
    <row r="347" spans="1:46" s="418" customFormat="1" ht="12.75" customHeight="1">
      <c r="A347" s="465"/>
      <c r="B347" s="472"/>
      <c r="C347" s="1851"/>
      <c r="D347" s="1851"/>
      <c r="E347" s="1851"/>
      <c r="F347" s="1851"/>
      <c r="G347" s="1851"/>
      <c r="H347" s="1851"/>
      <c r="I347" s="1851"/>
      <c r="J347" s="1851"/>
      <c r="K347" s="1851"/>
      <c r="L347" s="1851"/>
      <c r="M347" s="1851"/>
      <c r="N347" s="1851"/>
      <c r="O347" s="1851"/>
      <c r="P347" s="1851"/>
      <c r="Q347" s="1851"/>
      <c r="R347" s="1851"/>
      <c r="S347" s="1851"/>
      <c r="T347" s="1851"/>
      <c r="U347" s="1851"/>
      <c r="V347" s="1851"/>
      <c r="W347" s="1851"/>
      <c r="X347" s="1851"/>
      <c r="Y347" s="1851"/>
      <c r="Z347" s="1851"/>
      <c r="AA347" s="1851"/>
      <c r="AB347" s="1851"/>
      <c r="AC347" s="1851"/>
      <c r="AD347" s="1851"/>
      <c r="AE347" s="1851"/>
      <c r="AF347" s="1851"/>
      <c r="AG347" s="1851"/>
      <c r="AH347" s="1851"/>
      <c r="AI347" s="1851"/>
      <c r="AJ347" s="1851"/>
      <c r="AK347" s="465"/>
      <c r="AL347" s="465"/>
      <c r="AM347" s="465"/>
      <c r="AN347" s="459"/>
      <c r="AO347" s="550" t="s">
        <v>30</v>
      </c>
      <c r="AP347" s="551">
        <f>IF(C378="Yes",5,0)</f>
        <v>0</v>
      </c>
      <c r="AS347" s="1816">
        <f>IF(Application!D211="Non-Targeted",(SUM(AQ355+AQ364)),AS351)</f>
        <v>10</v>
      </c>
      <c r="AT347" s="1816"/>
    </row>
    <row r="348" spans="1:46" s="418" customFormat="1" ht="12.75" customHeight="1">
      <c r="A348" s="465"/>
      <c r="B348" s="472"/>
      <c r="C348" s="1851"/>
      <c r="D348" s="1851"/>
      <c r="E348" s="1851"/>
      <c r="F348" s="1851"/>
      <c r="G348" s="1851"/>
      <c r="H348" s="1851"/>
      <c r="I348" s="1851"/>
      <c r="J348" s="1851"/>
      <c r="K348" s="1851"/>
      <c r="L348" s="1851"/>
      <c r="M348" s="1851"/>
      <c r="N348" s="1851"/>
      <c r="O348" s="1851"/>
      <c r="P348" s="1851"/>
      <c r="Q348" s="1851"/>
      <c r="R348" s="1851"/>
      <c r="S348" s="1851"/>
      <c r="T348" s="1851"/>
      <c r="U348" s="1851"/>
      <c r="V348" s="1851"/>
      <c r="W348" s="1851"/>
      <c r="X348" s="1851"/>
      <c r="Y348" s="1851"/>
      <c r="Z348" s="1851"/>
      <c r="AA348" s="1851"/>
      <c r="AB348" s="1851"/>
      <c r="AC348" s="1851"/>
      <c r="AD348" s="1851"/>
      <c r="AE348" s="1851"/>
      <c r="AF348" s="1851"/>
      <c r="AG348" s="1851"/>
      <c r="AH348" s="1851"/>
      <c r="AI348" s="1851"/>
      <c r="AJ348" s="1851"/>
      <c r="AK348" s="465"/>
      <c r="AL348" s="465"/>
      <c r="AM348" s="465"/>
      <c r="AN348" s="459"/>
      <c r="AO348" s="550" t="s">
        <v>38</v>
      </c>
      <c r="AP348" s="551">
        <f>IF(C386="Yes",7,0)</f>
        <v>0</v>
      </c>
      <c r="AS348" s="408" t="s">
        <v>2142</v>
      </c>
    </row>
    <row r="349" spans="1:46" s="418" customFormat="1" ht="12.75" customHeight="1">
      <c r="A349" s="465"/>
      <c r="B349" s="472"/>
      <c r="C349" s="1851"/>
      <c r="D349" s="1851"/>
      <c r="E349" s="1851"/>
      <c r="F349" s="1851"/>
      <c r="G349" s="1851"/>
      <c r="H349" s="1851"/>
      <c r="I349" s="1851"/>
      <c r="J349" s="1851"/>
      <c r="K349" s="1851"/>
      <c r="L349" s="1851"/>
      <c r="M349" s="1851"/>
      <c r="N349" s="1851"/>
      <c r="O349" s="1851"/>
      <c r="P349" s="1851"/>
      <c r="Q349" s="1851"/>
      <c r="R349" s="1851"/>
      <c r="S349" s="1851"/>
      <c r="T349" s="1851"/>
      <c r="U349" s="1851"/>
      <c r="V349" s="1851"/>
      <c r="W349" s="1851"/>
      <c r="X349" s="1851"/>
      <c r="Y349" s="1851"/>
      <c r="Z349" s="1851"/>
      <c r="AA349" s="1851"/>
      <c r="AB349" s="1851"/>
      <c r="AC349" s="1851"/>
      <c r="AD349" s="1851"/>
      <c r="AE349" s="1851"/>
      <c r="AF349" s="1851"/>
      <c r="AG349" s="1851"/>
      <c r="AH349" s="1851"/>
      <c r="AI349" s="1851"/>
      <c r="AJ349" s="1851"/>
      <c r="AK349" s="465"/>
      <c r="AL349" s="465"/>
      <c r="AM349" s="465"/>
      <c r="AN349" s="459"/>
      <c r="AO349" s="459"/>
      <c r="AP349" s="551">
        <f>IF(C388="Yes",5,0)</f>
        <v>0</v>
      </c>
      <c r="AS349" s="1816">
        <f>IF(AND(AQ355&gt;0,AQ364&gt;0),(AQ355+AQ364)/2,0)</f>
        <v>0</v>
      </c>
      <c r="AT349" s="1816"/>
    </row>
    <row r="350" spans="1:46" s="418" customFormat="1" ht="12.75" customHeight="1">
      <c r="A350" s="465"/>
      <c r="B350" s="472"/>
      <c r="C350" s="1851"/>
      <c r="D350" s="1851"/>
      <c r="E350" s="1851"/>
      <c r="F350" s="1851"/>
      <c r="G350" s="1851"/>
      <c r="H350" s="1851"/>
      <c r="I350" s="1851"/>
      <c r="J350" s="1851"/>
      <c r="K350" s="1851"/>
      <c r="L350" s="1851"/>
      <c r="M350" s="1851"/>
      <c r="N350" s="1851"/>
      <c r="O350" s="1851"/>
      <c r="P350" s="1851"/>
      <c r="Q350" s="1851"/>
      <c r="R350" s="1851"/>
      <c r="S350" s="1851"/>
      <c r="T350" s="1851"/>
      <c r="U350" s="1851"/>
      <c r="V350" s="1851"/>
      <c r="W350" s="1851"/>
      <c r="X350" s="1851"/>
      <c r="Y350" s="1851"/>
      <c r="Z350" s="1851"/>
      <c r="AA350" s="1851"/>
      <c r="AB350" s="1851"/>
      <c r="AC350" s="1851"/>
      <c r="AD350" s="1851"/>
      <c r="AE350" s="1851"/>
      <c r="AF350" s="1851"/>
      <c r="AG350" s="1851"/>
      <c r="AH350" s="1851"/>
      <c r="AI350" s="1851"/>
      <c r="AJ350" s="1851"/>
      <c r="AK350" s="465"/>
      <c r="AL350" s="465"/>
      <c r="AM350" s="465"/>
      <c r="AN350" s="459"/>
      <c r="AO350" s="550" t="s">
        <v>81</v>
      </c>
      <c r="AP350" s="551">
        <f>IF(C396="Yes",5,0)</f>
        <v>5</v>
      </c>
      <c r="AS350" s="408" t="s">
        <v>2143</v>
      </c>
    </row>
    <row r="351" spans="1:46" s="418" customFormat="1" ht="12.75" customHeight="1">
      <c r="A351" s="465"/>
      <c r="B351" s="472"/>
      <c r="C351" s="1945" t="s">
        <v>2144</v>
      </c>
      <c r="D351" s="1945"/>
      <c r="E351" s="1945"/>
      <c r="F351" s="1945"/>
      <c r="G351" s="1945"/>
      <c r="H351" s="1945"/>
      <c r="I351" s="1945"/>
      <c r="J351" s="1945"/>
      <c r="K351" s="1945"/>
      <c r="L351" s="1945"/>
      <c r="M351" s="1945"/>
      <c r="N351" s="1945"/>
      <c r="O351" s="1945"/>
      <c r="P351" s="1945"/>
      <c r="Q351" s="1945"/>
      <c r="R351" s="1945"/>
      <c r="S351" s="1945"/>
      <c r="T351" s="1945"/>
      <c r="U351" s="1945"/>
      <c r="V351" s="1945"/>
      <c r="W351" s="1945"/>
      <c r="X351" s="1945"/>
      <c r="Y351" s="1945"/>
      <c r="Z351" s="1945"/>
      <c r="AA351" s="1945"/>
      <c r="AB351" s="1945"/>
      <c r="AC351" s="1945"/>
      <c r="AD351" s="1945"/>
      <c r="AE351" s="1945"/>
      <c r="AF351" s="1945"/>
      <c r="AG351" s="1945"/>
      <c r="AH351" s="1945"/>
      <c r="AI351" s="1945"/>
      <c r="AJ351" s="1945"/>
      <c r="AK351" s="465"/>
      <c r="AL351" s="465"/>
      <c r="AM351" s="465"/>
      <c r="AN351" s="459"/>
      <c r="AO351" s="459"/>
      <c r="AP351" s="551">
        <f>IF(C398="Yes",3,0)</f>
        <v>0</v>
      </c>
      <c r="AS351" s="1816">
        <f>IF(AQ355=0,AQ364,AQ355)</f>
        <v>10</v>
      </c>
      <c r="AT351" s="1816"/>
    </row>
    <row r="352" spans="1:46" s="418" customFormat="1" ht="12.75" customHeight="1">
      <c r="A352" s="465"/>
      <c r="B352" s="472"/>
      <c r="C352" s="1945"/>
      <c r="D352" s="1945"/>
      <c r="E352" s="1945"/>
      <c r="F352" s="1945"/>
      <c r="G352" s="1945"/>
      <c r="H352" s="1945"/>
      <c r="I352" s="1945"/>
      <c r="J352" s="1945"/>
      <c r="K352" s="1945"/>
      <c r="L352" s="1945"/>
      <c r="M352" s="1945"/>
      <c r="N352" s="1945"/>
      <c r="O352" s="1945"/>
      <c r="P352" s="1945"/>
      <c r="Q352" s="1945"/>
      <c r="R352" s="1945"/>
      <c r="S352" s="1945"/>
      <c r="T352" s="1945"/>
      <c r="U352" s="1945"/>
      <c r="V352" s="1945"/>
      <c r="W352" s="1945"/>
      <c r="X352" s="1945"/>
      <c r="Y352" s="1945"/>
      <c r="Z352" s="1945"/>
      <c r="AA352" s="1945"/>
      <c r="AB352" s="1945"/>
      <c r="AC352" s="1945"/>
      <c r="AD352" s="1945"/>
      <c r="AE352" s="1945"/>
      <c r="AF352" s="1945"/>
      <c r="AG352" s="1945"/>
      <c r="AH352" s="1945"/>
      <c r="AI352" s="1945"/>
      <c r="AJ352" s="1945"/>
      <c r="AK352" s="465"/>
      <c r="AL352" s="465"/>
      <c r="AM352" s="465"/>
      <c r="AN352" s="459"/>
      <c r="AO352" s="550" t="s">
        <v>85</v>
      </c>
      <c r="AP352" s="551">
        <f>IF(C401="Yes",5,0)</f>
        <v>0</v>
      </c>
    </row>
    <row r="353" spans="1:81" s="418" customFormat="1" ht="12.75" customHeight="1">
      <c r="A353" s="465"/>
      <c r="B353" s="472"/>
      <c r="C353" s="1945"/>
      <c r="D353" s="1945"/>
      <c r="E353" s="1945"/>
      <c r="F353" s="1945"/>
      <c r="G353" s="1945"/>
      <c r="H353" s="1945"/>
      <c r="I353" s="1945"/>
      <c r="J353" s="1945"/>
      <c r="K353" s="1945"/>
      <c r="L353" s="1945"/>
      <c r="M353" s="1945"/>
      <c r="N353" s="1945"/>
      <c r="O353" s="1945"/>
      <c r="P353" s="1945"/>
      <c r="Q353" s="1945"/>
      <c r="R353" s="1945"/>
      <c r="S353" s="1945"/>
      <c r="T353" s="1945"/>
      <c r="U353" s="1945"/>
      <c r="V353" s="1945"/>
      <c r="W353" s="1945"/>
      <c r="X353" s="1945"/>
      <c r="Y353" s="1945"/>
      <c r="Z353" s="1945"/>
      <c r="AA353" s="1945"/>
      <c r="AB353" s="1945"/>
      <c r="AC353" s="1945"/>
      <c r="AD353" s="1945"/>
      <c r="AE353" s="1945"/>
      <c r="AF353" s="1945"/>
      <c r="AG353" s="1945"/>
      <c r="AH353" s="1945"/>
      <c r="AI353" s="1945"/>
      <c r="AJ353" s="1945"/>
      <c r="AK353" s="465"/>
      <c r="AL353" s="465"/>
      <c r="AM353" s="465"/>
      <c r="AN353" s="459"/>
      <c r="AO353" s="550" t="s">
        <v>1463</v>
      </c>
      <c r="AP353" s="551">
        <f>IF(C410="Yes",5,0)</f>
        <v>0</v>
      </c>
    </row>
    <row r="354" spans="1:81" s="418" customFormat="1" ht="11.75" customHeight="1">
      <c r="A354" s="465"/>
      <c r="B354" s="472"/>
      <c r="C354" s="1945"/>
      <c r="D354" s="1945"/>
      <c r="E354" s="1945"/>
      <c r="F354" s="1945"/>
      <c r="G354" s="1945"/>
      <c r="H354" s="1945"/>
      <c r="I354" s="1945"/>
      <c r="J354" s="1945"/>
      <c r="K354" s="1945"/>
      <c r="L354" s="1945"/>
      <c r="M354" s="1945"/>
      <c r="N354" s="1945"/>
      <c r="O354" s="1945"/>
      <c r="P354" s="1945"/>
      <c r="Q354" s="1945"/>
      <c r="R354" s="1945"/>
      <c r="S354" s="1945"/>
      <c r="T354" s="1945"/>
      <c r="U354" s="1945"/>
      <c r="V354" s="1945"/>
      <c r="W354" s="1945"/>
      <c r="X354" s="1945"/>
      <c r="Y354" s="1945"/>
      <c r="Z354" s="1945"/>
      <c r="AA354" s="1945"/>
      <c r="AB354" s="1945"/>
      <c r="AC354" s="1945"/>
      <c r="AD354" s="1945"/>
      <c r="AE354" s="1945"/>
      <c r="AF354" s="1945"/>
      <c r="AG354" s="1945"/>
      <c r="AH354" s="1945"/>
      <c r="AI354" s="1945"/>
      <c r="AJ354" s="1945"/>
      <c r="AK354" s="465"/>
      <c r="AL354" s="465"/>
      <c r="AM354" s="465"/>
      <c r="AN354" s="459"/>
      <c r="AO354" s="552"/>
      <c r="AP354" s="553">
        <f>IF(C412="Yes",3,0)</f>
        <v>0</v>
      </c>
    </row>
    <row r="355" spans="1:81" s="418" customFormat="1" ht="12.5" customHeight="1">
      <c r="A355" s="465"/>
      <c r="B355" s="472"/>
      <c r="C355" s="1945"/>
      <c r="D355" s="1945"/>
      <c r="E355" s="1945"/>
      <c r="F355" s="1945"/>
      <c r="G355" s="1945"/>
      <c r="H355" s="1945"/>
      <c r="I355" s="1945"/>
      <c r="J355" s="1945"/>
      <c r="K355" s="1945"/>
      <c r="L355" s="1945"/>
      <c r="M355" s="1945"/>
      <c r="N355" s="1945"/>
      <c r="O355" s="1945"/>
      <c r="P355" s="1945"/>
      <c r="Q355" s="1945"/>
      <c r="R355" s="1945"/>
      <c r="S355" s="1945"/>
      <c r="T355" s="1945"/>
      <c r="U355" s="1945"/>
      <c r="V355" s="1945"/>
      <c r="W355" s="1945"/>
      <c r="X355" s="1945"/>
      <c r="Y355" s="1945"/>
      <c r="Z355" s="1945"/>
      <c r="AA355" s="1945"/>
      <c r="AB355" s="1945"/>
      <c r="AC355" s="1945"/>
      <c r="AD355" s="1945"/>
      <c r="AE355" s="1945"/>
      <c r="AF355" s="1945"/>
      <c r="AG355" s="1945"/>
      <c r="AH355" s="1945"/>
      <c r="AI355" s="1945"/>
      <c r="AJ355" s="1945"/>
      <c r="AK355" s="465"/>
      <c r="AL355" s="465"/>
      <c r="AM355" s="465"/>
      <c r="AN355" s="459"/>
      <c r="AO355" s="554" t="s">
        <v>2145</v>
      </c>
      <c r="AP355" s="555">
        <f>SUM(AP346:AP354)</f>
        <v>10</v>
      </c>
      <c r="AQ355" s="1854">
        <f>IF(AP355&gt;0,AP355,0)</f>
        <v>10</v>
      </c>
      <c r="AR355" s="1854"/>
    </row>
    <row r="356" spans="1:81" s="418" customFormat="1" ht="12.75" customHeight="1">
      <c r="A356" s="465"/>
      <c r="B356" s="472"/>
      <c r="C356" s="1945"/>
      <c r="D356" s="1945"/>
      <c r="E356" s="1945"/>
      <c r="F356" s="1945"/>
      <c r="G356" s="1945"/>
      <c r="H356" s="1945"/>
      <c r="I356" s="1945"/>
      <c r="J356" s="1945"/>
      <c r="K356" s="1945"/>
      <c r="L356" s="1945"/>
      <c r="M356" s="1945"/>
      <c r="N356" s="1945"/>
      <c r="O356" s="1945"/>
      <c r="P356" s="1945"/>
      <c r="Q356" s="1945"/>
      <c r="R356" s="1945"/>
      <c r="S356" s="1945"/>
      <c r="T356" s="1945"/>
      <c r="U356" s="1945"/>
      <c r="V356" s="1945"/>
      <c r="W356" s="1945"/>
      <c r="X356" s="1945"/>
      <c r="Y356" s="1945"/>
      <c r="Z356" s="1945"/>
      <c r="AA356" s="1945"/>
      <c r="AB356" s="1945"/>
      <c r="AC356" s="1945"/>
      <c r="AD356" s="1945"/>
      <c r="AE356" s="1945"/>
      <c r="AF356" s="1945"/>
      <c r="AG356" s="1945"/>
      <c r="AH356" s="1945"/>
      <c r="AI356" s="1945"/>
      <c r="AJ356" s="1945"/>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1464</v>
      </c>
      <c r="AP357" s="551">
        <f>IF(C419="Yes",5,0)</f>
        <v>0</v>
      </c>
    </row>
    <row r="358" spans="1:81" s="418" customFormat="1" ht="12.75" customHeight="1">
      <c r="A358" s="465"/>
      <c r="B358" s="472"/>
      <c r="C358" s="1851" t="s">
        <v>2146</v>
      </c>
      <c r="D358" s="1851"/>
      <c r="E358" s="1851"/>
      <c r="F358" s="1851"/>
      <c r="G358" s="1851"/>
      <c r="H358" s="1851"/>
      <c r="I358" s="1851"/>
      <c r="J358" s="1851"/>
      <c r="K358" s="1851"/>
      <c r="L358" s="1851"/>
      <c r="M358" s="1851"/>
      <c r="N358" s="1851"/>
      <c r="O358" s="1851"/>
      <c r="P358" s="1851"/>
      <c r="Q358" s="1851"/>
      <c r="R358" s="1851"/>
      <c r="S358" s="1851"/>
      <c r="T358" s="1851"/>
      <c r="U358" s="1851"/>
      <c r="V358" s="1851"/>
      <c r="W358" s="1851"/>
      <c r="X358" s="1851"/>
      <c r="Y358" s="1851"/>
      <c r="Z358" s="1851"/>
      <c r="AA358" s="1851"/>
      <c r="AB358" s="1851"/>
      <c r="AC358" s="1851"/>
      <c r="AD358" s="1851"/>
      <c r="AE358" s="1851"/>
      <c r="AF358" s="1851"/>
      <c r="AG358" s="1851"/>
      <c r="AH358" s="1851"/>
      <c r="AI358" s="1851"/>
      <c r="AJ358" s="1851"/>
      <c r="AK358" s="465"/>
      <c r="AL358" s="465"/>
      <c r="AM358" s="465"/>
      <c r="AN358" s="459"/>
      <c r="AO358" s="550" t="s">
        <v>1465</v>
      </c>
      <c r="AP358" s="551">
        <f>IF(C431="Yes",5,0)</f>
        <v>0</v>
      </c>
    </row>
    <row r="359" spans="1:81" s="418" customFormat="1" ht="12.75" customHeight="1">
      <c r="A359" s="465"/>
      <c r="B359" s="472"/>
      <c r="C359" s="1851"/>
      <c r="D359" s="1851"/>
      <c r="E359" s="1851"/>
      <c r="F359" s="1851"/>
      <c r="G359" s="1851"/>
      <c r="H359" s="1851"/>
      <c r="I359" s="1851"/>
      <c r="J359" s="1851"/>
      <c r="K359" s="1851"/>
      <c r="L359" s="1851"/>
      <c r="M359" s="1851"/>
      <c r="N359" s="1851"/>
      <c r="O359" s="1851"/>
      <c r="P359" s="1851"/>
      <c r="Q359" s="1851"/>
      <c r="R359" s="1851"/>
      <c r="S359" s="1851"/>
      <c r="T359" s="1851"/>
      <c r="U359" s="1851"/>
      <c r="V359" s="1851"/>
      <c r="W359" s="1851"/>
      <c r="X359" s="1851"/>
      <c r="Y359" s="1851"/>
      <c r="Z359" s="1851"/>
      <c r="AA359" s="1851"/>
      <c r="AB359" s="1851"/>
      <c r="AC359" s="1851"/>
      <c r="AD359" s="1851"/>
      <c r="AE359" s="1851"/>
      <c r="AF359" s="1851"/>
      <c r="AG359" s="1851"/>
      <c r="AH359" s="1851"/>
      <c r="AI359" s="1851"/>
      <c r="AJ359" s="1851"/>
      <c r="AK359" s="465"/>
      <c r="AL359" s="465"/>
      <c r="AM359" s="465"/>
      <c r="AN359" s="459"/>
      <c r="AO359" s="550" t="s">
        <v>1466</v>
      </c>
      <c r="AP359" s="551">
        <f>IF(C438="Yes",5,0)</f>
        <v>0</v>
      </c>
    </row>
    <row r="360" spans="1:81" s="418" customFormat="1" ht="68" customHeight="1">
      <c r="A360" s="465"/>
      <c r="B360" s="472"/>
      <c r="C360" s="1851"/>
      <c r="D360" s="1851"/>
      <c r="E360" s="1851"/>
      <c r="F360" s="1851"/>
      <c r="G360" s="1851"/>
      <c r="H360" s="1851"/>
      <c r="I360" s="1851"/>
      <c r="J360" s="1851"/>
      <c r="K360" s="1851"/>
      <c r="L360" s="1851"/>
      <c r="M360" s="1851"/>
      <c r="N360" s="1851"/>
      <c r="O360" s="1851"/>
      <c r="P360" s="1851"/>
      <c r="Q360" s="1851"/>
      <c r="R360" s="1851"/>
      <c r="S360" s="1851"/>
      <c r="T360" s="1851"/>
      <c r="U360" s="1851"/>
      <c r="V360" s="1851"/>
      <c r="W360" s="1851"/>
      <c r="X360" s="1851"/>
      <c r="Y360" s="1851"/>
      <c r="Z360" s="1851"/>
      <c r="AA360" s="1851"/>
      <c r="AB360" s="1851"/>
      <c r="AC360" s="1851"/>
      <c r="AD360" s="1851"/>
      <c r="AE360" s="1851"/>
      <c r="AF360" s="1851"/>
      <c r="AG360" s="1851"/>
      <c r="AH360" s="1851"/>
      <c r="AI360" s="1851"/>
      <c r="AJ360" s="1851"/>
      <c r="AK360" s="465"/>
      <c r="AL360" s="465"/>
      <c r="AM360" s="465"/>
      <c r="AN360" s="459"/>
      <c r="AO360" s="550" t="s">
        <v>1467</v>
      </c>
      <c r="AP360" s="556">
        <f>IF(C442="Yes",5,0)</f>
        <v>0</v>
      </c>
    </row>
    <row r="361" spans="1:81" s="418" customFormat="1" ht="12.5" customHeight="1">
      <c r="A361" s="465"/>
      <c r="B361" s="472"/>
      <c r="C361" s="418" t="s">
        <v>2147</v>
      </c>
      <c r="AF361" s="465"/>
      <c r="AG361" s="465"/>
      <c r="AH361" s="465"/>
      <c r="AI361" s="465"/>
      <c r="AJ361" s="465"/>
      <c r="AK361" s="465"/>
      <c r="AL361" s="465"/>
      <c r="AM361" s="465"/>
      <c r="AN361" s="459"/>
      <c r="AO361" s="550" t="s">
        <v>1468</v>
      </c>
      <c r="AP361" s="551">
        <f>IF(C446="Yes",5,0)</f>
        <v>0</v>
      </c>
    </row>
    <row r="362" spans="1:81" s="418" customFormat="1" ht="12.75" customHeight="1">
      <c r="A362" s="465"/>
      <c r="B362" s="472"/>
      <c r="C362" s="557" t="s">
        <v>2148</v>
      </c>
      <c r="D362" s="558"/>
      <c r="E362" s="558"/>
      <c r="F362" s="558"/>
      <c r="G362" s="558"/>
      <c r="H362" s="558"/>
      <c r="I362" s="558"/>
      <c r="J362" s="558"/>
      <c r="K362" s="558"/>
      <c r="L362" s="558"/>
      <c r="M362" s="524"/>
      <c r="N362" s="524"/>
      <c r="O362" s="559"/>
      <c r="P362" s="558"/>
      <c r="Q362" s="558"/>
      <c r="R362" s="524"/>
      <c r="S362" s="524"/>
      <c r="T362" s="558"/>
      <c r="U362" s="1852">
        <f>Application!CS660-U363</f>
        <v>114</v>
      </c>
      <c r="V362" s="1852"/>
      <c r="W362" s="1852"/>
      <c r="X362" s="558"/>
      <c r="Y362" s="558"/>
      <c r="Z362" s="558"/>
      <c r="AA362" s="560"/>
      <c r="AB362" s="561"/>
      <c r="AC362" s="561"/>
      <c r="AD362" s="561"/>
      <c r="AE362" s="465"/>
      <c r="AF362" s="465"/>
      <c r="AG362" s="465"/>
      <c r="AH362" s="465"/>
      <c r="AI362" s="465"/>
      <c r="AJ362" s="465"/>
      <c r="AK362" s="465"/>
      <c r="AL362" s="465"/>
      <c r="AM362" s="465"/>
      <c r="AN362" s="459"/>
      <c r="AO362" s="550" t="s">
        <v>1469</v>
      </c>
      <c r="AP362" s="551">
        <f>IF(C455="Yes",5,0)</f>
        <v>0</v>
      </c>
    </row>
    <row r="363" spans="1:81" s="418" customFormat="1" ht="12.75" customHeight="1">
      <c r="A363" s="465"/>
      <c r="B363" s="472"/>
      <c r="C363" s="562" t="s">
        <v>2149</v>
      </c>
      <c r="D363" s="549"/>
      <c r="E363" s="549"/>
      <c r="F363" s="549"/>
      <c r="G363" s="549"/>
      <c r="H363" s="549"/>
      <c r="I363" s="549"/>
      <c r="J363" s="549"/>
      <c r="K363" s="549"/>
      <c r="L363" s="549"/>
      <c r="M363" s="549"/>
      <c r="N363" s="549"/>
      <c r="O363" s="549"/>
      <c r="P363" s="549"/>
      <c r="Q363" s="549"/>
      <c r="R363" s="549"/>
      <c r="S363" s="549"/>
      <c r="T363" s="549"/>
      <c r="U363" s="1853">
        <f>IF(Application!D211="SRO",Application!CS634,Application!AG756)</f>
        <v>0</v>
      </c>
      <c r="V363" s="1853"/>
      <c r="W363" s="1853"/>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2145</v>
      </c>
      <c r="AP364" s="566">
        <f>SUM(AP357:AP362)</f>
        <v>0</v>
      </c>
      <c r="AQ364" s="1854">
        <f>IF(AP364&gt;0,AP364,0)</f>
        <v>0</v>
      </c>
      <c r="AR364" s="1854"/>
    </row>
    <row r="365" spans="1:81" s="418" customFormat="1" ht="12.75" customHeight="1">
      <c r="A365" s="465"/>
      <c r="B365" s="12"/>
      <c r="C365" s="567" t="s">
        <v>2150</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1970</v>
      </c>
      <c r="F366" s="1845" t="s">
        <v>2151</v>
      </c>
      <c r="G366" s="1845"/>
      <c r="H366" s="1845"/>
      <c r="I366" s="1845"/>
      <c r="J366" s="1845"/>
      <c r="K366" s="1845"/>
      <c r="L366" s="1845"/>
      <c r="M366" s="1845"/>
      <c r="N366" s="1845"/>
      <c r="O366" s="1845"/>
      <c r="P366" s="1845"/>
      <c r="Q366" s="1845"/>
      <c r="R366" s="1845"/>
      <c r="S366" s="1845"/>
      <c r="T366" s="1845"/>
      <c r="U366" s="1845"/>
      <c r="V366" s="1845"/>
      <c r="W366" s="1845"/>
      <c r="X366" s="1845"/>
      <c r="Y366" s="1845"/>
      <c r="Z366" s="1845"/>
      <c r="AA366" s="1845"/>
      <c r="AB366" s="1845"/>
      <c r="AC366" s="1845"/>
      <c r="AD366" s="1845"/>
      <c r="AE366" s="1845"/>
      <c r="AF366" s="1845"/>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846"/>
      <c r="G367" s="1846"/>
      <c r="H367" s="1846"/>
      <c r="I367" s="1846"/>
      <c r="J367" s="1846"/>
      <c r="K367" s="1846"/>
      <c r="L367" s="1846"/>
      <c r="M367" s="1846"/>
      <c r="N367" s="1846"/>
      <c r="O367" s="1846"/>
      <c r="P367" s="1846"/>
      <c r="Q367" s="1846"/>
      <c r="R367" s="1846"/>
      <c r="S367" s="1846"/>
      <c r="T367" s="1846"/>
      <c r="U367" s="1846"/>
      <c r="V367" s="1846"/>
      <c r="W367" s="1846"/>
      <c r="X367" s="1846"/>
      <c r="Y367" s="1846"/>
      <c r="Z367" s="1846"/>
      <c r="AA367" s="1846"/>
      <c r="AB367" s="1846"/>
      <c r="AC367" s="1846"/>
      <c r="AD367" s="1846"/>
      <c r="AE367" s="1846"/>
      <c r="AF367" s="1846"/>
      <c r="AG367" s="408"/>
      <c r="AH367" s="408"/>
      <c r="AI367" s="408"/>
      <c r="AJ367" s="408"/>
      <c r="AK367" s="408"/>
      <c r="AL367" s="1202"/>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846"/>
      <c r="G368" s="1846"/>
      <c r="H368" s="1846"/>
      <c r="I368" s="1846"/>
      <c r="J368" s="1846"/>
      <c r="K368" s="1846"/>
      <c r="L368" s="1846"/>
      <c r="M368" s="1846"/>
      <c r="N368" s="1846"/>
      <c r="O368" s="1846"/>
      <c r="P368" s="1846"/>
      <c r="Q368" s="1846"/>
      <c r="R368" s="1846"/>
      <c r="S368" s="1846"/>
      <c r="T368" s="1846"/>
      <c r="U368" s="1846"/>
      <c r="V368" s="1846"/>
      <c r="W368" s="1846"/>
      <c r="X368" s="1846"/>
      <c r="Y368" s="1846"/>
      <c r="Z368" s="1846"/>
      <c r="AA368" s="1846"/>
      <c r="AB368" s="1846"/>
      <c r="AC368" s="1846"/>
      <c r="AD368" s="1846"/>
      <c r="AE368" s="1846"/>
      <c r="AF368" s="1846"/>
      <c r="AG368" s="408"/>
      <c r="AH368" s="408"/>
      <c r="AI368" s="408"/>
      <c r="AJ368" s="408"/>
      <c r="AK368" s="408"/>
      <c r="AL368" s="1202"/>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846"/>
      <c r="G369" s="1846"/>
      <c r="H369" s="1846"/>
      <c r="I369" s="1846"/>
      <c r="J369" s="1846"/>
      <c r="K369" s="1846"/>
      <c r="L369" s="1846"/>
      <c r="M369" s="1846"/>
      <c r="N369" s="1846"/>
      <c r="O369" s="1846"/>
      <c r="P369" s="1846"/>
      <c r="Q369" s="1846"/>
      <c r="R369" s="1846"/>
      <c r="S369" s="1846"/>
      <c r="T369" s="1846"/>
      <c r="U369" s="1846"/>
      <c r="V369" s="1846"/>
      <c r="W369" s="1846"/>
      <c r="X369" s="1846"/>
      <c r="Y369" s="1846"/>
      <c r="Z369" s="1846"/>
      <c r="AA369" s="1846"/>
      <c r="AB369" s="1846"/>
      <c r="AC369" s="1846"/>
      <c r="AD369" s="1846"/>
      <c r="AE369" s="1846"/>
      <c r="AF369" s="1846"/>
      <c r="AG369" s="408"/>
      <c r="AH369" s="408"/>
      <c r="AI369" s="408"/>
      <c r="AJ369" s="408"/>
      <c r="AK369" s="408"/>
      <c r="AL369" s="1202"/>
      <c r="AM369" s="436"/>
      <c r="AN369" s="459"/>
      <c r="BS369" s="24"/>
      <c r="BT369" s="24"/>
      <c r="BU369" s="12"/>
      <c r="BV369" s="12"/>
      <c r="BW369" s="12"/>
      <c r="BX369" s="12"/>
      <c r="BY369" s="12"/>
      <c r="BZ369" s="12"/>
      <c r="CA369" s="12"/>
      <c r="CB369" s="12"/>
      <c r="CC369" s="12"/>
    </row>
    <row r="370" spans="1:81" s="418" customFormat="1" ht="12.75" customHeight="1">
      <c r="A370" s="405"/>
      <c r="B370" s="12"/>
      <c r="C370" s="1855" t="s">
        <v>837</v>
      </c>
      <c r="D370" s="1856"/>
      <c r="E370" s="574"/>
      <c r="F370" s="575" t="s">
        <v>2152</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844" t="s">
        <v>2153</v>
      </c>
      <c r="AG370" s="1844"/>
      <c r="AH370" s="1844"/>
      <c r="AI370" s="1844"/>
      <c r="AJ370" s="1844"/>
      <c r="AK370" s="1844"/>
      <c r="AL370" s="1857"/>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211"/>
      <c r="D372" s="1211"/>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201"/>
      <c r="AF372" s="1201"/>
      <c r="AG372" s="1201"/>
      <c r="AH372" s="1201"/>
      <c r="AI372" s="1201"/>
      <c r="AJ372" s="1201"/>
      <c r="AK372" s="1201"/>
      <c r="AL372" s="1201"/>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1973</v>
      </c>
      <c r="F373" s="1845" t="s">
        <v>2154</v>
      </c>
      <c r="G373" s="1845"/>
      <c r="H373" s="1845"/>
      <c r="I373" s="1845"/>
      <c r="J373" s="1845"/>
      <c r="K373" s="1845"/>
      <c r="L373" s="1845"/>
      <c r="M373" s="1845"/>
      <c r="N373" s="1845"/>
      <c r="O373" s="1845"/>
      <c r="P373" s="1845"/>
      <c r="Q373" s="1845"/>
      <c r="R373" s="1845"/>
      <c r="S373" s="1845"/>
      <c r="T373" s="1845"/>
      <c r="U373" s="1845"/>
      <c r="V373" s="1845"/>
      <c r="W373" s="1845"/>
      <c r="X373" s="1845"/>
      <c r="Y373" s="1845"/>
      <c r="Z373" s="1845"/>
      <c r="AA373" s="1845"/>
      <c r="AB373" s="1845"/>
      <c r="AC373" s="1845"/>
      <c r="AD373" s="1845"/>
      <c r="AE373" s="1845"/>
      <c r="AF373" s="1845"/>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846"/>
      <c r="G374" s="1846"/>
      <c r="H374" s="1846"/>
      <c r="I374" s="1846"/>
      <c r="J374" s="1846"/>
      <c r="K374" s="1846"/>
      <c r="L374" s="1846"/>
      <c r="M374" s="1846"/>
      <c r="N374" s="1846"/>
      <c r="O374" s="1846"/>
      <c r="P374" s="1846"/>
      <c r="Q374" s="1846"/>
      <c r="R374" s="1846"/>
      <c r="S374" s="1846"/>
      <c r="T374" s="1846"/>
      <c r="U374" s="1846"/>
      <c r="V374" s="1846"/>
      <c r="W374" s="1846"/>
      <c r="X374" s="1846"/>
      <c r="Y374" s="1846"/>
      <c r="Z374" s="1846"/>
      <c r="AA374" s="1846"/>
      <c r="AB374" s="1846"/>
      <c r="AC374" s="1846"/>
      <c r="AD374" s="1846"/>
      <c r="AE374" s="1846"/>
      <c r="AF374" s="1846"/>
      <c r="AG374" s="408"/>
      <c r="AH374" s="408"/>
      <c r="AI374" s="408"/>
      <c r="AJ374" s="408"/>
      <c r="AK374" s="408"/>
      <c r="AL374" s="1202"/>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846"/>
      <c r="G375" s="1846"/>
      <c r="H375" s="1846"/>
      <c r="I375" s="1846"/>
      <c r="J375" s="1846"/>
      <c r="K375" s="1846"/>
      <c r="L375" s="1846"/>
      <c r="M375" s="1846"/>
      <c r="N375" s="1846"/>
      <c r="O375" s="1846"/>
      <c r="P375" s="1846"/>
      <c r="Q375" s="1846"/>
      <c r="R375" s="1846"/>
      <c r="S375" s="1846"/>
      <c r="T375" s="1846"/>
      <c r="U375" s="1846"/>
      <c r="V375" s="1846"/>
      <c r="W375" s="1846"/>
      <c r="X375" s="1846"/>
      <c r="Y375" s="1846"/>
      <c r="Z375" s="1846"/>
      <c r="AA375" s="1846"/>
      <c r="AB375" s="1846"/>
      <c r="AC375" s="1846"/>
      <c r="AD375" s="1846"/>
      <c r="AE375" s="1846"/>
      <c r="AF375" s="1846"/>
      <c r="AG375" s="408"/>
      <c r="AH375" s="408"/>
      <c r="AI375" s="408"/>
      <c r="AJ375" s="408"/>
      <c r="AK375" s="408"/>
      <c r="AL375" s="1202"/>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846"/>
      <c r="G376" s="1846"/>
      <c r="H376" s="1846"/>
      <c r="I376" s="1846"/>
      <c r="J376" s="1846"/>
      <c r="K376" s="1846"/>
      <c r="L376" s="1846"/>
      <c r="M376" s="1846"/>
      <c r="N376" s="1846"/>
      <c r="O376" s="1846"/>
      <c r="P376" s="1846"/>
      <c r="Q376" s="1846"/>
      <c r="R376" s="1846"/>
      <c r="S376" s="1846"/>
      <c r="T376" s="1846"/>
      <c r="U376" s="1846"/>
      <c r="V376" s="1846"/>
      <c r="W376" s="1846"/>
      <c r="X376" s="1846"/>
      <c r="Y376" s="1846"/>
      <c r="Z376" s="1846"/>
      <c r="AA376" s="1846"/>
      <c r="AB376" s="1846"/>
      <c r="AC376" s="1846"/>
      <c r="AD376" s="1846"/>
      <c r="AE376" s="1846"/>
      <c r="AF376" s="1846"/>
      <c r="AG376" s="408"/>
      <c r="AH376" s="408"/>
      <c r="AI376" s="408"/>
      <c r="AJ376" s="408"/>
      <c r="AK376" s="408"/>
      <c r="AL376" s="1202"/>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846"/>
      <c r="G377" s="1846"/>
      <c r="H377" s="1846"/>
      <c r="I377" s="1846"/>
      <c r="J377" s="1846"/>
      <c r="K377" s="1846"/>
      <c r="L377" s="1846"/>
      <c r="M377" s="1846"/>
      <c r="N377" s="1846"/>
      <c r="O377" s="1846"/>
      <c r="P377" s="1846"/>
      <c r="Q377" s="1846"/>
      <c r="R377" s="1846"/>
      <c r="S377" s="1846"/>
      <c r="T377" s="1846"/>
      <c r="U377" s="1846"/>
      <c r="V377" s="1846"/>
      <c r="W377" s="1846"/>
      <c r="X377" s="1846"/>
      <c r="Y377" s="1846"/>
      <c r="Z377" s="1846"/>
      <c r="AA377" s="1846"/>
      <c r="AB377" s="1846"/>
      <c r="AC377" s="1846"/>
      <c r="AD377" s="1846"/>
      <c r="AE377" s="1846"/>
      <c r="AF377" s="1846"/>
      <c r="AL377" s="585"/>
      <c r="AN377" s="459"/>
      <c r="BS377" s="24"/>
      <c r="BT377" s="24"/>
      <c r="BU377" s="12"/>
      <c r="BV377" s="12"/>
      <c r="BW377" s="12"/>
      <c r="BX377" s="12"/>
      <c r="BY377" s="12"/>
      <c r="BZ377" s="12"/>
      <c r="CA377" s="12"/>
      <c r="CB377" s="12"/>
      <c r="CC377" s="12"/>
    </row>
    <row r="378" spans="1:81" s="418" customFormat="1" ht="12.75" customHeight="1">
      <c r="A378" s="405"/>
      <c r="B378" s="12"/>
      <c r="C378" s="1855" t="s">
        <v>299</v>
      </c>
      <c r="D378" s="1856"/>
      <c r="E378" s="547"/>
      <c r="F378" s="575" t="s">
        <v>2155</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844" t="s">
        <v>2153</v>
      </c>
      <c r="AG378" s="1844"/>
      <c r="AH378" s="1844"/>
      <c r="AI378" s="1844"/>
      <c r="AJ378" s="1844"/>
      <c r="AK378" s="1844"/>
      <c r="AL378" s="1857"/>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408"/>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1979</v>
      </c>
      <c r="F381" s="1845" t="s">
        <v>2156</v>
      </c>
      <c r="G381" s="1845"/>
      <c r="H381" s="1845"/>
      <c r="I381" s="1845"/>
      <c r="J381" s="1845"/>
      <c r="K381" s="1845"/>
      <c r="L381" s="1845"/>
      <c r="M381" s="1845"/>
      <c r="N381" s="1845"/>
      <c r="O381" s="1845"/>
      <c r="P381" s="1845"/>
      <c r="Q381" s="1845"/>
      <c r="R381" s="1845"/>
      <c r="S381" s="1845"/>
      <c r="T381" s="1845"/>
      <c r="U381" s="1845"/>
      <c r="V381" s="1845"/>
      <c r="W381" s="1845"/>
      <c r="X381" s="1845"/>
      <c r="Y381" s="1845"/>
      <c r="Z381" s="1845"/>
      <c r="AA381" s="1845"/>
      <c r="AB381" s="1845"/>
      <c r="AC381" s="1845"/>
      <c r="AD381" s="1845"/>
      <c r="AE381" s="1845"/>
      <c r="AF381" s="1845"/>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846"/>
      <c r="G382" s="1846"/>
      <c r="H382" s="1846"/>
      <c r="I382" s="1846"/>
      <c r="J382" s="1846"/>
      <c r="K382" s="1846"/>
      <c r="L382" s="1846"/>
      <c r="M382" s="1846"/>
      <c r="N382" s="1846"/>
      <c r="O382" s="1846"/>
      <c r="P382" s="1846"/>
      <c r="Q382" s="1846"/>
      <c r="R382" s="1846"/>
      <c r="S382" s="1846"/>
      <c r="T382" s="1846"/>
      <c r="U382" s="1846"/>
      <c r="V382" s="1846"/>
      <c r="W382" s="1846"/>
      <c r="X382" s="1846"/>
      <c r="Y382" s="1846"/>
      <c r="Z382" s="1846"/>
      <c r="AA382" s="1846"/>
      <c r="AB382" s="1846"/>
      <c r="AC382" s="1846"/>
      <c r="AD382" s="1846"/>
      <c r="AE382" s="1846"/>
      <c r="AF382" s="1846"/>
      <c r="AG382" s="408"/>
      <c r="AH382" s="408"/>
      <c r="AI382" s="408"/>
      <c r="AJ382" s="408"/>
      <c r="AK382" s="408"/>
      <c r="AL382" s="1202"/>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846"/>
      <c r="G383" s="1846"/>
      <c r="H383" s="1846"/>
      <c r="I383" s="1846"/>
      <c r="J383" s="1846"/>
      <c r="K383" s="1846"/>
      <c r="L383" s="1846"/>
      <c r="M383" s="1846"/>
      <c r="N383" s="1846"/>
      <c r="O383" s="1846"/>
      <c r="P383" s="1846"/>
      <c r="Q383" s="1846"/>
      <c r="R383" s="1846"/>
      <c r="S383" s="1846"/>
      <c r="T383" s="1846"/>
      <c r="U383" s="1846"/>
      <c r="V383" s="1846"/>
      <c r="W383" s="1846"/>
      <c r="X383" s="1846"/>
      <c r="Y383" s="1846"/>
      <c r="Z383" s="1846"/>
      <c r="AA383" s="1846"/>
      <c r="AB383" s="1846"/>
      <c r="AC383" s="1846"/>
      <c r="AD383" s="1846"/>
      <c r="AE383" s="1846"/>
      <c r="AF383" s="1846"/>
      <c r="AG383" s="408"/>
      <c r="AH383" s="408"/>
      <c r="AI383" s="408"/>
      <c r="AJ383" s="408"/>
      <c r="AK383" s="408"/>
      <c r="AL383" s="1202"/>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846"/>
      <c r="G384" s="1846"/>
      <c r="H384" s="1846"/>
      <c r="I384" s="1846"/>
      <c r="J384" s="1846"/>
      <c r="K384" s="1846"/>
      <c r="L384" s="1846"/>
      <c r="M384" s="1846"/>
      <c r="N384" s="1846"/>
      <c r="O384" s="1846"/>
      <c r="P384" s="1846"/>
      <c r="Q384" s="1846"/>
      <c r="R384" s="1846"/>
      <c r="S384" s="1846"/>
      <c r="T384" s="1846"/>
      <c r="U384" s="1846"/>
      <c r="V384" s="1846"/>
      <c r="W384" s="1846"/>
      <c r="X384" s="1846"/>
      <c r="Y384" s="1846"/>
      <c r="Z384" s="1846"/>
      <c r="AA384" s="1846"/>
      <c r="AB384" s="1846"/>
      <c r="AC384" s="1846"/>
      <c r="AD384" s="1846"/>
      <c r="AE384" s="1846"/>
      <c r="AF384" s="1846"/>
      <c r="AG384" s="408"/>
      <c r="AH384" s="408"/>
      <c r="AI384" s="408"/>
      <c r="AJ384" s="408"/>
      <c r="AK384" s="408"/>
      <c r="AL384" s="1202"/>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846"/>
      <c r="G385" s="1846"/>
      <c r="H385" s="1846"/>
      <c r="I385" s="1846"/>
      <c r="J385" s="1846"/>
      <c r="K385" s="1846"/>
      <c r="L385" s="1846"/>
      <c r="M385" s="1846"/>
      <c r="N385" s="1846"/>
      <c r="O385" s="1846"/>
      <c r="P385" s="1846"/>
      <c r="Q385" s="1846"/>
      <c r="R385" s="1846"/>
      <c r="S385" s="1846"/>
      <c r="T385" s="1846"/>
      <c r="U385" s="1846"/>
      <c r="V385" s="1846"/>
      <c r="W385" s="1846"/>
      <c r="X385" s="1846"/>
      <c r="Y385" s="1846"/>
      <c r="Z385" s="1846"/>
      <c r="AA385" s="1846"/>
      <c r="AB385" s="1846"/>
      <c r="AC385" s="1846"/>
      <c r="AD385" s="1846"/>
      <c r="AE385" s="1846"/>
      <c r="AF385" s="1846"/>
      <c r="AG385" s="408"/>
      <c r="AH385" s="408"/>
      <c r="AI385" s="408"/>
      <c r="AJ385" s="408"/>
      <c r="AK385" s="408"/>
      <c r="AL385" s="1202"/>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855" t="s">
        <v>299</v>
      </c>
      <c r="D386" s="1856"/>
      <c r="E386" s="547"/>
      <c r="F386" s="575" t="s">
        <v>2157</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844" t="s">
        <v>2158</v>
      </c>
      <c r="AG386" s="1844"/>
      <c r="AH386" s="1844"/>
      <c r="AI386" s="1844"/>
      <c r="AJ386" s="1844"/>
      <c r="AK386" s="1844"/>
      <c r="AL386" s="1857"/>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204"/>
      <c r="G387" s="1204"/>
      <c r="H387" s="1204"/>
      <c r="I387" s="1204"/>
      <c r="J387" s="1204"/>
      <c r="K387" s="1204"/>
      <c r="L387" s="1204"/>
      <c r="M387" s="1204"/>
      <c r="N387" s="1204"/>
      <c r="O387" s="1204"/>
      <c r="P387" s="1204"/>
      <c r="Q387" s="1204"/>
      <c r="R387" s="1204"/>
      <c r="S387" s="1204"/>
      <c r="T387" s="1204"/>
      <c r="U387" s="1204"/>
      <c r="V387" s="1204"/>
      <c r="W387" s="1204"/>
      <c r="X387" s="1204"/>
      <c r="Y387" s="1204"/>
      <c r="Z387" s="1204"/>
      <c r="AA387" s="1204"/>
      <c r="AB387" s="1204"/>
      <c r="AC387" s="1204"/>
      <c r="AD387" s="1204"/>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855" t="s">
        <v>299</v>
      </c>
      <c r="D388" s="1856"/>
      <c r="E388" s="547"/>
      <c r="F388" s="591" t="s">
        <v>2159</v>
      </c>
      <c r="G388" s="1204"/>
      <c r="H388" s="1204"/>
      <c r="I388" s="1204"/>
      <c r="J388" s="1204"/>
      <c r="K388" s="1204"/>
      <c r="L388" s="1204"/>
      <c r="M388" s="1204"/>
      <c r="N388" s="1204"/>
      <c r="O388" s="1204"/>
      <c r="P388" s="1204"/>
      <c r="Q388" s="1204"/>
      <c r="R388" s="1204"/>
      <c r="S388" s="1204"/>
      <c r="T388" s="1204"/>
      <c r="U388" s="1204"/>
      <c r="V388" s="1204"/>
      <c r="W388" s="1204"/>
      <c r="X388" s="1204"/>
      <c r="Y388" s="1204"/>
      <c r="Z388" s="1204"/>
      <c r="AA388" s="1204"/>
      <c r="AB388" s="1204"/>
      <c r="AC388" s="1204"/>
      <c r="AD388" s="1204"/>
      <c r="AF388" s="1844" t="s">
        <v>2153</v>
      </c>
      <c r="AG388" s="1844"/>
      <c r="AH388" s="1844"/>
      <c r="AI388" s="1844"/>
      <c r="AJ388" s="1844"/>
      <c r="AK388" s="1844"/>
      <c r="AL388" s="1857"/>
      <c r="AM388" s="436"/>
      <c r="AN388" s="459"/>
      <c r="BS388" s="436"/>
      <c r="BT388" s="436"/>
      <c r="BU388" s="436"/>
    </row>
    <row r="389" spans="1:81" s="418" customFormat="1" ht="12.75" customHeight="1">
      <c r="A389" s="405"/>
      <c r="B389" s="12"/>
      <c r="C389" s="592"/>
      <c r="E389" s="547"/>
      <c r="G389" s="1204"/>
      <c r="H389" s="1204"/>
      <c r="I389" s="1204"/>
      <c r="J389" s="1204"/>
      <c r="K389" s="1204"/>
      <c r="L389" s="1204"/>
      <c r="M389" s="1204"/>
      <c r="N389" s="1204"/>
      <c r="O389" s="1204"/>
      <c r="P389" s="1204"/>
      <c r="Q389" s="1204"/>
      <c r="R389" s="1204"/>
      <c r="S389" s="1204"/>
      <c r="T389" s="1204"/>
      <c r="U389" s="1204"/>
      <c r="V389" s="1204"/>
      <c r="W389" s="1204"/>
      <c r="X389" s="1204"/>
      <c r="Y389" s="1204"/>
      <c r="Z389" s="1204"/>
      <c r="AA389" s="1204"/>
      <c r="AB389" s="1204"/>
      <c r="AC389" s="1204"/>
      <c r="AD389" s="1204"/>
      <c r="AL389" s="585"/>
      <c r="AM389" s="436"/>
      <c r="AN389" s="459"/>
      <c r="BS389" s="436"/>
      <c r="BT389" s="436"/>
      <c r="BU389" s="436"/>
    </row>
    <row r="390" spans="1:81" s="418" customFormat="1" ht="12.75" customHeight="1">
      <c r="A390" s="405"/>
      <c r="B390" s="12"/>
      <c r="C390" s="593"/>
      <c r="D390" s="586"/>
      <c r="E390" s="587"/>
      <c r="F390" s="594" t="s">
        <v>2160</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408"/>
      <c r="AG391" s="405"/>
      <c r="AM391" s="436"/>
      <c r="AN391" s="459"/>
      <c r="BS391" s="436"/>
      <c r="BT391" s="436"/>
      <c r="BU391" s="436"/>
    </row>
    <row r="392" spans="1:81" s="418" customFormat="1" ht="12.75" customHeight="1">
      <c r="A392" s="405"/>
      <c r="B392" s="12"/>
      <c r="C392" s="568"/>
      <c r="D392" s="569"/>
      <c r="E392" s="570" t="s">
        <v>2161</v>
      </c>
      <c r="F392" s="1845" t="s">
        <v>2162</v>
      </c>
      <c r="G392" s="1845"/>
      <c r="H392" s="1845"/>
      <c r="I392" s="1845"/>
      <c r="J392" s="1845"/>
      <c r="K392" s="1845"/>
      <c r="L392" s="1845"/>
      <c r="M392" s="1845"/>
      <c r="N392" s="1845"/>
      <c r="O392" s="1845"/>
      <c r="P392" s="1845"/>
      <c r="Q392" s="1845"/>
      <c r="R392" s="1845"/>
      <c r="S392" s="1845"/>
      <c r="T392" s="1845"/>
      <c r="U392" s="1845"/>
      <c r="V392" s="1845"/>
      <c r="W392" s="1845"/>
      <c r="X392" s="1845"/>
      <c r="Y392" s="1845"/>
      <c r="Z392" s="1845"/>
      <c r="AA392" s="1845"/>
      <c r="AB392" s="1845"/>
      <c r="AC392" s="1845"/>
      <c r="AD392" s="1845"/>
      <c r="AE392" s="1845"/>
      <c r="AF392" s="1845"/>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846"/>
      <c r="G393" s="1846"/>
      <c r="H393" s="1846"/>
      <c r="I393" s="1846"/>
      <c r="J393" s="1846"/>
      <c r="K393" s="1846"/>
      <c r="L393" s="1846"/>
      <c r="M393" s="1846"/>
      <c r="N393" s="1846"/>
      <c r="O393" s="1846"/>
      <c r="P393" s="1846"/>
      <c r="Q393" s="1846"/>
      <c r="R393" s="1846"/>
      <c r="S393" s="1846"/>
      <c r="T393" s="1846"/>
      <c r="U393" s="1846"/>
      <c r="V393" s="1846"/>
      <c r="W393" s="1846"/>
      <c r="X393" s="1846"/>
      <c r="Y393" s="1846"/>
      <c r="Z393" s="1846"/>
      <c r="AA393" s="1846"/>
      <c r="AB393" s="1846"/>
      <c r="AC393" s="1846"/>
      <c r="AD393" s="1846"/>
      <c r="AE393" s="1846"/>
      <c r="AF393" s="1846"/>
      <c r="AG393" s="408"/>
      <c r="AH393" s="408"/>
      <c r="AI393" s="408"/>
      <c r="AJ393" s="408"/>
      <c r="AK393" s="408"/>
      <c r="AL393" s="1202"/>
      <c r="AM393" s="436"/>
      <c r="AN393" s="459"/>
      <c r="BS393" s="436"/>
      <c r="BT393" s="436"/>
      <c r="BU393" s="436"/>
      <c r="BV393" s="436"/>
      <c r="BW393" s="436"/>
      <c r="BX393" s="436"/>
      <c r="BY393" s="436"/>
      <c r="BZ393" s="436"/>
      <c r="CA393" s="436"/>
      <c r="CB393" s="436"/>
      <c r="CC393" s="436"/>
    </row>
    <row r="394" spans="1:81">
      <c r="A394" s="405"/>
      <c r="C394" s="584"/>
      <c r="E394" s="547"/>
      <c r="F394" s="1846"/>
      <c r="G394" s="1846"/>
      <c r="H394" s="1846"/>
      <c r="I394" s="1846"/>
      <c r="J394" s="1846"/>
      <c r="K394" s="1846"/>
      <c r="L394" s="1846"/>
      <c r="M394" s="1846"/>
      <c r="N394" s="1846"/>
      <c r="O394" s="1846"/>
      <c r="P394" s="1846"/>
      <c r="Q394" s="1846"/>
      <c r="R394" s="1846"/>
      <c r="S394" s="1846"/>
      <c r="T394" s="1846"/>
      <c r="U394" s="1846"/>
      <c r="V394" s="1846"/>
      <c r="W394" s="1846"/>
      <c r="X394" s="1846"/>
      <c r="Y394" s="1846"/>
      <c r="Z394" s="1846"/>
      <c r="AA394" s="1846"/>
      <c r="AB394" s="1846"/>
      <c r="AC394" s="1846"/>
      <c r="AD394" s="1846"/>
      <c r="AE394" s="1846"/>
      <c r="AF394" s="1846"/>
      <c r="AG394" s="408"/>
      <c r="AH394" s="408"/>
      <c r="AI394" s="408"/>
      <c r="AJ394" s="408"/>
      <c r="AK394" s="408"/>
      <c r="AL394" s="1202"/>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846"/>
      <c r="G395" s="1846"/>
      <c r="H395" s="1846"/>
      <c r="I395" s="1846"/>
      <c r="J395" s="1846"/>
      <c r="K395" s="1846"/>
      <c r="L395" s="1846"/>
      <c r="M395" s="1846"/>
      <c r="N395" s="1846"/>
      <c r="O395" s="1846"/>
      <c r="P395" s="1846"/>
      <c r="Q395" s="1846"/>
      <c r="R395" s="1846"/>
      <c r="S395" s="1846"/>
      <c r="T395" s="1846"/>
      <c r="U395" s="1846"/>
      <c r="V395" s="1846"/>
      <c r="W395" s="1846"/>
      <c r="X395" s="1846"/>
      <c r="Y395" s="1846"/>
      <c r="Z395" s="1846"/>
      <c r="AA395" s="1846"/>
      <c r="AB395" s="1846"/>
      <c r="AC395" s="1846"/>
      <c r="AD395" s="1846"/>
      <c r="AE395" s="1846"/>
      <c r="AF395" s="1846"/>
      <c r="AG395" s="408"/>
      <c r="AH395" s="408"/>
      <c r="AI395" s="408"/>
      <c r="AJ395" s="408"/>
      <c r="AK395" s="408"/>
      <c r="AL395" s="1202"/>
      <c r="AM395" s="436"/>
      <c r="AN395" s="459"/>
      <c r="BS395" s="436"/>
      <c r="BT395" s="436"/>
      <c r="BY395" s="436"/>
      <c r="BZ395" s="436"/>
      <c r="CA395" s="436"/>
      <c r="CB395" s="436"/>
      <c r="CC395" s="436"/>
    </row>
    <row r="396" spans="1:81" s="418" customFormat="1" ht="12.75" customHeight="1">
      <c r="A396" s="405"/>
      <c r="B396" s="12"/>
      <c r="C396" s="1855" t="s">
        <v>837</v>
      </c>
      <c r="D396" s="1856"/>
      <c r="E396" s="547"/>
      <c r="F396" s="575" t="s">
        <v>2163</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844" t="s">
        <v>2153</v>
      </c>
      <c r="AG396" s="1844"/>
      <c r="AH396" s="1844"/>
      <c r="AI396" s="1844"/>
      <c r="AJ396" s="1844"/>
      <c r="AK396" s="1844"/>
      <c r="AL396" s="1857"/>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855" t="s">
        <v>299</v>
      </c>
      <c r="D398" s="1856"/>
      <c r="E398" s="574"/>
      <c r="F398" s="575" t="s">
        <v>2164</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844" t="s">
        <v>2165</v>
      </c>
      <c r="AG398" s="1844"/>
      <c r="AH398" s="1844"/>
      <c r="AI398" s="1844"/>
      <c r="AJ398" s="1844"/>
      <c r="AK398" s="1844"/>
      <c r="AL398" s="1857"/>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408"/>
      <c r="AG400" s="405"/>
      <c r="AM400" s="436"/>
      <c r="AN400" s="459"/>
      <c r="BS400" s="436"/>
      <c r="BT400" s="436"/>
      <c r="BY400" s="436"/>
      <c r="BZ400" s="436"/>
      <c r="CA400" s="436"/>
      <c r="CB400" s="436"/>
      <c r="CC400" s="436"/>
    </row>
    <row r="401" spans="1:81" s="418" customFormat="1" ht="12.75" customHeight="1">
      <c r="A401" s="405"/>
      <c r="B401" s="12"/>
      <c r="C401" s="1855" t="s">
        <v>299</v>
      </c>
      <c r="D401" s="1856"/>
      <c r="E401" s="570" t="s">
        <v>2166</v>
      </c>
      <c r="F401" s="1845" t="s">
        <v>2167</v>
      </c>
      <c r="G401" s="1845"/>
      <c r="H401" s="1845"/>
      <c r="I401" s="1845"/>
      <c r="J401" s="1845"/>
      <c r="K401" s="1845"/>
      <c r="L401" s="1845"/>
      <c r="M401" s="1845"/>
      <c r="N401" s="1845"/>
      <c r="O401" s="1845"/>
      <c r="P401" s="1845"/>
      <c r="Q401" s="1845"/>
      <c r="R401" s="1845"/>
      <c r="S401" s="1845"/>
      <c r="T401" s="1845"/>
      <c r="U401" s="1845"/>
      <c r="V401" s="1845"/>
      <c r="W401" s="1845"/>
      <c r="X401" s="1845"/>
      <c r="Y401" s="1845"/>
      <c r="Z401" s="1845"/>
      <c r="AA401" s="1845"/>
      <c r="AB401" s="1845"/>
      <c r="AC401" s="1845"/>
      <c r="AD401" s="1845"/>
      <c r="AE401" s="1845"/>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846"/>
      <c r="G402" s="1846"/>
      <c r="H402" s="1846"/>
      <c r="I402" s="1846"/>
      <c r="J402" s="1846"/>
      <c r="K402" s="1846"/>
      <c r="L402" s="1846"/>
      <c r="M402" s="1846"/>
      <c r="N402" s="1846"/>
      <c r="O402" s="1846"/>
      <c r="P402" s="1846"/>
      <c r="Q402" s="1846"/>
      <c r="R402" s="1846"/>
      <c r="S402" s="1846"/>
      <c r="T402" s="1846"/>
      <c r="U402" s="1846"/>
      <c r="V402" s="1846"/>
      <c r="W402" s="1846"/>
      <c r="X402" s="1846"/>
      <c r="Y402" s="1846"/>
      <c r="Z402" s="1846"/>
      <c r="AA402" s="1846"/>
      <c r="AB402" s="1846"/>
      <c r="AC402" s="1846"/>
      <c r="AD402" s="1846"/>
      <c r="AE402" s="1846"/>
      <c r="AF402" s="1914" t="s">
        <v>2153</v>
      </c>
      <c r="AG402" s="1914"/>
      <c r="AH402" s="1914"/>
      <c r="AI402" s="1914"/>
      <c r="AJ402" s="1914"/>
      <c r="AK402" s="1914"/>
      <c r="AL402" s="1944"/>
      <c r="AM402" s="436"/>
      <c r="AN402" s="459"/>
      <c r="BS402" s="436"/>
      <c r="BT402" s="436"/>
      <c r="BY402" s="436"/>
      <c r="BZ402" s="436"/>
      <c r="CA402" s="436"/>
      <c r="CB402" s="436"/>
      <c r="CC402" s="436"/>
    </row>
    <row r="403" spans="1:81" s="418" customFormat="1" ht="12.75" customHeight="1">
      <c r="A403" s="405"/>
      <c r="B403" s="12"/>
      <c r="C403" s="584"/>
      <c r="D403" s="12"/>
      <c r="E403" s="547"/>
      <c r="F403" s="1846"/>
      <c r="G403" s="1846"/>
      <c r="H403" s="1846"/>
      <c r="I403" s="1846"/>
      <c r="J403" s="1846"/>
      <c r="K403" s="1846"/>
      <c r="L403" s="1846"/>
      <c r="M403" s="1846"/>
      <c r="N403" s="1846"/>
      <c r="O403" s="1846"/>
      <c r="P403" s="1846"/>
      <c r="Q403" s="1846"/>
      <c r="R403" s="1846"/>
      <c r="S403" s="1846"/>
      <c r="T403" s="1846"/>
      <c r="U403" s="1846"/>
      <c r="V403" s="1846"/>
      <c r="W403" s="1846"/>
      <c r="X403" s="1846"/>
      <c r="Y403" s="1846"/>
      <c r="Z403" s="1846"/>
      <c r="AA403" s="1846"/>
      <c r="AB403" s="1846"/>
      <c r="AC403" s="1846"/>
      <c r="AD403" s="1846"/>
      <c r="AE403" s="1846"/>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28"/>
      <c r="G404" s="1928"/>
      <c r="H404" s="1928"/>
      <c r="I404" s="1928"/>
      <c r="J404" s="1928"/>
      <c r="K404" s="1928"/>
      <c r="L404" s="1928"/>
      <c r="M404" s="1928"/>
      <c r="N404" s="1928"/>
      <c r="O404" s="1928"/>
      <c r="P404" s="1928"/>
      <c r="Q404" s="1928"/>
      <c r="R404" s="1928"/>
      <c r="S404" s="1928"/>
      <c r="T404" s="1928"/>
      <c r="U404" s="1928"/>
      <c r="V404" s="1928"/>
      <c r="W404" s="1928"/>
      <c r="X404" s="1928"/>
      <c r="Y404" s="1928"/>
      <c r="Z404" s="1928"/>
      <c r="AA404" s="1928"/>
      <c r="AB404" s="1928"/>
      <c r="AC404" s="1928"/>
      <c r="AD404" s="1928"/>
      <c r="AE404" s="1928"/>
      <c r="AF404" s="448"/>
      <c r="AG404" s="590"/>
      <c r="AH404" s="581"/>
      <c r="AI404" s="581"/>
      <c r="AJ404" s="581"/>
      <c r="AK404" s="581"/>
      <c r="AL404" s="595"/>
      <c r="AM404" s="436"/>
      <c r="AN404" s="459"/>
    </row>
    <row r="405" spans="1:81">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408"/>
      <c r="AG405" s="405"/>
      <c r="AH405" s="418"/>
      <c r="AI405" s="418"/>
      <c r="AJ405" s="418"/>
      <c r="AK405" s="418"/>
      <c r="AL405" s="418"/>
      <c r="AM405" s="436"/>
    </row>
    <row r="406" spans="1:81" ht="12.75" customHeight="1">
      <c r="A406" s="405"/>
      <c r="C406" s="599"/>
      <c r="D406" s="600"/>
      <c r="E406" s="570" t="s">
        <v>2168</v>
      </c>
      <c r="F406" s="1845" t="s">
        <v>2169</v>
      </c>
      <c r="G406" s="1845"/>
      <c r="H406" s="1845"/>
      <c r="I406" s="1845"/>
      <c r="J406" s="1845"/>
      <c r="K406" s="1845"/>
      <c r="L406" s="1845"/>
      <c r="M406" s="1845"/>
      <c r="N406" s="1845"/>
      <c r="O406" s="1845"/>
      <c r="P406" s="1845"/>
      <c r="Q406" s="1845"/>
      <c r="R406" s="1845"/>
      <c r="S406" s="1845"/>
      <c r="T406" s="1845"/>
      <c r="U406" s="1845"/>
      <c r="V406" s="1845"/>
      <c r="W406" s="1845"/>
      <c r="X406" s="1845"/>
      <c r="Y406" s="1845"/>
      <c r="Z406" s="1845"/>
      <c r="AA406" s="1845"/>
      <c r="AB406" s="1845"/>
      <c r="AC406" s="1845"/>
      <c r="AD406" s="1845"/>
      <c r="AE406" s="1845"/>
      <c r="AF406" s="600"/>
      <c r="AG406" s="600"/>
      <c r="AH406" s="600"/>
      <c r="AI406" s="600"/>
      <c r="AJ406" s="600"/>
      <c r="AK406" s="600"/>
      <c r="AL406" s="601"/>
      <c r="AM406" s="436"/>
    </row>
    <row r="407" spans="1:81">
      <c r="A407" s="405"/>
      <c r="C407" s="584"/>
      <c r="E407" s="547"/>
      <c r="F407" s="1846"/>
      <c r="G407" s="1846"/>
      <c r="H407" s="1846"/>
      <c r="I407" s="1846"/>
      <c r="J407" s="1846"/>
      <c r="K407" s="1846"/>
      <c r="L407" s="1846"/>
      <c r="M407" s="1846"/>
      <c r="N407" s="1846"/>
      <c r="O407" s="1846"/>
      <c r="P407" s="1846"/>
      <c r="Q407" s="1846"/>
      <c r="R407" s="1846"/>
      <c r="S407" s="1846"/>
      <c r="T407" s="1846"/>
      <c r="U407" s="1846"/>
      <c r="V407" s="1846"/>
      <c r="W407" s="1846"/>
      <c r="X407" s="1846"/>
      <c r="Y407" s="1846"/>
      <c r="Z407" s="1846"/>
      <c r="AA407" s="1846"/>
      <c r="AB407" s="1846"/>
      <c r="AC407" s="1846"/>
      <c r="AD407" s="1846"/>
      <c r="AE407" s="1846"/>
      <c r="AF407" s="408"/>
      <c r="AG407" s="405"/>
      <c r="AH407" s="418"/>
      <c r="AI407" s="418"/>
      <c r="AJ407" s="418"/>
      <c r="AK407" s="418"/>
      <c r="AL407" s="585"/>
      <c r="AM407" s="436"/>
    </row>
    <row r="408" spans="1:81" s="418" customFormat="1" ht="12.75" customHeight="1">
      <c r="A408" s="405"/>
      <c r="B408" s="12"/>
      <c r="C408" s="584"/>
      <c r="D408" s="12"/>
      <c r="E408" s="547"/>
      <c r="F408" s="1846"/>
      <c r="G408" s="1846"/>
      <c r="H408" s="1846"/>
      <c r="I408" s="1846"/>
      <c r="J408" s="1846"/>
      <c r="K408" s="1846"/>
      <c r="L408" s="1846"/>
      <c r="M408" s="1846"/>
      <c r="N408" s="1846"/>
      <c r="O408" s="1846"/>
      <c r="P408" s="1846"/>
      <c r="Q408" s="1846"/>
      <c r="R408" s="1846"/>
      <c r="S408" s="1846"/>
      <c r="T408" s="1846"/>
      <c r="U408" s="1846"/>
      <c r="V408" s="1846"/>
      <c r="W408" s="1846"/>
      <c r="X408" s="1846"/>
      <c r="Y408" s="1846"/>
      <c r="Z408" s="1846"/>
      <c r="AA408" s="1846"/>
      <c r="AB408" s="1846"/>
      <c r="AC408" s="1846"/>
      <c r="AD408" s="1846"/>
      <c r="AE408" s="1846"/>
      <c r="AL408" s="585"/>
      <c r="AM408" s="436"/>
      <c r="AN408" s="459"/>
    </row>
    <row r="409" spans="1:81" s="418" customFormat="1" ht="12.75" customHeight="1">
      <c r="A409" s="405"/>
      <c r="B409" s="12"/>
      <c r="C409" s="592"/>
      <c r="F409" s="1846"/>
      <c r="G409" s="1846"/>
      <c r="H409" s="1846"/>
      <c r="I409" s="1846"/>
      <c r="J409" s="1846"/>
      <c r="K409" s="1846"/>
      <c r="L409" s="1846"/>
      <c r="M409" s="1846"/>
      <c r="N409" s="1846"/>
      <c r="O409" s="1846"/>
      <c r="P409" s="1846"/>
      <c r="Q409" s="1846"/>
      <c r="R409" s="1846"/>
      <c r="S409" s="1846"/>
      <c r="T409" s="1846"/>
      <c r="U409" s="1846"/>
      <c r="V409" s="1846"/>
      <c r="W409" s="1846"/>
      <c r="X409" s="1846"/>
      <c r="Y409" s="1846"/>
      <c r="Z409" s="1846"/>
      <c r="AA409" s="1846"/>
      <c r="AB409" s="1846"/>
      <c r="AC409" s="1846"/>
      <c r="AD409" s="1846"/>
      <c r="AE409" s="1846"/>
      <c r="AL409" s="585"/>
      <c r="AM409" s="436"/>
      <c r="AN409" s="459"/>
    </row>
    <row r="410" spans="1:81" s="418" customFormat="1" ht="12.75" customHeight="1">
      <c r="A410" s="405"/>
      <c r="B410" s="12"/>
      <c r="C410" s="1855" t="s">
        <v>299</v>
      </c>
      <c r="D410" s="1856"/>
      <c r="E410" s="547"/>
      <c r="F410" s="575" t="s">
        <v>2170</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914" t="s">
        <v>2153</v>
      </c>
      <c r="AG410" s="1914"/>
      <c r="AH410" s="1914"/>
      <c r="AI410" s="1914"/>
      <c r="AJ410" s="1914"/>
      <c r="AK410" s="1914"/>
      <c r="AL410" s="1944"/>
      <c r="AM410" s="436"/>
      <c r="AN410" s="459"/>
    </row>
    <row r="411" spans="1:81" s="418" customFormat="1" ht="12.75" customHeight="1">
      <c r="A411" s="405"/>
      <c r="B411" s="12"/>
      <c r="C411" s="592"/>
      <c r="AL411" s="585"/>
      <c r="AM411" s="436"/>
      <c r="AN411" s="459"/>
    </row>
    <row r="412" spans="1:81" s="418" customFormat="1" ht="12.75" customHeight="1">
      <c r="A412" s="405"/>
      <c r="B412" s="12"/>
      <c r="C412" s="1855" t="s">
        <v>299</v>
      </c>
      <c r="D412" s="1856"/>
      <c r="E412" s="574"/>
      <c r="F412" s="575" t="s">
        <v>2171</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914" t="s">
        <v>2165</v>
      </c>
      <c r="AG412" s="1914"/>
      <c r="AH412" s="1914"/>
      <c r="AI412" s="1914"/>
      <c r="AJ412" s="1914"/>
      <c r="AK412" s="1914"/>
      <c r="AL412" s="1944"/>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408"/>
      <c r="AG414" s="405"/>
      <c r="AM414" s="436"/>
      <c r="AN414" s="459"/>
    </row>
    <row r="415" spans="1:81" s="418" customFormat="1" ht="12.75" customHeight="1">
      <c r="A415" s="405"/>
      <c r="B415" s="12"/>
      <c r="C415" s="567" t="s">
        <v>2172</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408"/>
      <c r="AG415" s="405"/>
      <c r="AM415" s="436"/>
      <c r="AN415" s="459"/>
    </row>
    <row r="416" spans="1:81" s="418" customFormat="1" ht="12.75" customHeight="1">
      <c r="A416" s="405"/>
      <c r="B416" s="12"/>
      <c r="C416" s="568"/>
      <c r="D416" s="569"/>
      <c r="E416" s="570" t="s">
        <v>2173</v>
      </c>
      <c r="F416" s="1845" t="s">
        <v>2174</v>
      </c>
      <c r="G416" s="1845"/>
      <c r="H416" s="1845"/>
      <c r="I416" s="1845"/>
      <c r="J416" s="1845"/>
      <c r="K416" s="1845"/>
      <c r="L416" s="1845"/>
      <c r="M416" s="1845"/>
      <c r="N416" s="1845"/>
      <c r="O416" s="1845"/>
      <c r="P416" s="1845"/>
      <c r="Q416" s="1845"/>
      <c r="R416" s="1845"/>
      <c r="S416" s="1845"/>
      <c r="T416" s="1845"/>
      <c r="U416" s="1845"/>
      <c r="V416" s="1845"/>
      <c r="W416" s="1845"/>
      <c r="X416" s="1845"/>
      <c r="Y416" s="1845"/>
      <c r="Z416" s="1845"/>
      <c r="AA416" s="1845"/>
      <c r="AB416" s="1845"/>
      <c r="AC416" s="1845"/>
      <c r="AD416" s="1845"/>
      <c r="AE416" s="1845"/>
      <c r="AF416" s="569"/>
      <c r="AG416" s="569"/>
      <c r="AH416" s="569"/>
      <c r="AI416" s="569"/>
      <c r="AJ416" s="569"/>
      <c r="AK416" s="569"/>
      <c r="AL416" s="598"/>
      <c r="AM416" s="436"/>
      <c r="AN416" s="459"/>
    </row>
    <row r="417" spans="1:60" s="418" customFormat="1" ht="12.75" customHeight="1">
      <c r="A417" s="405"/>
      <c r="B417" s="12"/>
      <c r="C417" s="584"/>
      <c r="D417" s="12"/>
      <c r="E417" s="547"/>
      <c r="F417" s="1846"/>
      <c r="G417" s="1846"/>
      <c r="H417" s="1846"/>
      <c r="I417" s="1846"/>
      <c r="J417" s="1846"/>
      <c r="K417" s="1846"/>
      <c r="L417" s="1846"/>
      <c r="M417" s="1846"/>
      <c r="N417" s="1846"/>
      <c r="O417" s="1846"/>
      <c r="P417" s="1846"/>
      <c r="Q417" s="1846"/>
      <c r="R417" s="1846"/>
      <c r="S417" s="1846"/>
      <c r="T417" s="1846"/>
      <c r="U417" s="1846"/>
      <c r="V417" s="1846"/>
      <c r="W417" s="1846"/>
      <c r="X417" s="1846"/>
      <c r="Y417" s="1846"/>
      <c r="Z417" s="1846"/>
      <c r="AA417" s="1846"/>
      <c r="AB417" s="1846"/>
      <c r="AC417" s="1846"/>
      <c r="AD417" s="1846"/>
      <c r="AE417" s="1846"/>
      <c r="AF417" s="408"/>
      <c r="AG417" s="405"/>
      <c r="AL417" s="585"/>
      <c r="AM417" s="436"/>
      <c r="AN417" s="459"/>
    </row>
    <row r="418" spans="1:60" s="418" customFormat="1" ht="12.5" customHeight="1">
      <c r="A418" s="405"/>
      <c r="B418" s="12"/>
      <c r="C418" s="584"/>
      <c r="D418" s="12"/>
      <c r="E418" s="547"/>
      <c r="F418" s="1846"/>
      <c r="G418" s="1846"/>
      <c r="H418" s="1846"/>
      <c r="I418" s="1846"/>
      <c r="J418" s="1846"/>
      <c r="K418" s="1846"/>
      <c r="L418" s="1846"/>
      <c r="M418" s="1846"/>
      <c r="N418" s="1846"/>
      <c r="O418" s="1846"/>
      <c r="P418" s="1846"/>
      <c r="Q418" s="1846"/>
      <c r="R418" s="1846"/>
      <c r="S418" s="1846"/>
      <c r="T418" s="1846"/>
      <c r="U418" s="1846"/>
      <c r="V418" s="1846"/>
      <c r="W418" s="1846"/>
      <c r="X418" s="1846"/>
      <c r="Y418" s="1846"/>
      <c r="Z418" s="1846"/>
      <c r="AA418" s="1846"/>
      <c r="AB418" s="1846"/>
      <c r="AC418" s="1846"/>
      <c r="AD418" s="1846"/>
      <c r="AE418" s="1846"/>
      <c r="AL418" s="585"/>
      <c r="AM418" s="436"/>
      <c r="AN418" s="459"/>
    </row>
    <row r="419" spans="1:60" s="418" customFormat="1" ht="12.75" customHeight="1">
      <c r="A419" s="405"/>
      <c r="B419" s="12"/>
      <c r="C419" s="1855" t="s">
        <v>299</v>
      </c>
      <c r="D419" s="1856"/>
      <c r="E419" s="547"/>
      <c r="F419" s="575" t="s">
        <v>2175</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914" t="s">
        <v>2153</v>
      </c>
      <c r="AG419" s="1914"/>
      <c r="AH419" s="1914"/>
      <c r="AI419" s="1914"/>
      <c r="AJ419" s="1914"/>
      <c r="AK419" s="1914"/>
      <c r="AL419" s="1944"/>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211"/>
      <c r="D421" s="1211"/>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25" customHeight="1">
      <c r="A422" s="405"/>
      <c r="C422" s="599"/>
      <c r="D422" s="600"/>
      <c r="E422" s="570" t="s">
        <v>2176</v>
      </c>
      <c r="F422" s="1845" t="s">
        <v>2177</v>
      </c>
      <c r="G422" s="1845"/>
      <c r="H422" s="1845"/>
      <c r="I422" s="1845"/>
      <c r="J422" s="1845"/>
      <c r="K422" s="1845"/>
      <c r="L422" s="1845"/>
      <c r="M422" s="1845"/>
      <c r="N422" s="1845"/>
      <c r="O422" s="1845"/>
      <c r="P422" s="1845"/>
      <c r="Q422" s="1845"/>
      <c r="R422" s="1845"/>
      <c r="S422" s="1845"/>
      <c r="T422" s="1845"/>
      <c r="U422" s="1845"/>
      <c r="V422" s="1845"/>
      <c r="W422" s="1845"/>
      <c r="X422" s="1845"/>
      <c r="Y422" s="1845"/>
      <c r="Z422" s="1845"/>
      <c r="AA422" s="1845"/>
      <c r="AB422" s="1845"/>
      <c r="AC422" s="1845"/>
      <c r="AD422" s="1845"/>
      <c r="AE422" s="1845"/>
      <c r="AF422" s="600"/>
      <c r="AG422" s="600"/>
      <c r="AH422" s="600"/>
      <c r="AI422" s="600"/>
      <c r="AJ422" s="600"/>
      <c r="AK422" s="600"/>
      <c r="AL422" s="601"/>
      <c r="AM422" s="436"/>
      <c r="AO422" s="418"/>
      <c r="AP422" s="418"/>
      <c r="BD422" s="12"/>
      <c r="BE422" s="12"/>
      <c r="BF422" s="12"/>
      <c r="BG422" s="12"/>
      <c r="BH422" s="12"/>
    </row>
    <row r="423" spans="1:60">
      <c r="A423" s="405"/>
      <c r="C423" s="584"/>
      <c r="E423" s="547"/>
      <c r="F423" s="1846"/>
      <c r="G423" s="1846"/>
      <c r="H423" s="1846"/>
      <c r="I423" s="1846"/>
      <c r="J423" s="1846"/>
      <c r="K423" s="1846"/>
      <c r="L423" s="1846"/>
      <c r="M423" s="1846"/>
      <c r="N423" s="1846"/>
      <c r="O423" s="1846"/>
      <c r="P423" s="1846"/>
      <c r="Q423" s="1846"/>
      <c r="R423" s="1846"/>
      <c r="S423" s="1846"/>
      <c r="T423" s="1846"/>
      <c r="U423" s="1846"/>
      <c r="V423" s="1846"/>
      <c r="W423" s="1846"/>
      <c r="X423" s="1846"/>
      <c r="Y423" s="1846"/>
      <c r="Z423" s="1846"/>
      <c r="AA423" s="1846"/>
      <c r="AB423" s="1846"/>
      <c r="AC423" s="1846"/>
      <c r="AD423" s="1846"/>
      <c r="AE423" s="1846"/>
      <c r="AF423" s="1190"/>
      <c r="AG423" s="1190"/>
      <c r="AH423" s="1190"/>
      <c r="AI423" s="1190"/>
      <c r="AJ423" s="1190"/>
      <c r="AK423" s="1190"/>
      <c r="AL423" s="1205"/>
      <c r="AM423" s="436"/>
      <c r="AO423" s="418"/>
      <c r="AP423" s="418"/>
    </row>
    <row r="424" spans="1:60" s="418" customFormat="1" ht="12.75" customHeight="1">
      <c r="A424" s="405"/>
      <c r="B424" s="12"/>
      <c r="C424" s="584"/>
      <c r="D424" s="12"/>
      <c r="E424" s="547"/>
      <c r="F424" s="1846"/>
      <c r="G424" s="1846"/>
      <c r="H424" s="1846"/>
      <c r="I424" s="1846"/>
      <c r="J424" s="1846"/>
      <c r="K424" s="1846"/>
      <c r="L424" s="1846"/>
      <c r="M424" s="1846"/>
      <c r="N424" s="1846"/>
      <c r="O424" s="1846"/>
      <c r="P424" s="1846"/>
      <c r="Q424" s="1846"/>
      <c r="R424" s="1846"/>
      <c r="S424" s="1846"/>
      <c r="T424" s="1846"/>
      <c r="U424" s="1846"/>
      <c r="V424" s="1846"/>
      <c r="W424" s="1846"/>
      <c r="X424" s="1846"/>
      <c r="Y424" s="1846"/>
      <c r="Z424" s="1846"/>
      <c r="AA424" s="1846"/>
      <c r="AB424" s="1846"/>
      <c r="AC424" s="1846"/>
      <c r="AD424" s="1846"/>
      <c r="AE424" s="1846"/>
      <c r="AF424" s="1190"/>
      <c r="AG424" s="1190"/>
      <c r="AH424" s="1190"/>
      <c r="AI424" s="1190"/>
      <c r="AJ424" s="1190"/>
      <c r="AK424" s="1190"/>
      <c r="AL424" s="1205"/>
      <c r="AM424" s="436"/>
      <c r="AN424" s="459"/>
    </row>
    <row r="425" spans="1:60" s="418" customFormat="1" ht="12.75" customHeight="1">
      <c r="A425" s="405"/>
      <c r="B425" s="12"/>
      <c r="C425" s="1212"/>
      <c r="D425" s="1211"/>
      <c r="E425" s="574"/>
      <c r="F425" s="1846"/>
      <c r="G425" s="1846"/>
      <c r="H425" s="1846"/>
      <c r="I425" s="1846"/>
      <c r="J425" s="1846"/>
      <c r="K425" s="1846"/>
      <c r="L425" s="1846"/>
      <c r="M425" s="1846"/>
      <c r="N425" s="1846"/>
      <c r="O425" s="1846"/>
      <c r="P425" s="1846"/>
      <c r="Q425" s="1846"/>
      <c r="R425" s="1846"/>
      <c r="S425" s="1846"/>
      <c r="T425" s="1846"/>
      <c r="U425" s="1846"/>
      <c r="V425" s="1846"/>
      <c r="W425" s="1846"/>
      <c r="X425" s="1846"/>
      <c r="Y425" s="1846"/>
      <c r="Z425" s="1846"/>
      <c r="AA425" s="1846"/>
      <c r="AB425" s="1846"/>
      <c r="AC425" s="1846"/>
      <c r="AD425" s="1846"/>
      <c r="AE425" s="1846"/>
      <c r="AF425" s="1190"/>
      <c r="AG425" s="1190"/>
      <c r="AH425" s="1190"/>
      <c r="AI425" s="1190"/>
      <c r="AJ425" s="1190"/>
      <c r="AK425" s="1190"/>
      <c r="AL425" s="1205"/>
      <c r="AM425" s="436"/>
      <c r="AN425" s="459"/>
      <c r="AO425" s="24"/>
      <c r="AP425" s="12"/>
    </row>
    <row r="426" spans="1:60" s="418" customFormat="1" ht="12.75" customHeight="1">
      <c r="A426" s="405"/>
      <c r="B426" s="12"/>
      <c r="C426" s="1212"/>
      <c r="D426" s="1211"/>
      <c r="E426" s="574"/>
      <c r="F426" s="1846"/>
      <c r="G426" s="1846"/>
      <c r="H426" s="1846"/>
      <c r="I426" s="1846"/>
      <c r="J426" s="1846"/>
      <c r="K426" s="1846"/>
      <c r="L426" s="1846"/>
      <c r="M426" s="1846"/>
      <c r="N426" s="1846"/>
      <c r="O426" s="1846"/>
      <c r="P426" s="1846"/>
      <c r="Q426" s="1846"/>
      <c r="R426" s="1846"/>
      <c r="S426" s="1846"/>
      <c r="T426" s="1846"/>
      <c r="U426" s="1846"/>
      <c r="V426" s="1846"/>
      <c r="W426" s="1846"/>
      <c r="X426" s="1846"/>
      <c r="Y426" s="1846"/>
      <c r="Z426" s="1846"/>
      <c r="AA426" s="1846"/>
      <c r="AB426" s="1846"/>
      <c r="AC426" s="1846"/>
      <c r="AD426" s="1846"/>
      <c r="AE426" s="1846"/>
      <c r="AF426" s="1190"/>
      <c r="AG426" s="1190"/>
      <c r="AH426" s="1190"/>
      <c r="AI426" s="1190"/>
      <c r="AJ426" s="1190"/>
      <c r="AK426" s="1190"/>
      <c r="AL426" s="1205"/>
      <c r="AM426" s="436"/>
      <c r="AN426" s="459"/>
    </row>
    <row r="427" spans="1:60" s="418" customFormat="1" ht="12.75" customHeight="1">
      <c r="A427" s="405"/>
      <c r="B427" s="12"/>
      <c r="C427" s="1212"/>
      <c r="D427" s="1211"/>
      <c r="E427" s="574"/>
      <c r="F427" s="1846"/>
      <c r="G427" s="1846"/>
      <c r="H427" s="1846"/>
      <c r="I427" s="1846"/>
      <c r="J427" s="1846"/>
      <c r="K427" s="1846"/>
      <c r="L427" s="1846"/>
      <c r="M427" s="1846"/>
      <c r="N427" s="1846"/>
      <c r="O427" s="1846"/>
      <c r="P427" s="1846"/>
      <c r="Q427" s="1846"/>
      <c r="R427" s="1846"/>
      <c r="S427" s="1846"/>
      <c r="T427" s="1846"/>
      <c r="U427" s="1846"/>
      <c r="V427" s="1846"/>
      <c r="W427" s="1846"/>
      <c r="X427" s="1846"/>
      <c r="Y427" s="1846"/>
      <c r="Z427" s="1846"/>
      <c r="AA427" s="1846"/>
      <c r="AB427" s="1846"/>
      <c r="AC427" s="1846"/>
      <c r="AD427" s="1846"/>
      <c r="AE427" s="1846"/>
      <c r="AF427" s="1190"/>
      <c r="AG427" s="1190"/>
      <c r="AH427" s="1190"/>
      <c r="AI427" s="1190"/>
      <c r="AJ427" s="1190"/>
      <c r="AK427" s="1190"/>
      <c r="AL427" s="1205"/>
      <c r="AM427" s="436"/>
      <c r="AN427" s="459"/>
    </row>
    <row r="428" spans="1:60" s="418" customFormat="1" ht="12.75" customHeight="1">
      <c r="A428" s="405"/>
      <c r="B428" s="12"/>
      <c r="C428" s="1212"/>
      <c r="D428" s="1211"/>
      <c r="E428" s="574"/>
      <c r="F428" s="1846"/>
      <c r="G428" s="1846"/>
      <c r="H428" s="1846"/>
      <c r="I428" s="1846"/>
      <c r="J428" s="1846"/>
      <c r="K428" s="1846"/>
      <c r="L428" s="1846"/>
      <c r="M428" s="1846"/>
      <c r="N428" s="1846"/>
      <c r="O428" s="1846"/>
      <c r="P428" s="1846"/>
      <c r="Q428" s="1846"/>
      <c r="R428" s="1846"/>
      <c r="S428" s="1846"/>
      <c r="T428" s="1846"/>
      <c r="U428" s="1846"/>
      <c r="V428" s="1846"/>
      <c r="W428" s="1846"/>
      <c r="X428" s="1846"/>
      <c r="Y428" s="1846"/>
      <c r="Z428" s="1846"/>
      <c r="AA428" s="1846"/>
      <c r="AB428" s="1846"/>
      <c r="AC428" s="1846"/>
      <c r="AD428" s="1846"/>
      <c r="AE428" s="1846"/>
      <c r="AF428" s="1190"/>
      <c r="AG428" s="1190"/>
      <c r="AH428" s="1190"/>
      <c r="AI428" s="1190"/>
      <c r="AJ428" s="1190"/>
      <c r="AK428" s="1190"/>
      <c r="AL428" s="1205"/>
      <c r="AM428" s="436"/>
      <c r="AN428" s="459"/>
    </row>
    <row r="429" spans="1:60" s="418" customFormat="1" ht="12.75" customHeight="1">
      <c r="A429" s="405"/>
      <c r="B429" s="12"/>
      <c r="C429" s="1212"/>
      <c r="D429" s="1211"/>
      <c r="E429" s="574"/>
      <c r="F429" s="1846"/>
      <c r="G429" s="1846"/>
      <c r="H429" s="1846"/>
      <c r="I429" s="1846"/>
      <c r="J429" s="1846"/>
      <c r="K429" s="1846"/>
      <c r="L429" s="1846"/>
      <c r="M429" s="1846"/>
      <c r="N429" s="1846"/>
      <c r="O429" s="1846"/>
      <c r="P429" s="1846"/>
      <c r="Q429" s="1846"/>
      <c r="R429" s="1846"/>
      <c r="S429" s="1846"/>
      <c r="T429" s="1846"/>
      <c r="U429" s="1846"/>
      <c r="V429" s="1846"/>
      <c r="W429" s="1846"/>
      <c r="X429" s="1846"/>
      <c r="Y429" s="1846"/>
      <c r="Z429" s="1846"/>
      <c r="AA429" s="1846"/>
      <c r="AB429" s="1846"/>
      <c r="AC429" s="1846"/>
      <c r="AD429" s="1846"/>
      <c r="AE429" s="1846"/>
      <c r="AF429" s="1190"/>
      <c r="AG429" s="1190"/>
      <c r="AH429" s="1190"/>
      <c r="AI429" s="1190"/>
      <c r="AJ429" s="1190"/>
      <c r="AK429" s="1190"/>
      <c r="AL429" s="1205"/>
      <c r="AM429" s="436"/>
      <c r="AN429" s="459"/>
    </row>
    <row r="430" spans="1:60" s="418" customFormat="1" ht="17.25" customHeight="1">
      <c r="A430" s="405"/>
      <c r="B430" s="12"/>
      <c r="C430" s="1212"/>
      <c r="D430" s="1211"/>
      <c r="E430" s="574"/>
      <c r="F430" s="1846"/>
      <c r="G430" s="1846"/>
      <c r="H430" s="1846"/>
      <c r="I430" s="1846"/>
      <c r="J430" s="1846"/>
      <c r="K430" s="1846"/>
      <c r="L430" s="1846"/>
      <c r="M430" s="1846"/>
      <c r="N430" s="1846"/>
      <c r="O430" s="1846"/>
      <c r="P430" s="1846"/>
      <c r="Q430" s="1846"/>
      <c r="R430" s="1846"/>
      <c r="S430" s="1846"/>
      <c r="T430" s="1846"/>
      <c r="U430" s="1846"/>
      <c r="V430" s="1846"/>
      <c r="W430" s="1846"/>
      <c r="X430" s="1846"/>
      <c r="Y430" s="1846"/>
      <c r="Z430" s="1846"/>
      <c r="AA430" s="1846"/>
      <c r="AB430" s="1846"/>
      <c r="AC430" s="1846"/>
      <c r="AD430" s="1846"/>
      <c r="AE430" s="1846"/>
      <c r="AL430" s="585"/>
      <c r="AM430" s="436"/>
      <c r="AN430" s="459"/>
    </row>
    <row r="431" spans="1:60" s="418" customFormat="1" ht="12.75" customHeight="1">
      <c r="A431" s="405"/>
      <c r="B431" s="12"/>
      <c r="C431" s="1855" t="s">
        <v>299</v>
      </c>
      <c r="D431" s="1856"/>
      <c r="E431" s="574"/>
      <c r="F431" s="458" t="s">
        <v>2178</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914" t="s">
        <v>2153</v>
      </c>
      <c r="AG431" s="1914"/>
      <c r="AH431" s="1914"/>
      <c r="AI431" s="1914"/>
      <c r="AJ431" s="1914"/>
      <c r="AK431" s="1914"/>
      <c r="AL431" s="1944"/>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211"/>
      <c r="D433" s="1211"/>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201"/>
      <c r="AF433" s="1201"/>
      <c r="AG433" s="1201"/>
      <c r="AH433" s="1201"/>
      <c r="AI433" s="1201"/>
      <c r="AJ433" s="1201"/>
      <c r="AK433" s="1201"/>
      <c r="AL433" s="1201"/>
      <c r="AM433" s="436"/>
      <c r="AN433" s="459"/>
    </row>
    <row r="434" spans="1:40" s="418" customFormat="1" ht="12.75" customHeight="1">
      <c r="A434" s="405"/>
      <c r="B434" s="12"/>
      <c r="C434" s="568"/>
      <c r="D434" s="569"/>
      <c r="E434" s="570" t="s">
        <v>2179</v>
      </c>
      <c r="F434" s="1845" t="s">
        <v>2180</v>
      </c>
      <c r="G434" s="1845"/>
      <c r="H434" s="1845"/>
      <c r="I434" s="1845"/>
      <c r="J434" s="1845"/>
      <c r="K434" s="1845"/>
      <c r="L434" s="1845"/>
      <c r="M434" s="1845"/>
      <c r="N434" s="1845"/>
      <c r="O434" s="1845"/>
      <c r="P434" s="1845"/>
      <c r="Q434" s="1845"/>
      <c r="R434" s="1845"/>
      <c r="S434" s="1845"/>
      <c r="T434" s="1845"/>
      <c r="U434" s="1845"/>
      <c r="V434" s="1845"/>
      <c r="W434" s="1845"/>
      <c r="X434" s="1845"/>
      <c r="Y434" s="1845"/>
      <c r="Z434" s="1845"/>
      <c r="AA434" s="1845"/>
      <c r="AB434" s="1845"/>
      <c r="AC434" s="1845"/>
      <c r="AD434" s="1845"/>
      <c r="AE434" s="1845"/>
      <c r="AF434" s="569"/>
      <c r="AG434" s="569"/>
      <c r="AH434" s="569"/>
      <c r="AI434" s="569"/>
      <c r="AJ434" s="569"/>
      <c r="AK434" s="569"/>
      <c r="AL434" s="598"/>
      <c r="AM434" s="436"/>
      <c r="AN434" s="459"/>
    </row>
    <row r="435" spans="1:40" s="418" customFormat="1" ht="12.75" customHeight="1">
      <c r="A435" s="405"/>
      <c r="B435" s="12"/>
      <c r="C435" s="1212"/>
      <c r="D435" s="1211"/>
      <c r="E435" s="574"/>
      <c r="F435" s="1846"/>
      <c r="G435" s="1846"/>
      <c r="H435" s="1846"/>
      <c r="I435" s="1846"/>
      <c r="J435" s="1846"/>
      <c r="K435" s="1846"/>
      <c r="L435" s="1846"/>
      <c r="M435" s="1846"/>
      <c r="N435" s="1846"/>
      <c r="O435" s="1846"/>
      <c r="P435" s="1846"/>
      <c r="Q435" s="1846"/>
      <c r="R435" s="1846"/>
      <c r="S435" s="1846"/>
      <c r="T435" s="1846"/>
      <c r="U435" s="1846"/>
      <c r="V435" s="1846"/>
      <c r="W435" s="1846"/>
      <c r="X435" s="1846"/>
      <c r="Y435" s="1846"/>
      <c r="Z435" s="1846"/>
      <c r="AA435" s="1846"/>
      <c r="AB435" s="1846"/>
      <c r="AC435" s="1846"/>
      <c r="AD435" s="1846"/>
      <c r="AE435" s="1846"/>
      <c r="AF435" s="1201"/>
      <c r="AG435" s="1201"/>
      <c r="AH435" s="1201"/>
      <c r="AI435" s="1201"/>
      <c r="AJ435" s="1201"/>
      <c r="AK435" s="1201"/>
      <c r="AL435" s="1202"/>
      <c r="AM435" s="436"/>
      <c r="AN435" s="459"/>
    </row>
    <row r="436" spans="1:40" s="418" customFormat="1" ht="12.75" customHeight="1">
      <c r="A436" s="405"/>
      <c r="B436" s="12"/>
      <c r="C436" s="1212"/>
      <c r="D436" s="1211"/>
      <c r="E436" s="574"/>
      <c r="F436" s="1846"/>
      <c r="G436" s="1846"/>
      <c r="H436" s="1846"/>
      <c r="I436" s="1846"/>
      <c r="J436" s="1846"/>
      <c r="K436" s="1846"/>
      <c r="L436" s="1846"/>
      <c r="M436" s="1846"/>
      <c r="N436" s="1846"/>
      <c r="O436" s="1846"/>
      <c r="P436" s="1846"/>
      <c r="Q436" s="1846"/>
      <c r="R436" s="1846"/>
      <c r="S436" s="1846"/>
      <c r="T436" s="1846"/>
      <c r="U436" s="1846"/>
      <c r="V436" s="1846"/>
      <c r="W436" s="1846"/>
      <c r="X436" s="1846"/>
      <c r="Y436" s="1846"/>
      <c r="Z436" s="1846"/>
      <c r="AA436" s="1846"/>
      <c r="AB436" s="1846"/>
      <c r="AC436" s="1846"/>
      <c r="AD436" s="1846"/>
      <c r="AE436" s="1846"/>
      <c r="AF436" s="1201"/>
      <c r="AG436" s="1201"/>
      <c r="AH436" s="1201"/>
      <c r="AI436" s="1201"/>
      <c r="AJ436" s="1201"/>
      <c r="AK436" s="1201"/>
      <c r="AL436" s="1202"/>
      <c r="AM436" s="436"/>
      <c r="AN436" s="459"/>
    </row>
    <row r="437" spans="1:40" s="418" customFormat="1" ht="12.75" customHeight="1">
      <c r="A437" s="405"/>
      <c r="B437" s="12"/>
      <c r="C437" s="1212"/>
      <c r="D437" s="1211"/>
      <c r="E437" s="574"/>
      <c r="F437" s="1846"/>
      <c r="G437" s="1846"/>
      <c r="H437" s="1846"/>
      <c r="I437" s="1846"/>
      <c r="J437" s="1846"/>
      <c r="K437" s="1846"/>
      <c r="L437" s="1846"/>
      <c r="M437" s="1846"/>
      <c r="N437" s="1846"/>
      <c r="O437" s="1846"/>
      <c r="P437" s="1846"/>
      <c r="Q437" s="1846"/>
      <c r="R437" s="1846"/>
      <c r="S437" s="1846"/>
      <c r="T437" s="1846"/>
      <c r="U437" s="1846"/>
      <c r="V437" s="1846"/>
      <c r="W437" s="1846"/>
      <c r="X437" s="1846"/>
      <c r="Y437" s="1846"/>
      <c r="Z437" s="1846"/>
      <c r="AA437" s="1846"/>
      <c r="AB437" s="1846"/>
      <c r="AC437" s="1846"/>
      <c r="AD437" s="1846"/>
      <c r="AE437" s="1846"/>
      <c r="AL437" s="585"/>
      <c r="AM437" s="436"/>
      <c r="AN437" s="459"/>
    </row>
    <row r="438" spans="1:40" s="418" customFormat="1" ht="12.75" customHeight="1">
      <c r="A438" s="405"/>
      <c r="B438" s="12"/>
      <c r="C438" s="1855" t="s">
        <v>299</v>
      </c>
      <c r="D438" s="1856"/>
      <c r="E438" s="574"/>
      <c r="F438" s="575" t="s">
        <v>2181</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914" t="s">
        <v>2153</v>
      </c>
      <c r="AG438" s="1914"/>
      <c r="AH438" s="1914"/>
      <c r="AI438" s="1914"/>
      <c r="AJ438" s="1914"/>
      <c r="AK438" s="1914"/>
      <c r="AL438" s="1944"/>
      <c r="AM438" s="436"/>
      <c r="AN438" s="604"/>
    </row>
    <row r="439" spans="1:40" s="418" customFormat="1" ht="12.75" customHeight="1">
      <c r="A439" s="405"/>
      <c r="B439" s="12"/>
      <c r="C439" s="1212"/>
      <c r="D439" s="1211"/>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201"/>
      <c r="AL439" s="585"/>
      <c r="AM439" s="436"/>
      <c r="AN439" s="604"/>
    </row>
    <row r="440" spans="1:40" s="418" customFormat="1" ht="12.75" customHeight="1">
      <c r="A440" s="405"/>
      <c r="B440" s="12"/>
      <c r="C440" s="593"/>
      <c r="D440" s="586"/>
      <c r="E440" s="587"/>
      <c r="F440" s="581" t="s">
        <v>2160</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211"/>
      <c r="D441" s="1211"/>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201"/>
      <c r="AM441" s="436"/>
      <c r="AN441" s="604"/>
    </row>
    <row r="442" spans="1:40" s="418" customFormat="1" ht="12.75" customHeight="1">
      <c r="A442" s="405"/>
      <c r="B442" s="12"/>
      <c r="C442" s="1973" t="s">
        <v>299</v>
      </c>
      <c r="D442" s="1974"/>
      <c r="E442" s="570" t="s">
        <v>2182</v>
      </c>
      <c r="F442" s="1845" t="s">
        <v>2183</v>
      </c>
      <c r="G442" s="1845"/>
      <c r="H442" s="1845"/>
      <c r="I442" s="1845"/>
      <c r="J442" s="1845"/>
      <c r="K442" s="1845"/>
      <c r="L442" s="1845"/>
      <c r="M442" s="1845"/>
      <c r="N442" s="1845"/>
      <c r="O442" s="1845"/>
      <c r="P442" s="1845"/>
      <c r="Q442" s="1845"/>
      <c r="R442" s="1845"/>
      <c r="S442" s="1845"/>
      <c r="T442" s="1845"/>
      <c r="U442" s="1845"/>
      <c r="V442" s="1845"/>
      <c r="W442" s="1845"/>
      <c r="X442" s="1845"/>
      <c r="Y442" s="1845"/>
      <c r="Z442" s="1845"/>
      <c r="AA442" s="1845"/>
      <c r="AB442" s="1845"/>
      <c r="AC442" s="1845"/>
      <c r="AD442" s="1845"/>
      <c r="AE442" s="1845"/>
      <c r="AF442" s="1940" t="s">
        <v>2153</v>
      </c>
      <c r="AG442" s="1940"/>
      <c r="AH442" s="1940"/>
      <c r="AI442" s="1940"/>
      <c r="AJ442" s="1940"/>
      <c r="AK442" s="1940"/>
      <c r="AL442" s="1941"/>
      <c r="AM442" s="436"/>
      <c r="AN442" s="604"/>
    </row>
    <row r="443" spans="1:40" s="418" customFormat="1" ht="12.75" customHeight="1">
      <c r="A443" s="405"/>
      <c r="B443" s="12"/>
      <c r="C443" s="1212"/>
      <c r="D443" s="1211"/>
      <c r="E443" s="574"/>
      <c r="F443" s="1846"/>
      <c r="G443" s="1846"/>
      <c r="H443" s="1846"/>
      <c r="I443" s="1846"/>
      <c r="J443" s="1846"/>
      <c r="K443" s="1846"/>
      <c r="L443" s="1846"/>
      <c r="M443" s="1846"/>
      <c r="N443" s="1846"/>
      <c r="O443" s="1846"/>
      <c r="P443" s="1846"/>
      <c r="Q443" s="1846"/>
      <c r="R443" s="1846"/>
      <c r="S443" s="1846"/>
      <c r="T443" s="1846"/>
      <c r="U443" s="1846"/>
      <c r="V443" s="1846"/>
      <c r="W443" s="1846"/>
      <c r="X443" s="1846"/>
      <c r="Y443" s="1846"/>
      <c r="Z443" s="1846"/>
      <c r="AA443" s="1846"/>
      <c r="AB443" s="1846"/>
      <c r="AC443" s="1846"/>
      <c r="AD443" s="1846"/>
      <c r="AE443" s="1846"/>
      <c r="AF443" s="1201"/>
      <c r="AG443" s="1201"/>
      <c r="AH443" s="1201"/>
      <c r="AI443" s="1201"/>
      <c r="AJ443" s="1201"/>
      <c r="AK443" s="1201"/>
      <c r="AL443" s="1202"/>
      <c r="AM443" s="436"/>
      <c r="AN443" s="605"/>
    </row>
    <row r="444" spans="1:40" s="418" customFormat="1" ht="17.75" customHeight="1">
      <c r="A444" s="405"/>
      <c r="B444" s="12"/>
      <c r="C444" s="607"/>
      <c r="D444" s="577"/>
      <c r="E444" s="578"/>
      <c r="F444" s="1928"/>
      <c r="G444" s="1928"/>
      <c r="H444" s="1928"/>
      <c r="I444" s="1928"/>
      <c r="J444" s="1928"/>
      <c r="K444" s="1928"/>
      <c r="L444" s="1928"/>
      <c r="M444" s="1928"/>
      <c r="N444" s="1928"/>
      <c r="O444" s="1928"/>
      <c r="P444" s="1928"/>
      <c r="Q444" s="1928"/>
      <c r="R444" s="1928"/>
      <c r="S444" s="1928"/>
      <c r="T444" s="1928"/>
      <c r="U444" s="1928"/>
      <c r="V444" s="1928"/>
      <c r="W444" s="1928"/>
      <c r="X444" s="1928"/>
      <c r="Y444" s="1928"/>
      <c r="Z444" s="1928"/>
      <c r="AA444" s="1928"/>
      <c r="AB444" s="1928"/>
      <c r="AC444" s="1928"/>
      <c r="AD444" s="1928"/>
      <c r="AE444" s="1928"/>
      <c r="AF444" s="582"/>
      <c r="AG444" s="582"/>
      <c r="AH444" s="582"/>
      <c r="AI444" s="582"/>
      <c r="AJ444" s="582"/>
      <c r="AK444" s="582"/>
      <c r="AL444" s="608"/>
      <c r="AM444" s="436"/>
      <c r="AN444" s="404"/>
    </row>
    <row r="445" spans="1:40" s="418" customFormat="1" ht="12.75" customHeight="1">
      <c r="A445" s="405"/>
      <c r="B445" s="12"/>
      <c r="C445" s="1211"/>
      <c r="D445" s="1211"/>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201"/>
      <c r="AM445" s="436"/>
      <c r="AN445" s="404"/>
    </row>
    <row r="446" spans="1:40" s="418" customFormat="1" ht="12.75" customHeight="1">
      <c r="A446" s="405"/>
      <c r="B446" s="12"/>
      <c r="C446" s="1855" t="s">
        <v>299</v>
      </c>
      <c r="D446" s="1856"/>
      <c r="E446" s="570" t="s">
        <v>2184</v>
      </c>
      <c r="F446" s="1845" t="s">
        <v>2185</v>
      </c>
      <c r="G446" s="1845"/>
      <c r="H446" s="1845"/>
      <c r="I446" s="1845"/>
      <c r="J446" s="1845"/>
      <c r="K446" s="1845"/>
      <c r="L446" s="1845"/>
      <c r="M446" s="1845"/>
      <c r="N446" s="1845"/>
      <c r="O446" s="1845"/>
      <c r="P446" s="1845"/>
      <c r="Q446" s="1845"/>
      <c r="R446" s="1845"/>
      <c r="S446" s="1845"/>
      <c r="T446" s="1845"/>
      <c r="U446" s="1845"/>
      <c r="V446" s="1845"/>
      <c r="W446" s="1845"/>
      <c r="X446" s="1845"/>
      <c r="Y446" s="1845"/>
      <c r="Z446" s="1845"/>
      <c r="AA446" s="1845"/>
      <c r="AB446" s="1845"/>
      <c r="AC446" s="1845"/>
      <c r="AD446" s="1845"/>
      <c r="AE446" s="1845"/>
      <c r="AF446" s="1940" t="s">
        <v>2153</v>
      </c>
      <c r="AG446" s="1940"/>
      <c r="AH446" s="1940"/>
      <c r="AI446" s="1940"/>
      <c r="AJ446" s="1940"/>
      <c r="AK446" s="1940"/>
      <c r="AL446" s="1941"/>
      <c r="AM446" s="436"/>
      <c r="AN446" s="404"/>
    </row>
    <row r="447" spans="1:40" s="418" customFormat="1" ht="12.75" customHeight="1">
      <c r="A447" s="405"/>
      <c r="B447" s="12"/>
      <c r="C447" s="584"/>
      <c r="D447" s="12"/>
      <c r="E447" s="547"/>
      <c r="F447" s="1846"/>
      <c r="G447" s="1846"/>
      <c r="H447" s="1846"/>
      <c r="I447" s="1846"/>
      <c r="J447" s="1846"/>
      <c r="K447" s="1846"/>
      <c r="L447" s="1846"/>
      <c r="M447" s="1846"/>
      <c r="N447" s="1846"/>
      <c r="O447" s="1846"/>
      <c r="P447" s="1846"/>
      <c r="Q447" s="1846"/>
      <c r="R447" s="1846"/>
      <c r="S447" s="1846"/>
      <c r="T447" s="1846"/>
      <c r="U447" s="1846"/>
      <c r="V447" s="1846"/>
      <c r="W447" s="1846"/>
      <c r="X447" s="1846"/>
      <c r="Y447" s="1846"/>
      <c r="Z447" s="1846"/>
      <c r="AA447" s="1846"/>
      <c r="AB447" s="1846"/>
      <c r="AC447" s="1846"/>
      <c r="AD447" s="1846"/>
      <c r="AE447" s="1846"/>
      <c r="AF447" s="408"/>
      <c r="AG447" s="405"/>
      <c r="AL447" s="585"/>
      <c r="AM447" s="436"/>
      <c r="AN447" s="404"/>
    </row>
    <row r="448" spans="1:40" s="418" customFormat="1" ht="12.75" customHeight="1">
      <c r="A448" s="405"/>
      <c r="B448" s="12"/>
      <c r="C448" s="584"/>
      <c r="D448" s="12"/>
      <c r="E448" s="547"/>
      <c r="F448" s="1846"/>
      <c r="G448" s="1846"/>
      <c r="H448" s="1846"/>
      <c r="I448" s="1846"/>
      <c r="J448" s="1846"/>
      <c r="K448" s="1846"/>
      <c r="L448" s="1846"/>
      <c r="M448" s="1846"/>
      <c r="N448" s="1846"/>
      <c r="O448" s="1846"/>
      <c r="P448" s="1846"/>
      <c r="Q448" s="1846"/>
      <c r="R448" s="1846"/>
      <c r="S448" s="1846"/>
      <c r="T448" s="1846"/>
      <c r="U448" s="1846"/>
      <c r="V448" s="1846"/>
      <c r="W448" s="1846"/>
      <c r="X448" s="1846"/>
      <c r="Y448" s="1846"/>
      <c r="Z448" s="1846"/>
      <c r="AA448" s="1846"/>
      <c r="AB448" s="1846"/>
      <c r="AC448" s="1846"/>
      <c r="AD448" s="1846"/>
      <c r="AE448" s="1846"/>
      <c r="AF448" s="408"/>
      <c r="AG448" s="405"/>
      <c r="AL448" s="585"/>
      <c r="AM448" s="436"/>
      <c r="AN448" s="404"/>
    </row>
    <row r="449" spans="1:48" s="418" customFormat="1" ht="12.75" customHeight="1">
      <c r="A449" s="405"/>
      <c r="B449" s="12"/>
      <c r="C449" s="607"/>
      <c r="D449" s="577"/>
      <c r="E449" s="578"/>
      <c r="F449" s="1928"/>
      <c r="G449" s="1928"/>
      <c r="H449" s="1928"/>
      <c r="I449" s="1928"/>
      <c r="J449" s="1928"/>
      <c r="K449" s="1928"/>
      <c r="L449" s="1928"/>
      <c r="M449" s="1928"/>
      <c r="N449" s="1928"/>
      <c r="O449" s="1928"/>
      <c r="P449" s="1928"/>
      <c r="Q449" s="1928"/>
      <c r="R449" s="1928"/>
      <c r="S449" s="1928"/>
      <c r="T449" s="1928"/>
      <c r="U449" s="1928"/>
      <c r="V449" s="1928"/>
      <c r="W449" s="1928"/>
      <c r="X449" s="1928"/>
      <c r="Y449" s="1928"/>
      <c r="Z449" s="1928"/>
      <c r="AA449" s="1928"/>
      <c r="AB449" s="1928"/>
      <c r="AC449" s="1928"/>
      <c r="AD449" s="1928"/>
      <c r="AE449" s="1928"/>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2186</v>
      </c>
      <c r="F451" s="1845" t="s">
        <v>2187</v>
      </c>
      <c r="G451" s="1845"/>
      <c r="H451" s="1845"/>
      <c r="I451" s="1845"/>
      <c r="J451" s="1845"/>
      <c r="K451" s="1845"/>
      <c r="L451" s="1845"/>
      <c r="M451" s="1845"/>
      <c r="N451" s="1845"/>
      <c r="O451" s="1845"/>
      <c r="P451" s="1845"/>
      <c r="Q451" s="1845"/>
      <c r="R451" s="1845"/>
      <c r="S451" s="1845"/>
      <c r="T451" s="1845"/>
      <c r="U451" s="1845"/>
      <c r="V451" s="1845"/>
      <c r="W451" s="1845"/>
      <c r="X451" s="1845"/>
      <c r="Y451" s="1845"/>
      <c r="Z451" s="1845"/>
      <c r="AA451" s="1845"/>
      <c r="AB451" s="1845"/>
      <c r="AC451" s="1845"/>
      <c r="AD451" s="1845"/>
      <c r="AE451" s="1845"/>
      <c r="AF451" s="1845"/>
      <c r="AG451" s="597"/>
      <c r="AH451" s="569"/>
      <c r="AI451" s="569"/>
      <c r="AJ451" s="569"/>
      <c r="AK451" s="569"/>
      <c r="AL451" s="598"/>
      <c r="AM451" s="436"/>
      <c r="AN451" s="459"/>
    </row>
    <row r="452" spans="1:48" s="418" customFormat="1" ht="12.75" customHeight="1">
      <c r="A452" s="405"/>
      <c r="B452" s="12"/>
      <c r="C452" s="584"/>
      <c r="D452" s="12"/>
      <c r="E452" s="547"/>
      <c r="F452" s="1846"/>
      <c r="G452" s="1846"/>
      <c r="H452" s="1846"/>
      <c r="I452" s="1846"/>
      <c r="J452" s="1846"/>
      <c r="K452" s="1846"/>
      <c r="L452" s="1846"/>
      <c r="M452" s="1846"/>
      <c r="N452" s="1846"/>
      <c r="O452" s="1846"/>
      <c r="P452" s="1846"/>
      <c r="Q452" s="1846"/>
      <c r="R452" s="1846"/>
      <c r="S452" s="1846"/>
      <c r="T452" s="1846"/>
      <c r="U452" s="1846"/>
      <c r="V452" s="1846"/>
      <c r="W452" s="1846"/>
      <c r="X452" s="1846"/>
      <c r="Y452" s="1846"/>
      <c r="Z452" s="1846"/>
      <c r="AA452" s="1846"/>
      <c r="AB452" s="1846"/>
      <c r="AC452" s="1846"/>
      <c r="AD452" s="1846"/>
      <c r="AE452" s="1846"/>
      <c r="AF452" s="1846"/>
      <c r="AL452" s="585"/>
      <c r="AM452" s="436"/>
      <c r="AN452" s="459"/>
    </row>
    <row r="453" spans="1:48" s="418" customFormat="1" ht="12.75" customHeight="1">
      <c r="A453" s="405"/>
      <c r="B453" s="12"/>
      <c r="C453" s="592"/>
      <c r="F453" s="1846"/>
      <c r="G453" s="1846"/>
      <c r="H453" s="1846"/>
      <c r="I453" s="1846"/>
      <c r="J453" s="1846"/>
      <c r="K453" s="1846"/>
      <c r="L453" s="1846"/>
      <c r="M453" s="1846"/>
      <c r="N453" s="1846"/>
      <c r="O453" s="1846"/>
      <c r="P453" s="1846"/>
      <c r="Q453" s="1846"/>
      <c r="R453" s="1846"/>
      <c r="S453" s="1846"/>
      <c r="T453" s="1846"/>
      <c r="U453" s="1846"/>
      <c r="V453" s="1846"/>
      <c r="W453" s="1846"/>
      <c r="X453" s="1846"/>
      <c r="Y453" s="1846"/>
      <c r="Z453" s="1846"/>
      <c r="AA453" s="1846"/>
      <c r="AB453" s="1846"/>
      <c r="AC453" s="1846"/>
      <c r="AD453" s="1846"/>
      <c r="AE453" s="1846"/>
      <c r="AF453" s="1846"/>
      <c r="AL453" s="585"/>
      <c r="AM453" s="436"/>
      <c r="AN453" s="459"/>
    </row>
    <row r="454" spans="1:48" s="418" customFormat="1" ht="12.75" customHeight="1">
      <c r="A454" s="405"/>
      <c r="B454" s="12"/>
      <c r="C454" s="592"/>
      <c r="F454" s="1846"/>
      <c r="G454" s="1846"/>
      <c r="H454" s="1846"/>
      <c r="I454" s="1846"/>
      <c r="J454" s="1846"/>
      <c r="K454" s="1846"/>
      <c r="L454" s="1846"/>
      <c r="M454" s="1846"/>
      <c r="N454" s="1846"/>
      <c r="O454" s="1846"/>
      <c r="P454" s="1846"/>
      <c r="Q454" s="1846"/>
      <c r="R454" s="1846"/>
      <c r="S454" s="1846"/>
      <c r="T454" s="1846"/>
      <c r="U454" s="1846"/>
      <c r="V454" s="1846"/>
      <c r="W454" s="1846"/>
      <c r="X454" s="1846"/>
      <c r="Y454" s="1846"/>
      <c r="Z454" s="1846"/>
      <c r="AA454" s="1846"/>
      <c r="AB454" s="1846"/>
      <c r="AC454" s="1846"/>
      <c r="AD454" s="1846"/>
      <c r="AE454" s="1846"/>
      <c r="AF454" s="1846"/>
      <c r="AL454" s="585"/>
      <c r="AM454" s="436"/>
      <c r="AN454" s="459"/>
    </row>
    <row r="455" spans="1:48" s="418" customFormat="1" ht="12.75" customHeight="1">
      <c r="A455" s="405"/>
      <c r="B455" s="12"/>
      <c r="C455" s="1855" t="s">
        <v>299</v>
      </c>
      <c r="D455" s="1856"/>
      <c r="E455" s="574"/>
      <c r="F455" s="575" t="s">
        <v>2170</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844" t="s">
        <v>2153</v>
      </c>
      <c r="AG455" s="1844"/>
      <c r="AH455" s="1844"/>
      <c r="AI455" s="1844"/>
      <c r="AJ455" s="1844"/>
      <c r="AK455" s="1844"/>
      <c r="AL455" s="1857"/>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6"/>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2188</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2189</v>
      </c>
      <c r="AK458" s="1841">
        <f>IF(Application!D214="N/A",AS347,AS349)</f>
        <v>10</v>
      </c>
      <c r="AL458" s="1842"/>
      <c r="AM458" s="1843"/>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204"/>
      <c r="J460" s="1204"/>
      <c r="K460" s="1204"/>
      <c r="L460" s="1204"/>
      <c r="M460" s="1204"/>
      <c r="N460" s="1204"/>
      <c r="O460" s="1204"/>
      <c r="P460" s="1204"/>
      <c r="Q460" s="1204"/>
      <c r="R460" s="436"/>
      <c r="S460" s="408"/>
      <c r="T460" s="408"/>
      <c r="U460" s="408"/>
      <c r="V460" s="408"/>
      <c r="W460" s="408"/>
      <c r="X460" s="408"/>
      <c r="Y460" s="408"/>
      <c r="Z460" s="408"/>
      <c r="AA460" s="408"/>
      <c r="AB460" s="408"/>
      <c r="AC460" s="408"/>
      <c r="AD460" s="408"/>
      <c r="AE460" s="408"/>
      <c r="AF460" s="436"/>
      <c r="AG460" s="408"/>
      <c r="AH460" s="408"/>
      <c r="AI460" s="408"/>
      <c r="AJ460" s="408"/>
      <c r="AM460" s="12"/>
      <c r="AN460" s="459"/>
      <c r="AO460" s="418" t="s">
        <v>299</v>
      </c>
      <c r="AP460" s="418">
        <v>0</v>
      </c>
      <c r="AT460" s="418" t="s">
        <v>299</v>
      </c>
      <c r="AU460" s="418">
        <v>0</v>
      </c>
      <c r="AV460" s="603"/>
    </row>
    <row r="461" spans="1:48" s="418" customFormat="1" ht="12.75" hidden="1" customHeight="1">
      <c r="A461" s="408" t="s">
        <v>2190</v>
      </c>
      <c r="C461" s="408"/>
      <c r="E461" s="458"/>
      <c r="AE461" s="1844" t="s">
        <v>2191</v>
      </c>
      <c r="AF461" s="1844"/>
      <c r="AG461" s="1844"/>
      <c r="AH461" s="1844"/>
      <c r="AI461" s="1844"/>
      <c r="AJ461" s="1844"/>
      <c r="AK461" s="1844"/>
      <c r="AL461" s="1201"/>
      <c r="AN461" s="459"/>
      <c r="AO461" s="418" t="s">
        <v>2192</v>
      </c>
      <c r="AP461" s="418">
        <v>5</v>
      </c>
      <c r="AT461" s="418" t="s">
        <v>2192</v>
      </c>
      <c r="AU461" s="418">
        <v>5</v>
      </c>
      <c r="AV461" s="603"/>
    </row>
    <row r="462" spans="1:48" s="418" customFormat="1" ht="12.75" hidden="1" customHeight="1">
      <c r="A462" s="408"/>
      <c r="B462" s="405" t="s">
        <v>2193</v>
      </c>
      <c r="C462" s="408"/>
      <c r="E462" s="458"/>
      <c r="AE462" s="1201"/>
      <c r="AF462" s="1201"/>
      <c r="AG462" s="1201"/>
      <c r="AH462" s="1201"/>
      <c r="AI462" s="1201"/>
      <c r="AJ462" s="1201"/>
      <c r="AK462" s="1201"/>
      <c r="AL462" s="1201"/>
      <c r="AN462" s="459"/>
      <c r="AO462" s="418" t="s">
        <v>2194</v>
      </c>
      <c r="AP462" s="418">
        <v>5</v>
      </c>
      <c r="AT462" s="418" t="s">
        <v>2195</v>
      </c>
      <c r="AU462" s="418">
        <v>5</v>
      </c>
      <c r="AV462" s="603"/>
    </row>
    <row r="463" spans="1:48" s="418" customFormat="1" ht="12.75" hidden="1" customHeight="1">
      <c r="A463" s="408"/>
      <c r="B463" s="408" t="s">
        <v>2196</v>
      </c>
      <c r="C463" s="408"/>
      <c r="E463" s="458"/>
      <c r="AE463" s="1201"/>
      <c r="AF463" s="1201"/>
      <c r="AG463" s="1201"/>
      <c r="AH463" s="1201"/>
      <c r="AI463" s="1201"/>
      <c r="AJ463" s="1201"/>
      <c r="AK463" s="1201"/>
      <c r="AL463" s="1201"/>
      <c r="AN463" s="459"/>
      <c r="AO463" s="418" t="s">
        <v>2197</v>
      </c>
      <c r="AP463" s="418">
        <v>5</v>
      </c>
      <c r="AQ463" s="408"/>
      <c r="AR463" s="408"/>
      <c r="AS463" s="606"/>
      <c r="AT463" s="418" t="s">
        <v>2197</v>
      </c>
      <c r="AU463" s="418">
        <v>5</v>
      </c>
      <c r="AV463" s="405"/>
    </row>
    <row r="464" spans="1:48" s="418" customFormat="1" ht="12.75" hidden="1" customHeight="1">
      <c r="A464" s="408"/>
      <c r="B464" s="408" t="s">
        <v>2198</v>
      </c>
      <c r="C464" s="408"/>
      <c r="E464" s="458"/>
      <c r="AE464" s="1201"/>
      <c r="AF464" s="1201"/>
      <c r="AG464" s="1201"/>
      <c r="AH464" s="1201"/>
      <c r="AI464" s="1201"/>
      <c r="AJ464" s="1201"/>
      <c r="AK464" s="1201"/>
      <c r="AL464" s="1201"/>
      <c r="AN464" s="459"/>
      <c r="AO464" s="418" t="s">
        <v>2199</v>
      </c>
      <c r="AP464" s="418">
        <v>5</v>
      </c>
      <c r="AQ464" s="408"/>
      <c r="AR464" s="408"/>
      <c r="AT464" s="418" t="s">
        <v>2199</v>
      </c>
      <c r="AU464" s="418">
        <v>5</v>
      </c>
    </row>
    <row r="465" spans="1:59" s="418" customFormat="1" ht="12.75" hidden="1" customHeight="1">
      <c r="A465" s="408"/>
      <c r="C465" s="408"/>
      <c r="E465" s="458"/>
      <c r="AE465" s="1201"/>
      <c r="AF465" s="1201"/>
      <c r="AG465" s="1201"/>
      <c r="AH465" s="1201"/>
      <c r="AI465" s="1201"/>
      <c r="AJ465" s="1201"/>
      <c r="AK465" s="1201"/>
      <c r="AL465" s="1201"/>
      <c r="AN465" s="459"/>
      <c r="AO465" s="418" t="s">
        <v>2200</v>
      </c>
      <c r="AP465" s="418">
        <v>5</v>
      </c>
      <c r="AQ465" s="408"/>
      <c r="AR465" s="408"/>
      <c r="AT465" s="418" t="s">
        <v>2200</v>
      </c>
      <c r="AU465" s="418">
        <v>5</v>
      </c>
    </row>
    <row r="466" spans="1:59" s="418" customFormat="1" ht="12.75" hidden="1" customHeight="1">
      <c r="A466" s="408"/>
      <c r="C466" s="567" t="s">
        <v>2201</v>
      </c>
      <c r="D466" s="436"/>
      <c r="AE466" s="1201"/>
      <c r="AF466" s="1201"/>
      <c r="AG466" s="458"/>
      <c r="AH466" s="458"/>
      <c r="AI466" s="458"/>
      <c r="AJ466" s="458"/>
      <c r="AK466" s="458"/>
      <c r="AL466" s="458"/>
      <c r="AN466" s="459"/>
      <c r="AO466" s="418" t="s">
        <v>2202</v>
      </c>
      <c r="AP466" s="418">
        <v>5</v>
      </c>
      <c r="AT466" s="418" t="s">
        <v>2202</v>
      </c>
      <c r="AU466" s="418">
        <v>5</v>
      </c>
    </row>
    <row r="467" spans="1:59" s="418" customFormat="1" ht="12.75" hidden="1" customHeight="1">
      <c r="A467" s="408"/>
      <c r="C467" s="1921" t="s">
        <v>299</v>
      </c>
      <c r="D467" s="1922"/>
      <c r="E467" s="612" t="s">
        <v>50</v>
      </c>
      <c r="F467" s="1942" t="s">
        <v>2203</v>
      </c>
      <c r="G467" s="1942"/>
      <c r="H467" s="1942"/>
      <c r="I467" s="1942"/>
      <c r="J467" s="1942"/>
      <c r="K467" s="1942"/>
      <c r="L467" s="1942"/>
      <c r="M467" s="1942"/>
      <c r="N467" s="1942"/>
      <c r="O467" s="1942"/>
      <c r="P467" s="1942"/>
      <c r="Q467" s="1942"/>
      <c r="R467" s="1942"/>
      <c r="S467" s="1942"/>
      <c r="T467" s="1942"/>
      <c r="U467" s="1942"/>
      <c r="V467" s="1942"/>
      <c r="W467" s="1942"/>
      <c r="X467" s="1942"/>
      <c r="Y467" s="1942"/>
      <c r="Z467" s="1942"/>
      <c r="AA467" s="1942"/>
      <c r="AB467" s="1942"/>
      <c r="AC467" s="1942"/>
      <c r="AD467" s="1942"/>
      <c r="AE467" s="1942"/>
      <c r="AF467" s="569"/>
      <c r="AG467" s="569"/>
      <c r="AH467" s="569"/>
      <c r="AI467" s="569"/>
      <c r="AJ467" s="569"/>
      <c r="AK467" s="598"/>
      <c r="AN467" s="459"/>
      <c r="AO467" s="418" t="s">
        <v>2204</v>
      </c>
      <c r="AP467" s="418">
        <v>5</v>
      </c>
      <c r="AS467" s="609"/>
      <c r="AT467" s="418" t="s">
        <v>2205</v>
      </c>
      <c r="AU467" s="418">
        <v>5</v>
      </c>
    </row>
    <row r="468" spans="1:59" s="418" customFormat="1" ht="12.75" hidden="1" customHeight="1">
      <c r="C468" s="613"/>
      <c r="E468" s="614"/>
      <c r="F468" s="1943"/>
      <c r="G468" s="1943"/>
      <c r="H468" s="1943"/>
      <c r="I468" s="1943"/>
      <c r="J468" s="1943"/>
      <c r="K468" s="1943"/>
      <c r="L468" s="1943"/>
      <c r="M468" s="1943"/>
      <c r="N468" s="1943"/>
      <c r="O468" s="1943"/>
      <c r="P468" s="1943"/>
      <c r="Q468" s="1943"/>
      <c r="R468" s="1943"/>
      <c r="S468" s="1943"/>
      <c r="T468" s="1943"/>
      <c r="U468" s="1943"/>
      <c r="V468" s="1943"/>
      <c r="W468" s="1943"/>
      <c r="X468" s="1943"/>
      <c r="Y468" s="1943"/>
      <c r="Z468" s="1943"/>
      <c r="AA468" s="1943"/>
      <c r="AB468" s="1943"/>
      <c r="AC468" s="1943"/>
      <c r="AD468" s="1943"/>
      <c r="AE468" s="1943"/>
      <c r="AG468" s="419"/>
      <c r="AH468" s="419"/>
      <c r="AI468" s="419"/>
      <c r="AJ468" s="419"/>
      <c r="AK468" s="585"/>
      <c r="AN468" s="459"/>
      <c r="AO468" s="418" t="s">
        <v>2206</v>
      </c>
      <c r="AP468" s="418">
        <v>1</v>
      </c>
      <c r="AT468" s="418" t="s">
        <v>2206</v>
      </c>
      <c r="AU468" s="418">
        <v>1</v>
      </c>
    </row>
    <row r="469" spans="1:59" s="418" customFormat="1" ht="12.75" hidden="1" customHeight="1">
      <c r="C469" s="615"/>
      <c r="D469" s="581"/>
      <c r="E469" s="616"/>
      <c r="F469" s="1937" t="s">
        <v>299</v>
      </c>
      <c r="G469" s="1937"/>
      <c r="H469" s="1937"/>
      <c r="I469" s="1937"/>
      <c r="J469" s="1937"/>
      <c r="K469" s="1937"/>
      <c r="L469" s="1937"/>
      <c r="M469" s="1937"/>
      <c r="N469" s="1937"/>
      <c r="O469" s="1937"/>
      <c r="P469" s="1937"/>
      <c r="Q469" s="1937"/>
      <c r="R469" s="1937"/>
      <c r="S469" s="1937"/>
      <c r="T469" s="1937"/>
      <c r="U469" s="1937"/>
      <c r="V469" s="1937"/>
      <c r="W469" s="1937"/>
      <c r="X469" s="1937"/>
      <c r="Y469" s="1937"/>
      <c r="Z469" s="1937"/>
      <c r="AA469" s="617"/>
      <c r="AB469" s="515"/>
      <c r="AC469" s="515"/>
      <c r="AD469" s="581"/>
      <c r="AE469" s="581"/>
      <c r="AF469" s="581"/>
      <c r="AG469" s="618">
        <f>IF($C$467="Yes",(VLOOKUP($F$469,$AT$460:$AU$468,2,FALSE)),0)</f>
        <v>0</v>
      </c>
      <c r="AH469" s="619" t="s">
        <v>1988</v>
      </c>
      <c r="AI469" s="618"/>
      <c r="AJ469" s="618"/>
      <c r="AK469" s="595"/>
      <c r="AN469" s="459"/>
      <c r="AS469" s="606"/>
      <c r="AX469" s="606"/>
      <c r="BB469" s="606" t="s">
        <v>2207</v>
      </c>
      <c r="BF469" s="606" t="s">
        <v>2208</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38" t="s">
        <v>837</v>
      </c>
      <c r="D471" s="1939"/>
      <c r="E471" s="612" t="s">
        <v>52</v>
      </c>
      <c r="F471" s="620" t="s">
        <v>2209</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2210</v>
      </c>
      <c r="AX471" s="497">
        <v>3</v>
      </c>
      <c r="AY471" s="456"/>
      <c r="BB471" s="609">
        <v>0.4</v>
      </c>
      <c r="BC471" s="456">
        <v>3</v>
      </c>
      <c r="BF471" s="609">
        <v>0.4</v>
      </c>
      <c r="BG471" s="456">
        <v>4</v>
      </c>
    </row>
    <row r="472" spans="1:59" s="418" customFormat="1" ht="12.75" hidden="1" customHeight="1">
      <c r="C472" s="621" t="s">
        <v>2211</v>
      </c>
      <c r="F472" s="622" t="s">
        <v>2212</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201"/>
      <c r="AG472" s="474"/>
      <c r="AH472" s="474"/>
      <c r="AI472" s="474"/>
      <c r="AJ472" s="474"/>
      <c r="AK472" s="585"/>
      <c r="AN472" s="459"/>
      <c r="AO472" s="609">
        <v>0.2</v>
      </c>
      <c r="AP472" s="497">
        <v>5</v>
      </c>
      <c r="AT472" s="609">
        <v>0.12</v>
      </c>
      <c r="AU472" s="497">
        <v>5</v>
      </c>
      <c r="AW472" s="418" t="s">
        <v>2213</v>
      </c>
      <c r="AX472" s="497">
        <v>5</v>
      </c>
      <c r="AY472" s="456"/>
      <c r="BB472" s="609">
        <v>0.6</v>
      </c>
      <c r="BC472" s="456">
        <v>4</v>
      </c>
      <c r="BF472" s="609">
        <v>0.6</v>
      </c>
      <c r="BG472" s="456">
        <v>5</v>
      </c>
    </row>
    <row r="473" spans="1:59" s="418" customFormat="1" ht="12.75" hidden="1" customHeight="1">
      <c r="C473" s="1212"/>
      <c r="D473" s="1211"/>
      <c r="E473" s="623"/>
      <c r="F473" s="622" t="s">
        <v>2214</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2215</v>
      </c>
      <c r="G474" s="418"/>
      <c r="H474" s="418"/>
      <c r="I474" s="622"/>
      <c r="J474" s="622"/>
      <c r="K474" s="622"/>
      <c r="L474" s="622"/>
      <c r="M474" s="622"/>
      <c r="N474" s="622"/>
      <c r="O474" s="622"/>
      <c r="P474" s="622"/>
      <c r="Q474" s="622"/>
      <c r="R474" s="622"/>
      <c r="S474" s="622"/>
      <c r="T474" s="622"/>
      <c r="U474" s="622"/>
      <c r="V474" s="1850" t="s">
        <v>299</v>
      </c>
      <c r="W474" s="1850"/>
      <c r="X474" s="1850"/>
      <c r="Y474" s="622"/>
      <c r="Z474" s="622"/>
      <c r="AA474" s="622"/>
      <c r="AB474" s="622"/>
      <c r="AC474" s="622"/>
      <c r="AD474" s="470"/>
      <c r="AE474" s="470"/>
      <c r="AF474" s="470"/>
      <c r="AG474" s="474">
        <f>IF(AND($C$471="Yes",$V$476="N/A",$V$481="N/A",$V$485="N/A",$V$487="N/A"),(VLOOKUP(V474,$AW$470:$AX$472,2,FALSE)),0)</f>
        <v>0</v>
      </c>
      <c r="AH474" s="1194" t="s">
        <v>1988</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194"/>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2216</v>
      </c>
      <c r="G476" s="418"/>
      <c r="H476" s="418"/>
      <c r="I476" s="622"/>
      <c r="J476" s="622"/>
      <c r="K476" s="622"/>
      <c r="L476" s="622"/>
      <c r="M476" s="622"/>
      <c r="N476" s="622"/>
      <c r="O476" s="622"/>
      <c r="P476" s="622"/>
      <c r="Q476" s="622"/>
      <c r="R476" s="622"/>
      <c r="S476" s="622"/>
      <c r="T476" s="622"/>
      <c r="U476" s="622"/>
      <c r="V476" s="1850" t="s">
        <v>299</v>
      </c>
      <c r="W476" s="1850"/>
      <c r="X476" s="1850"/>
      <c r="Y476" s="622"/>
      <c r="Z476" s="622"/>
      <c r="AA476" s="622"/>
      <c r="AB476" s="622"/>
      <c r="AC476" s="622"/>
      <c r="AD476" s="470"/>
      <c r="AE476" s="470"/>
      <c r="AF476" s="470"/>
      <c r="AG476" s="474">
        <f>IF(AND($C$471="Yes",$V$474="N/A", $V$481="N/A",$V$485="N/A",$V$487="N/A"),(VLOOKUP(V476,$AT$470:$AU$472,2,FALSE)),0)</f>
        <v>0</v>
      </c>
      <c r="AH476" s="1194" t="s">
        <v>1988</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2217</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2218</v>
      </c>
      <c r="AP478" s="497">
        <v>2</v>
      </c>
    </row>
    <row r="479" spans="1:59" s="418" customFormat="1" ht="12.75" hidden="1" customHeight="1">
      <c r="C479" s="613"/>
      <c r="F479" s="470" t="s">
        <v>2219</v>
      </c>
      <c r="M479" s="614"/>
      <c r="N479" s="614"/>
      <c r="O479" s="614"/>
      <c r="P479" s="614"/>
      <c r="Q479" s="419"/>
      <c r="R479" s="419"/>
      <c r="S479" s="419"/>
      <c r="T479" s="419"/>
      <c r="U479" s="419"/>
      <c r="V479" s="419"/>
      <c r="W479" s="419"/>
      <c r="X479" s="419"/>
      <c r="Y479" s="419"/>
      <c r="Z479" s="419"/>
      <c r="AA479" s="419"/>
      <c r="AB479" s="419"/>
      <c r="AC479" s="419"/>
      <c r="AG479" s="474"/>
      <c r="AH479" s="1194"/>
      <c r="AI479" s="419"/>
      <c r="AJ479" s="419"/>
      <c r="AK479" s="585"/>
      <c r="AN479" s="459"/>
      <c r="AO479" s="418" t="s">
        <v>2220</v>
      </c>
      <c r="AP479" s="418">
        <v>2</v>
      </c>
    </row>
    <row r="480" spans="1:59" s="458" customFormat="1" ht="12.75" hidden="1" customHeight="1">
      <c r="A480" s="418"/>
      <c r="B480" s="418"/>
      <c r="C480" s="592"/>
      <c r="D480" s="436"/>
      <c r="E480" s="436"/>
      <c r="F480" s="470" t="s">
        <v>2221</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194"/>
      <c r="AI480" s="419"/>
      <c r="AJ480" s="419"/>
      <c r="AK480" s="585"/>
      <c r="AL480" s="418"/>
      <c r="AM480" s="418"/>
      <c r="AN480" s="535"/>
      <c r="AO480" s="418" t="s">
        <v>2222</v>
      </c>
      <c r="AP480" s="418">
        <v>2</v>
      </c>
    </row>
    <row r="481" spans="1:81" s="418" customFormat="1" ht="12.75" hidden="1" customHeight="1">
      <c r="C481" s="628"/>
      <c r="F481" s="626" t="s">
        <v>2223</v>
      </c>
      <c r="M481" s="614"/>
      <c r="N481" s="614"/>
      <c r="O481" s="614"/>
      <c r="P481" s="614"/>
      <c r="Q481" s="419"/>
      <c r="R481" s="419"/>
      <c r="S481" s="419"/>
      <c r="T481" s="419"/>
      <c r="U481" s="419"/>
      <c r="V481" s="1850" t="s">
        <v>299</v>
      </c>
      <c r="W481" s="1850"/>
      <c r="X481" s="1850"/>
      <c r="Y481" s="419"/>
      <c r="Z481" s="419"/>
      <c r="AA481" s="419"/>
      <c r="AB481" s="419"/>
      <c r="AC481" s="419"/>
      <c r="AG481" s="474">
        <f>IF(AND($C$471="Yes",$V$474="N/A",$V$476="N/A", $V$485="N/A",$V$487="N/A"),(VLOOKUP($V$481,$AT$474:$AU$476,2,FALSE)),0)</f>
        <v>0</v>
      </c>
      <c r="AH481" s="1194" t="s">
        <v>1988</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2224</v>
      </c>
      <c r="D483" s="569"/>
      <c r="E483" s="569"/>
      <c r="F483" s="631" t="s">
        <v>2225</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408"/>
    </row>
    <row r="484" spans="1:81" s="458" customFormat="1" ht="12.75" hidden="1" customHeight="1">
      <c r="A484" s="418"/>
      <c r="B484" s="418"/>
      <c r="C484" s="632"/>
      <c r="D484" s="1924"/>
      <c r="E484" s="1924"/>
      <c r="F484" s="622" t="s">
        <v>2226</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2227</v>
      </c>
      <c r="AP484" s="497">
        <v>5</v>
      </c>
      <c r="AQ484" s="408"/>
    </row>
    <row r="485" spans="1:81" s="436" customFormat="1" ht="12.75" hidden="1" customHeight="1">
      <c r="A485" s="1207"/>
      <c r="B485" s="418"/>
      <c r="C485" s="613"/>
      <c r="D485" s="418"/>
      <c r="E485" s="418"/>
      <c r="F485" s="633" t="s">
        <v>2215</v>
      </c>
      <c r="G485" s="418"/>
      <c r="H485" s="418"/>
      <c r="I485" s="418"/>
      <c r="J485" s="418"/>
      <c r="K485" s="418"/>
      <c r="L485" s="418"/>
      <c r="M485" s="418"/>
      <c r="N485" s="418"/>
      <c r="O485" s="418"/>
      <c r="P485" s="418"/>
      <c r="Q485" s="418"/>
      <c r="R485" s="418"/>
      <c r="S485" s="418"/>
      <c r="T485" s="418"/>
      <c r="U485" s="418"/>
      <c r="V485" s="1850" t="s">
        <v>299</v>
      </c>
      <c r="W485" s="1850"/>
      <c r="X485" s="1850"/>
      <c r="Y485" s="418"/>
      <c r="Z485" s="418"/>
      <c r="AA485" s="418"/>
      <c r="AB485" s="418"/>
      <c r="AC485" s="418"/>
      <c r="AD485" s="418"/>
      <c r="AE485" s="418"/>
      <c r="AF485" s="418"/>
      <c r="AG485" s="474">
        <f>IF(AND($C$471="Yes",$V$474="N/A",V476="N/A",$V$481="N/A",$V$487="N/A"),(VLOOKUP($V$485,$BB$470:$BC$473,2,FALSE)),0)</f>
        <v>0</v>
      </c>
      <c r="AH485" s="1194" t="s">
        <v>1988</v>
      </c>
      <c r="AI485" s="419"/>
      <c r="AJ485" s="418"/>
      <c r="AK485" s="585"/>
      <c r="AL485" s="418"/>
      <c r="AM485" s="418"/>
      <c r="AN485" s="540"/>
      <c r="AO485" s="418" t="s">
        <v>2228</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207"/>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2229</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207"/>
      <c r="B487" s="418"/>
      <c r="C487" s="615"/>
      <c r="D487" s="581"/>
      <c r="E487" s="581"/>
      <c r="F487" s="626" t="s">
        <v>2216</v>
      </c>
      <c r="G487" s="617"/>
      <c r="H487" s="617"/>
      <c r="I487" s="581"/>
      <c r="J487" s="581"/>
      <c r="K487" s="581"/>
      <c r="L487" s="581"/>
      <c r="M487" s="581"/>
      <c r="N487" s="581"/>
      <c r="O487" s="581"/>
      <c r="P487" s="581"/>
      <c r="Q487" s="581"/>
      <c r="R487" s="581"/>
      <c r="S487" s="581"/>
      <c r="T487" s="581"/>
      <c r="U487" s="581"/>
      <c r="V487" s="1850" t="s">
        <v>299</v>
      </c>
      <c r="W487" s="1850"/>
      <c r="X487" s="1850"/>
      <c r="Y487" s="581"/>
      <c r="Z487" s="581"/>
      <c r="AA487" s="581"/>
      <c r="AB487" s="581"/>
      <c r="AC487" s="581"/>
      <c r="AD487" s="581"/>
      <c r="AE487" s="581"/>
      <c r="AF487" s="581"/>
      <c r="AG487" s="634">
        <f>IF(AND($C$471="Yes",$V$474="N/A",$V$476="N/A",$V$481="N/A",$V$485="N/A"),(VLOOKUP($V$487,$BF$470:$BG$472,2,FALSE)),0)</f>
        <v>0</v>
      </c>
      <c r="AH487" s="619" t="s">
        <v>1988</v>
      </c>
      <c r="AI487" s="581"/>
      <c r="AJ487" s="581"/>
      <c r="AK487" s="595"/>
      <c r="AL487" s="418"/>
      <c r="AM487" s="418"/>
      <c r="AN487" s="635"/>
      <c r="AP487" s="458"/>
      <c r="AQ487" s="458"/>
      <c r="AR487" s="458"/>
      <c r="AS487" s="458"/>
      <c r="AT487" s="458"/>
      <c r="AU487" s="458"/>
      <c r="AV487" s="458"/>
      <c r="AW487" s="458"/>
      <c r="AX487" s="458"/>
      <c r="AY487" s="458"/>
      <c r="AZ487" s="458"/>
      <c r="BA487" s="458"/>
      <c r="BB487" s="458"/>
      <c r="BC487" s="458"/>
      <c r="BE487" s="458"/>
      <c r="BF487" s="458"/>
      <c r="BG487" s="458"/>
      <c r="BH487" s="458"/>
      <c r="BI487" s="458"/>
      <c r="BJ487" s="458"/>
      <c r="BK487" s="458"/>
      <c r="BL487" s="458"/>
      <c r="BM487" s="458"/>
      <c r="BN487" s="458"/>
      <c r="BO487" s="458"/>
      <c r="BP487" s="458"/>
      <c r="BQ487" s="458"/>
      <c r="BR487" s="458"/>
    </row>
    <row r="488" spans="1:81" s="408" customFormat="1" ht="12.75" hidden="1" customHeight="1">
      <c r="A488" s="1207"/>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E488" s="418"/>
      <c r="BF488" s="418"/>
      <c r="BG488" s="418"/>
      <c r="BH488" s="418"/>
      <c r="BI488" s="418"/>
      <c r="BJ488" s="637"/>
      <c r="BK488" s="637"/>
      <c r="BL488" s="637"/>
      <c r="BM488" s="637"/>
      <c r="BN488" s="637"/>
      <c r="BO488" s="637"/>
      <c r="BP488" s="637"/>
      <c r="BQ488" s="458"/>
      <c r="BR488" s="418"/>
    </row>
    <row r="489" spans="1:81" s="408" customFormat="1" ht="12.75" hidden="1" customHeight="1">
      <c r="A489" s="1207"/>
      <c r="B489" s="418"/>
      <c r="C489" s="567" t="s">
        <v>2230</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E489" s="418"/>
      <c r="BF489" s="418"/>
      <c r="BG489" s="418"/>
      <c r="BH489" s="418"/>
      <c r="BI489" s="418"/>
      <c r="BJ489" s="637"/>
      <c r="BK489" s="637"/>
      <c r="BL489" s="637"/>
      <c r="BM489" s="637"/>
      <c r="BN489" s="637"/>
      <c r="BO489" s="637"/>
      <c r="BP489" s="637"/>
      <c r="BQ489" s="458"/>
      <c r="BR489" s="418"/>
    </row>
    <row r="490" spans="1:81" s="436" customFormat="1" ht="12.75" hidden="1" customHeight="1">
      <c r="A490" s="1207"/>
      <c r="B490" s="418"/>
      <c r="C490" s="1921" t="s">
        <v>299</v>
      </c>
      <c r="D490" s="1922"/>
      <c r="E490" s="612" t="s">
        <v>50</v>
      </c>
      <c r="F490" s="1942" t="s">
        <v>2203</v>
      </c>
      <c r="G490" s="1942"/>
      <c r="H490" s="1942"/>
      <c r="I490" s="1942"/>
      <c r="J490" s="1942"/>
      <c r="K490" s="1942"/>
      <c r="L490" s="1942"/>
      <c r="M490" s="1942"/>
      <c r="N490" s="1942"/>
      <c r="O490" s="1942"/>
      <c r="P490" s="1942"/>
      <c r="Q490" s="1942"/>
      <c r="R490" s="1942"/>
      <c r="S490" s="1942"/>
      <c r="T490" s="1942"/>
      <c r="U490" s="1942"/>
      <c r="V490" s="1942"/>
      <c r="W490" s="1942"/>
      <c r="X490" s="1942"/>
      <c r="Y490" s="1942"/>
      <c r="Z490" s="1942"/>
      <c r="AA490" s="1942"/>
      <c r="AB490" s="1942"/>
      <c r="AC490" s="1942"/>
      <c r="AD490" s="1942"/>
      <c r="AE490" s="1942"/>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207"/>
      <c r="B491" s="418"/>
      <c r="C491" s="613"/>
      <c r="D491" s="418"/>
      <c r="E491" s="614"/>
      <c r="F491" s="1943"/>
      <c r="G491" s="1943"/>
      <c r="H491" s="1943"/>
      <c r="I491" s="1943"/>
      <c r="J491" s="1943"/>
      <c r="K491" s="1943"/>
      <c r="L491" s="1943"/>
      <c r="M491" s="1943"/>
      <c r="N491" s="1943"/>
      <c r="O491" s="1943"/>
      <c r="P491" s="1943"/>
      <c r="Q491" s="1943"/>
      <c r="R491" s="1943"/>
      <c r="S491" s="1943"/>
      <c r="T491" s="1943"/>
      <c r="U491" s="1943"/>
      <c r="V491" s="1943"/>
      <c r="W491" s="1943"/>
      <c r="X491" s="1943"/>
      <c r="Y491" s="1943"/>
      <c r="Z491" s="1943"/>
      <c r="AA491" s="1943"/>
      <c r="AB491" s="1943"/>
      <c r="AC491" s="1943"/>
      <c r="AD491" s="1943"/>
      <c r="AE491" s="1943"/>
      <c r="AF491" s="418"/>
      <c r="AG491" s="419"/>
      <c r="AH491" s="419"/>
      <c r="AI491" s="419"/>
      <c r="AJ491" s="419"/>
      <c r="AK491" s="585"/>
      <c r="AL491" s="418"/>
      <c r="AM491" s="418"/>
      <c r="AN491" s="403"/>
      <c r="AO491" s="24"/>
      <c r="AP491" s="639"/>
      <c r="AQ491" s="639"/>
      <c r="AR491" s="639"/>
      <c r="AS491" s="1207"/>
      <c r="AT491" s="418"/>
      <c r="AU491" s="640"/>
      <c r="AV491" s="640"/>
      <c r="AW491" s="640"/>
      <c r="AX491" s="640"/>
      <c r="AY491" s="640"/>
      <c r="AZ491" s="640"/>
      <c r="BA491" s="640"/>
      <c r="BB491" s="12"/>
      <c r="BC491" s="12"/>
      <c r="BD491" s="405"/>
      <c r="BE491" s="639"/>
      <c r="BF491" s="639"/>
      <c r="BG491" s="639"/>
      <c r="BH491" s="1207"/>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207"/>
      <c r="B492" s="418"/>
      <c r="C492" s="615"/>
      <c r="D492" s="581"/>
      <c r="E492" s="616"/>
      <c r="F492" s="1929" t="s">
        <v>299</v>
      </c>
      <c r="G492" s="1929"/>
      <c r="H492" s="1929"/>
      <c r="I492" s="1929"/>
      <c r="J492" s="1929"/>
      <c r="K492" s="1929"/>
      <c r="L492" s="1929"/>
      <c r="M492" s="1929"/>
      <c r="N492" s="1929"/>
      <c r="O492" s="1929"/>
      <c r="P492" s="1929"/>
      <c r="Q492" s="1929"/>
      <c r="R492" s="1929"/>
      <c r="S492" s="1929"/>
      <c r="T492" s="1929"/>
      <c r="U492" s="1929"/>
      <c r="V492" s="1929"/>
      <c r="W492" s="1929"/>
      <c r="X492" s="1929"/>
      <c r="Y492" s="1929"/>
      <c r="Z492" s="1929"/>
      <c r="AA492" s="617"/>
      <c r="AB492" s="515"/>
      <c r="AC492" s="515"/>
      <c r="AD492" s="581"/>
      <c r="AE492" s="581"/>
      <c r="AF492" s="581"/>
      <c r="AG492" s="618">
        <f>IF($C$490="Yes",(VLOOKUP($F$492,$AO$460:$AP$468,2,FALSE)),0)</f>
        <v>0</v>
      </c>
      <c r="AH492" s="619" t="s">
        <v>1988</v>
      </c>
      <c r="AI492" s="618"/>
      <c r="AJ492" s="515"/>
      <c r="AK492" s="595"/>
      <c r="AL492" s="418"/>
      <c r="AM492" s="418"/>
      <c r="AN492" s="403"/>
      <c r="AO492" s="24"/>
      <c r="AP492" s="639"/>
      <c r="AQ492" s="639"/>
      <c r="AR492" s="639"/>
      <c r="AS492" s="1207"/>
      <c r="AT492" s="418"/>
      <c r="AU492" s="640"/>
      <c r="AV492" s="640"/>
      <c r="AW492" s="640"/>
      <c r="AX492" s="640"/>
      <c r="AY492" s="640"/>
      <c r="AZ492" s="640"/>
      <c r="BA492" s="640"/>
      <c r="BB492" s="12"/>
      <c r="BC492" s="12"/>
      <c r="BD492" s="405"/>
      <c r="BE492" s="639"/>
      <c r="BF492" s="639"/>
      <c r="BG492" s="639"/>
      <c r="BH492" s="1207"/>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207"/>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207"/>
      <c r="AT493" s="418"/>
      <c r="AU493" s="640"/>
      <c r="AV493" s="640"/>
      <c r="AW493" s="640"/>
      <c r="AX493" s="640"/>
      <c r="AY493" s="640"/>
      <c r="AZ493" s="640"/>
      <c r="BA493" s="640"/>
      <c r="BB493" s="12"/>
      <c r="BC493" s="12"/>
      <c r="BD493" s="405"/>
      <c r="BE493" s="639"/>
      <c r="BF493" s="639"/>
      <c r="BG493" s="639"/>
      <c r="BH493" s="1207"/>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21" t="s">
        <v>299</v>
      </c>
      <c r="D494" s="1922"/>
      <c r="E494" s="612" t="s">
        <v>52</v>
      </c>
      <c r="F494" s="1930" t="s">
        <v>2231</v>
      </c>
      <c r="G494" s="1930"/>
      <c r="H494" s="1930"/>
      <c r="I494" s="1930"/>
      <c r="J494" s="1930"/>
      <c r="K494" s="1930"/>
      <c r="L494" s="1930"/>
      <c r="M494" s="1930"/>
      <c r="N494" s="1930"/>
      <c r="O494" s="1930"/>
      <c r="P494" s="1930"/>
      <c r="Q494" s="1930"/>
      <c r="R494" s="1930"/>
      <c r="S494" s="1930"/>
      <c r="T494" s="1930"/>
      <c r="U494" s="1930"/>
      <c r="V494" s="1930"/>
      <c r="W494" s="1930"/>
      <c r="X494" s="1930"/>
      <c r="Y494" s="1930"/>
      <c r="Z494" s="1930"/>
      <c r="AA494" s="1930"/>
      <c r="AB494" s="1930"/>
      <c r="AC494" s="1930"/>
      <c r="AD494" s="1930"/>
      <c r="AE494" s="1930"/>
      <c r="AF494" s="569"/>
      <c r="AG494" s="507"/>
      <c r="AH494" s="507"/>
      <c r="AI494" s="507"/>
      <c r="AJ494" s="507"/>
      <c r="AK494" s="598"/>
      <c r="AL494" s="418"/>
      <c r="AM494" s="418"/>
      <c r="AN494" s="403"/>
      <c r="AO494" s="24"/>
      <c r="AP494" s="639"/>
      <c r="AQ494" s="639"/>
      <c r="AR494" s="639"/>
      <c r="AS494" s="1207"/>
      <c r="AT494" s="418"/>
      <c r="AU494" s="640"/>
      <c r="AV494" s="640"/>
      <c r="AW494" s="640"/>
      <c r="AX494" s="640"/>
      <c r="AY494" s="640"/>
      <c r="AZ494" s="640"/>
      <c r="BA494" s="640"/>
      <c r="BB494" s="12"/>
      <c r="BC494" s="12"/>
      <c r="BD494" s="405"/>
      <c r="BE494" s="639"/>
      <c r="BF494" s="639"/>
      <c r="BG494" s="639"/>
      <c r="BH494" s="1207"/>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c r="AA495" s="1931"/>
      <c r="AB495" s="1931"/>
      <c r="AC495" s="1931"/>
      <c r="AD495" s="1931"/>
      <c r="AE495" s="1931"/>
      <c r="AF495" s="418"/>
      <c r="AG495" s="419"/>
      <c r="AH495" s="419"/>
      <c r="AI495" s="419"/>
      <c r="AJ495" s="419"/>
      <c r="AK495" s="585"/>
      <c r="AL495" s="418"/>
      <c r="AM495" s="418"/>
      <c r="AN495" s="403"/>
      <c r="AO495" s="24"/>
      <c r="AP495" s="639"/>
      <c r="AQ495" s="639"/>
      <c r="AR495" s="639"/>
      <c r="AS495" s="1207"/>
      <c r="AT495" s="418"/>
      <c r="AU495" s="640"/>
      <c r="AV495" s="640"/>
      <c r="AW495" s="640"/>
      <c r="AX495" s="640"/>
      <c r="AY495" s="640"/>
      <c r="AZ495" s="640"/>
      <c r="BA495" s="640"/>
      <c r="BB495" s="12"/>
      <c r="BC495" s="12"/>
      <c r="BD495" s="405"/>
      <c r="BE495" s="639"/>
      <c r="BF495" s="639"/>
      <c r="BG495" s="639"/>
      <c r="BH495" s="1207"/>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2232</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201"/>
      <c r="AD496" s="418"/>
      <c r="AE496" s="418"/>
      <c r="AF496" s="418"/>
      <c r="AG496" s="474"/>
      <c r="AH496" s="474"/>
      <c r="AI496" s="474"/>
      <c r="AJ496" s="474"/>
      <c r="AK496" s="585"/>
      <c r="AL496" s="418"/>
      <c r="AM496" s="418"/>
      <c r="AN496" s="403"/>
      <c r="AO496" s="405"/>
      <c r="AP496" s="639"/>
      <c r="AQ496" s="639"/>
      <c r="AR496" s="639"/>
      <c r="AS496" s="1207"/>
      <c r="AT496" s="418"/>
      <c r="AU496" s="640"/>
      <c r="AV496" s="640"/>
      <c r="AW496" s="640"/>
      <c r="AX496" s="640"/>
      <c r="AY496" s="640"/>
      <c r="AZ496" s="640"/>
      <c r="BA496" s="640"/>
      <c r="BB496" s="405"/>
      <c r="BC496" s="405"/>
      <c r="BD496" s="405"/>
      <c r="BE496" s="639"/>
      <c r="BF496" s="639"/>
      <c r="BG496" s="639"/>
      <c r="BH496" s="1207"/>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idden="1">
      <c r="A497" s="418"/>
      <c r="B497" s="418"/>
      <c r="C497" s="615"/>
      <c r="D497" s="581"/>
      <c r="E497" s="616"/>
      <c r="F497" s="1932" t="s">
        <v>299</v>
      </c>
      <c r="G497" s="1932"/>
      <c r="H497" s="1932"/>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1988</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194"/>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idden="1">
      <c r="A499" s="418"/>
      <c r="B499" s="418"/>
      <c r="C499" s="1921" t="s">
        <v>299</v>
      </c>
      <c r="D499" s="1922"/>
      <c r="E499" s="612" t="s">
        <v>2233</v>
      </c>
      <c r="F499" s="631" t="s">
        <v>2234</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idden="1">
      <c r="A501" s="418"/>
      <c r="B501" s="418"/>
      <c r="C501" s="1923"/>
      <c r="D501" s="1924"/>
      <c r="E501" s="623"/>
      <c r="F501" s="419" t="s">
        <v>2235</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201"/>
      <c r="AD501" s="418"/>
      <c r="AE501" s="418"/>
      <c r="AF501" s="418"/>
      <c r="AG501" s="474">
        <f>IF($C$499="Yes",(VLOOKUP($G$502,$AO$477:$AP$480,2,FALSE)),0)</f>
        <v>0</v>
      </c>
      <c r="AH501" s="1194" t="s">
        <v>1988</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25" t="s">
        <v>299</v>
      </c>
      <c r="H502" s="1925"/>
      <c r="I502" s="1925"/>
      <c r="J502" s="1925"/>
      <c r="K502" s="1925"/>
      <c r="L502" s="1925"/>
      <c r="M502" s="1925"/>
      <c r="N502" s="1925"/>
      <c r="O502" s="1925"/>
      <c r="P502" s="1925"/>
      <c r="Q502" s="1925"/>
      <c r="R502" s="1925"/>
      <c r="S502" s="1925"/>
      <c r="T502" s="1925"/>
      <c r="U502" s="1925"/>
      <c r="V502" s="1925"/>
      <c r="W502" s="1925"/>
      <c r="X502" s="1925"/>
      <c r="Y502" s="1925"/>
      <c r="Z502" s="1925"/>
      <c r="AA502" s="1925"/>
      <c r="AB502" s="1925"/>
      <c r="AC502" s="1925"/>
      <c r="AD502" s="1925"/>
      <c r="AE502" s="1925"/>
      <c r="AF502" s="1925"/>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26" t="s">
        <v>299</v>
      </c>
      <c r="D504" s="1927"/>
      <c r="F504" s="419" t="s">
        <v>2236</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201"/>
      <c r="AD504" s="418"/>
      <c r="AE504" s="418"/>
      <c r="AF504" s="418"/>
      <c r="AG504" s="474">
        <f>IF(AND($C$504="Yes",$C$499="Yes"),2,0)</f>
        <v>0</v>
      </c>
      <c r="AH504" s="1194" t="s">
        <v>1988</v>
      </c>
      <c r="AI504" s="419"/>
      <c r="AJ504" s="1190"/>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idden="1">
      <c r="A505" s="12"/>
      <c r="B505" s="418"/>
      <c r="C505" s="632"/>
      <c r="D505" s="1211"/>
      <c r="E505" s="1211"/>
      <c r="F505" s="419"/>
      <c r="G505" s="419" t="s">
        <v>2237</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201"/>
      <c r="AD505" s="418"/>
      <c r="AE505" s="418"/>
      <c r="AF505" s="418"/>
      <c r="AG505" s="1190"/>
      <c r="AH505" s="1190"/>
      <c r="AI505" s="1190"/>
      <c r="AJ505" s="1190"/>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211"/>
      <c r="E506" s="1211"/>
      <c r="F506" s="419"/>
      <c r="G506" s="419" t="s">
        <v>2238</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201"/>
      <c r="AG506" s="1190"/>
      <c r="AH506" s="1190"/>
      <c r="AI506" s="1190"/>
      <c r="AJ506" s="1190"/>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201"/>
      <c r="AH507" s="1201"/>
      <c r="AI507" s="1201"/>
      <c r="AJ507" s="1201"/>
      <c r="AK507" s="645"/>
      <c r="AL507" s="12"/>
      <c r="AM507" s="12"/>
      <c r="AN507" s="404"/>
      <c r="AO507" s="405"/>
      <c r="AP507" s="405"/>
      <c r="AQ507" s="405"/>
      <c r="AR507" s="405"/>
    </row>
    <row r="508" spans="1:81" s="418" customFormat="1" ht="12.75" hidden="1" customHeight="1">
      <c r="A508" s="497"/>
      <c r="C508" s="1926" t="s">
        <v>299</v>
      </c>
      <c r="D508" s="1927"/>
      <c r="F508" s="646" t="s">
        <v>2239</v>
      </c>
      <c r="G508" s="1846" t="s">
        <v>2240</v>
      </c>
      <c r="H508" s="1846"/>
      <c r="I508" s="1846"/>
      <c r="J508" s="1846"/>
      <c r="K508" s="1846"/>
      <c r="L508" s="1846"/>
      <c r="M508" s="1846"/>
      <c r="N508" s="1846"/>
      <c r="O508" s="1846"/>
      <c r="P508" s="1846"/>
      <c r="Q508" s="1846"/>
      <c r="R508" s="1846"/>
      <c r="S508" s="1846"/>
      <c r="T508" s="1846"/>
      <c r="U508" s="1846"/>
      <c r="V508" s="1846"/>
      <c r="W508" s="1846"/>
      <c r="X508" s="1846"/>
      <c r="Y508" s="1846"/>
      <c r="Z508" s="1846"/>
      <c r="AA508" s="1846"/>
      <c r="AB508" s="1846"/>
      <c r="AC508" s="1846"/>
      <c r="AD508" s="1846"/>
      <c r="AE508" s="1846"/>
      <c r="AF508" s="1846"/>
      <c r="AG508" s="474">
        <f>IF(AND($C$508="Yes",$C$499="Yes"),2,0)</f>
        <v>0</v>
      </c>
      <c r="AH508" s="1194" t="s">
        <v>1988</v>
      </c>
      <c r="AI508" s="419"/>
      <c r="AJ508" s="1190"/>
      <c r="AK508" s="585"/>
      <c r="AN508" s="404"/>
      <c r="AZ508" s="408"/>
      <c r="BC508" s="1184"/>
      <c r="BD508" s="408"/>
      <c r="BE508" s="408"/>
      <c r="BF508" s="408"/>
      <c r="BM508" s="405"/>
      <c r="BN508" s="408"/>
      <c r="BO508" s="405"/>
      <c r="BP508" s="408"/>
      <c r="BQ508" s="408"/>
      <c r="BR508" s="408"/>
      <c r="BS508" s="408"/>
      <c r="BT508" s="408"/>
      <c r="BU508" s="408"/>
      <c r="BV508" s="405"/>
      <c r="BW508" s="405"/>
      <c r="BX508" s="405"/>
      <c r="BY508" s="405"/>
      <c r="BZ508" s="405"/>
      <c r="CA508" s="405"/>
      <c r="CB508" s="405"/>
      <c r="CC508" s="405"/>
    </row>
    <row r="509" spans="1:81" s="418" customFormat="1" ht="12.75" hidden="1" customHeight="1">
      <c r="C509" s="647"/>
      <c r="D509" s="581"/>
      <c r="E509" s="616"/>
      <c r="F509" s="580"/>
      <c r="G509" s="1928"/>
      <c r="H509" s="1928"/>
      <c r="I509" s="1928"/>
      <c r="J509" s="1928"/>
      <c r="K509" s="1928"/>
      <c r="L509" s="1928"/>
      <c r="M509" s="1928"/>
      <c r="N509" s="1928"/>
      <c r="O509" s="1928"/>
      <c r="P509" s="1928"/>
      <c r="Q509" s="1928"/>
      <c r="R509" s="1928"/>
      <c r="S509" s="1928"/>
      <c r="T509" s="1928"/>
      <c r="U509" s="1928"/>
      <c r="V509" s="1928"/>
      <c r="W509" s="1928"/>
      <c r="X509" s="1928"/>
      <c r="Y509" s="1928"/>
      <c r="Z509" s="1928"/>
      <c r="AA509" s="1928"/>
      <c r="AB509" s="1928"/>
      <c r="AC509" s="1928"/>
      <c r="AD509" s="1928"/>
      <c r="AE509" s="1928"/>
      <c r="AF509" s="1928"/>
      <c r="AG509" s="515"/>
      <c r="AH509" s="515"/>
      <c r="AI509" s="515"/>
      <c r="AJ509" s="515"/>
      <c r="AK509" s="595"/>
      <c r="AN509" s="404"/>
      <c r="AZ509" s="408"/>
      <c r="BC509" s="1184"/>
      <c r="BD509" s="408"/>
      <c r="BE509" s="408"/>
      <c r="BF509" s="408"/>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204"/>
      <c r="H510" s="1204"/>
      <c r="I510" s="1204"/>
      <c r="J510" s="1204"/>
      <c r="K510" s="1204"/>
      <c r="L510" s="1204"/>
      <c r="M510" s="1204"/>
      <c r="N510" s="1204"/>
      <c r="O510" s="1204"/>
      <c r="P510" s="1204"/>
      <c r="Q510" s="1204"/>
      <c r="R510" s="1204"/>
      <c r="S510" s="1204"/>
      <c r="T510" s="1204"/>
      <c r="U510" s="1204"/>
      <c r="V510" s="1204"/>
      <c r="W510" s="1204"/>
      <c r="X510" s="1204"/>
      <c r="Y510" s="1204"/>
      <c r="Z510" s="1204"/>
      <c r="AA510" s="1204"/>
      <c r="AB510" s="1204"/>
      <c r="AC510" s="1204"/>
      <c r="AD510" s="1204"/>
      <c r="AE510" s="1204"/>
      <c r="AF510" s="1204"/>
      <c r="AG510" s="419"/>
      <c r="AH510" s="419"/>
      <c r="AI510" s="419"/>
      <c r="AJ510" s="419"/>
      <c r="AN510" s="404"/>
      <c r="AP510" s="408"/>
      <c r="AQ510" s="408"/>
      <c r="AR510" s="408"/>
      <c r="AS510" s="408"/>
      <c r="AT510" s="408"/>
      <c r="AU510" s="408"/>
      <c r="AV510" s="408"/>
      <c r="AW510" s="408"/>
      <c r="AX510" s="408"/>
      <c r="AY510" s="408"/>
      <c r="AZ510" s="408"/>
      <c r="BA510" s="408"/>
      <c r="BB510" s="408"/>
      <c r="BC510" s="408"/>
      <c r="BD510" s="408"/>
      <c r="BE510" s="408"/>
      <c r="BF510" s="408"/>
      <c r="BG510" s="408"/>
      <c r="BH510" s="408"/>
      <c r="BI510" s="1184"/>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2241</v>
      </c>
      <c r="D511" s="569"/>
      <c r="E511" s="650"/>
      <c r="F511" s="651"/>
      <c r="G511" s="1203"/>
      <c r="H511" s="1203"/>
      <c r="I511" s="1203"/>
      <c r="J511" s="1203"/>
      <c r="K511" s="1203"/>
      <c r="L511" s="1203"/>
      <c r="M511" s="1203"/>
      <c r="N511" s="1203"/>
      <c r="O511" s="1203"/>
      <c r="P511" s="1203"/>
      <c r="Q511" s="1203"/>
      <c r="R511" s="1203"/>
      <c r="S511" s="1203"/>
      <c r="T511" s="1203"/>
      <c r="U511" s="1203"/>
      <c r="V511" s="1203"/>
      <c r="W511" s="1203"/>
      <c r="X511" s="1203"/>
      <c r="Y511" s="1203"/>
      <c r="Z511" s="1203"/>
      <c r="AA511" s="1203"/>
      <c r="AB511" s="1203"/>
      <c r="AC511" s="1203"/>
      <c r="AD511" s="1203"/>
      <c r="AE511" s="1203"/>
      <c r="AF511" s="1203"/>
      <c r="AG511" s="507"/>
      <c r="AH511" s="507"/>
      <c r="AI511" s="507"/>
      <c r="AJ511" s="507"/>
      <c r="AK511" s="598"/>
      <c r="AN511" s="459"/>
      <c r="AP511" s="408"/>
      <c r="AQ511" s="408"/>
      <c r="AR511" s="408"/>
      <c r="AS511" s="408"/>
      <c r="AT511" s="408"/>
      <c r="AU511" s="408"/>
      <c r="AV511" s="408"/>
      <c r="AW511" s="408"/>
      <c r="AX511" s="408"/>
      <c r="AY511" s="408"/>
      <c r="AZ511" s="408"/>
      <c r="BA511" s="408"/>
      <c r="BB511" s="408"/>
      <c r="BC511" s="408"/>
      <c r="BD511" s="408"/>
      <c r="BE511" s="408"/>
      <c r="BF511" s="408"/>
      <c r="BG511" s="408"/>
      <c r="BH511" s="408"/>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33" t="s">
        <v>299</v>
      </c>
      <c r="D512" s="1934"/>
      <c r="E512" s="652" t="s">
        <v>2242</v>
      </c>
      <c r="F512" s="622" t="s">
        <v>2243</v>
      </c>
      <c r="G512" s="1204"/>
      <c r="H512" s="1204"/>
      <c r="I512" s="1204"/>
      <c r="J512" s="1204"/>
      <c r="K512" s="1204"/>
      <c r="L512" s="1204"/>
      <c r="M512" s="1204"/>
      <c r="N512" s="1204"/>
      <c r="O512" s="1204"/>
      <c r="P512" s="1204"/>
      <c r="Q512" s="1204"/>
      <c r="R512" s="1204"/>
      <c r="S512" s="1204"/>
      <c r="T512" s="1204"/>
      <c r="U512" s="1204"/>
      <c r="V512" s="1204"/>
      <c r="W512" s="1204"/>
      <c r="X512" s="1204"/>
      <c r="Y512" s="1204"/>
      <c r="Z512" s="1204"/>
      <c r="AA512" s="1204"/>
      <c r="AB512" s="1204"/>
      <c r="AC512" s="1204"/>
      <c r="AD512" s="1204"/>
      <c r="AE512" s="1204"/>
      <c r="AF512" s="1204"/>
      <c r="AG512" s="474">
        <f>IF(C$512="Yes",(VLOOKUP(F$513,$AO$483:$AP$486,2,FALSE)),0)</f>
        <v>0</v>
      </c>
      <c r="AH512" s="1194" t="s">
        <v>1988</v>
      </c>
      <c r="AI512" s="419"/>
      <c r="AJ512" s="419"/>
      <c r="AK512" s="585"/>
      <c r="AN512" s="459"/>
      <c r="AP512" s="408"/>
      <c r="AQ512" s="408"/>
      <c r="AR512" s="408"/>
      <c r="AS512" s="408"/>
      <c r="AT512" s="408"/>
      <c r="AU512" s="408"/>
      <c r="AV512" s="408"/>
      <c r="AW512" s="408"/>
      <c r="AX512" s="408"/>
      <c r="AY512" s="408"/>
      <c r="AZ512" s="408"/>
      <c r="BA512" s="408"/>
      <c r="BB512" s="408"/>
      <c r="BC512" s="408"/>
      <c r="BD512" s="408"/>
      <c r="BE512" s="408"/>
      <c r="BF512" s="408"/>
      <c r="BG512" s="408"/>
      <c r="BH512" s="408"/>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35" t="s">
        <v>299</v>
      </c>
      <c r="G513" s="1935"/>
      <c r="H513" s="1935"/>
      <c r="I513" s="1935"/>
      <c r="J513" s="1935"/>
      <c r="K513" s="1935"/>
      <c r="L513" s="1935"/>
      <c r="M513" s="1935"/>
      <c r="N513" s="1935"/>
      <c r="O513" s="1935"/>
      <c r="P513" s="1935"/>
      <c r="Q513" s="1935"/>
      <c r="R513" s="1935"/>
      <c r="S513" s="1935"/>
      <c r="T513" s="1935"/>
      <c r="U513" s="1935"/>
      <c r="V513" s="1935"/>
      <c r="W513" s="1935"/>
      <c r="X513" s="1935"/>
      <c r="Y513" s="1935"/>
      <c r="Z513" s="1935"/>
      <c r="AA513" s="1935"/>
      <c r="AB513" s="1935"/>
      <c r="AC513" s="1935"/>
      <c r="AD513" s="1935"/>
      <c r="AE513" s="1935"/>
      <c r="AF513" s="1935"/>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36"/>
      <c r="G514" s="1936"/>
      <c r="H514" s="1936"/>
      <c r="I514" s="1936"/>
      <c r="J514" s="1936"/>
      <c r="K514" s="1936"/>
      <c r="L514" s="1936"/>
      <c r="M514" s="1936"/>
      <c r="N514" s="1936"/>
      <c r="O514" s="1936"/>
      <c r="P514" s="1936"/>
      <c r="Q514" s="1936"/>
      <c r="R514" s="1936"/>
      <c r="S514" s="1936"/>
      <c r="T514" s="1936"/>
      <c r="U514" s="1936"/>
      <c r="V514" s="1936"/>
      <c r="W514" s="1936"/>
      <c r="X514" s="1936"/>
      <c r="Y514" s="1936"/>
      <c r="Z514" s="1936"/>
      <c r="AA514" s="1936"/>
      <c r="AB514" s="1936"/>
      <c r="AC514" s="1936"/>
      <c r="AD514" s="1936"/>
      <c r="AE514" s="1936"/>
      <c r="AF514" s="1936"/>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2244</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2245</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2246</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2247</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2248</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2249</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2250</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2251</v>
      </c>
      <c r="AK524" s="1841">
        <f>SUM(AG468:AG513)</f>
        <v>0</v>
      </c>
      <c r="AL524" s="1842"/>
      <c r="AM524" s="1843"/>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84"/>
      <c r="AJ525" s="1184"/>
      <c r="AK525" s="457"/>
      <c r="AL525" s="457"/>
      <c r="AM525" s="457"/>
      <c r="AN525" s="459"/>
      <c r="AP525" s="405"/>
      <c r="AQ525" s="405"/>
      <c r="AR525" s="405"/>
      <c r="AS525" s="405"/>
      <c r="AT525" s="405"/>
      <c r="AU525" s="405"/>
      <c r="AV525" s="405"/>
      <c r="AW525" s="405"/>
      <c r="AX525" s="405"/>
      <c r="AY525" s="405"/>
      <c r="AZ525" s="405"/>
    </row>
    <row r="526" spans="1:81" ht="14" thickTop="1"/>
    <row r="527" spans="1:81" s="418" customFormat="1" ht="12.75" customHeight="1">
      <c r="A527" s="408" t="s">
        <v>2252</v>
      </c>
      <c r="B527" s="408" t="s">
        <v>2253</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47" t="s">
        <v>2254</v>
      </c>
      <c r="AF527" s="1847"/>
      <c r="AG527" s="1847"/>
      <c r="AH527" s="1847"/>
      <c r="AI527" s="1847"/>
      <c r="AJ527" s="1847"/>
      <c r="AK527" s="1847"/>
      <c r="AL527" s="457"/>
      <c r="AM527" s="457"/>
      <c r="AN527" s="459"/>
    </row>
    <row r="528" spans="1:81" s="418" customFormat="1" ht="12.75" customHeight="1">
      <c r="A528" s="408"/>
      <c r="B528" s="408" t="s">
        <v>1984</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84"/>
      <c r="AF528" s="1184"/>
      <c r="AG528" s="1184"/>
      <c r="AH528" s="1184"/>
      <c r="AI528" s="1184"/>
      <c r="AJ528" s="1184"/>
      <c r="AK528" s="1184"/>
      <c r="AL528" s="457"/>
      <c r="AM528" s="457"/>
      <c r="AN528" s="459"/>
    </row>
    <row r="529" spans="1:49" s="418" customFormat="1" ht="12.75" customHeight="1">
      <c r="A529" s="408"/>
      <c r="B529" s="408"/>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84"/>
      <c r="AF529" s="1184"/>
      <c r="AG529" s="1184"/>
      <c r="AH529" s="1184"/>
      <c r="AI529" s="1184"/>
      <c r="AJ529" s="1184"/>
      <c r="AK529" s="1184"/>
      <c r="AL529" s="457"/>
      <c r="AM529" s="457"/>
      <c r="AN529" s="459"/>
    </row>
    <row r="530" spans="1:49" s="418" customFormat="1" ht="12.75" customHeight="1">
      <c r="A530" s="408"/>
      <c r="B530" s="408"/>
      <c r="C530" s="1856" t="s">
        <v>299</v>
      </c>
      <c r="D530" s="1856"/>
      <c r="E530" s="419"/>
      <c r="F530" s="1915" t="s">
        <v>2255</v>
      </c>
      <c r="G530" s="1916"/>
      <c r="H530" s="1916"/>
      <c r="I530" s="1916"/>
      <c r="J530" s="1916"/>
      <c r="K530" s="1916"/>
      <c r="L530" s="1916"/>
      <c r="M530" s="1916"/>
      <c r="N530" s="1916"/>
      <c r="O530" s="1916"/>
      <c r="P530" s="1916"/>
      <c r="Q530" s="1916"/>
      <c r="R530" s="1916"/>
      <c r="S530" s="1916"/>
      <c r="T530" s="1916"/>
      <c r="U530" s="1916"/>
      <c r="V530" s="1916"/>
      <c r="W530" s="1916"/>
      <c r="X530" s="1916"/>
      <c r="Y530" s="1916"/>
      <c r="Z530" s="1916"/>
      <c r="AA530" s="1916"/>
      <c r="AB530" s="1916"/>
      <c r="AC530" s="1916"/>
      <c r="AD530" s="1916"/>
      <c r="AE530" s="1916"/>
      <c r="AF530" s="1916"/>
      <c r="AG530" s="1916"/>
      <c r="AH530" s="1916"/>
      <c r="AI530" s="1916"/>
      <c r="AJ530" s="1916"/>
      <c r="AK530" s="1916"/>
      <c r="AL530" s="1917"/>
      <c r="AM530" s="457"/>
      <c r="AN530" s="459"/>
    </row>
    <row r="531" spans="1:49" s="418" customFormat="1" ht="12.75" customHeight="1">
      <c r="A531" s="408"/>
      <c r="B531" s="408"/>
      <c r="C531" s="419"/>
      <c r="D531" s="419"/>
      <c r="E531" s="419"/>
      <c r="F531" s="1918"/>
      <c r="G531" s="1919"/>
      <c r="H531" s="1919"/>
      <c r="I531" s="1919"/>
      <c r="J531" s="1919"/>
      <c r="K531" s="1919"/>
      <c r="L531" s="1919"/>
      <c r="M531" s="1919"/>
      <c r="N531" s="1919"/>
      <c r="O531" s="1919"/>
      <c r="P531" s="1919"/>
      <c r="Q531" s="1919"/>
      <c r="R531" s="1919"/>
      <c r="S531" s="1919"/>
      <c r="T531" s="1919"/>
      <c r="U531" s="1919"/>
      <c r="V531" s="1919"/>
      <c r="W531" s="1919"/>
      <c r="X531" s="1919"/>
      <c r="Y531" s="1919"/>
      <c r="Z531" s="1919"/>
      <c r="AA531" s="1919"/>
      <c r="AB531" s="1919"/>
      <c r="AC531" s="1919"/>
      <c r="AD531" s="1919"/>
      <c r="AE531" s="1919"/>
      <c r="AF531" s="1919"/>
      <c r="AG531" s="1919"/>
      <c r="AH531" s="1919"/>
      <c r="AI531" s="1919"/>
      <c r="AJ531" s="1919"/>
      <c r="AK531" s="1919"/>
      <c r="AL531" s="1920"/>
      <c r="AM531" s="457"/>
      <c r="AN531" s="459"/>
    </row>
    <row r="532" spans="1:49" s="418" customFormat="1" ht="12.75" customHeight="1">
      <c r="A532" s="408"/>
      <c r="B532" s="408"/>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408"/>
      <c r="B533" s="656"/>
      <c r="C533" s="1856" t="s">
        <v>837</v>
      </c>
      <c r="D533" s="1856"/>
      <c r="E533" s="656"/>
      <c r="F533" s="502" t="s">
        <v>2256</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833" t="s">
        <v>2257</v>
      </c>
      <c r="G534" s="1834"/>
      <c r="H534" s="1834"/>
      <c r="I534" s="1834"/>
      <c r="J534" s="1834"/>
      <c r="K534" s="1834"/>
      <c r="L534" s="1834"/>
      <c r="M534" s="1834"/>
      <c r="N534" s="1834"/>
      <c r="O534" s="1834"/>
      <c r="P534" s="1834"/>
      <c r="Q534" s="1834"/>
      <c r="R534" s="1834"/>
      <c r="S534" s="1834"/>
      <c r="T534" s="1834"/>
      <c r="U534" s="1834"/>
      <c r="V534" s="1834"/>
      <c r="W534" s="1834"/>
      <c r="X534" s="1834"/>
      <c r="Y534" s="1834"/>
      <c r="Z534" s="1834"/>
      <c r="AA534" s="1834"/>
      <c r="AB534" s="1834"/>
      <c r="AC534" s="1834"/>
      <c r="AD534" s="1834"/>
      <c r="AE534" s="1834"/>
      <c r="AF534" s="1834"/>
      <c r="AG534" s="1834"/>
      <c r="AH534" s="1834"/>
      <c r="AI534" s="1834"/>
      <c r="AJ534" s="1834"/>
      <c r="AK534" s="1834"/>
      <c r="AL534" s="1835"/>
      <c r="AM534" s="457"/>
      <c r="AN534" s="459"/>
      <c r="AS534" s="712"/>
      <c r="AT534" s="712"/>
      <c r="AU534" s="712"/>
      <c r="AV534" s="712"/>
      <c r="AW534" s="712"/>
    </row>
    <row r="535" spans="1:49" s="418" customFormat="1" ht="12.75" customHeight="1">
      <c r="B535" s="656"/>
      <c r="C535" s="656"/>
      <c r="D535" s="656"/>
      <c r="E535" s="656"/>
      <c r="F535" s="1833"/>
      <c r="G535" s="1834"/>
      <c r="H535" s="1834"/>
      <c r="I535" s="1834"/>
      <c r="J535" s="1834"/>
      <c r="K535" s="1834"/>
      <c r="L535" s="1834"/>
      <c r="M535" s="1834"/>
      <c r="N535" s="1834"/>
      <c r="O535" s="1834"/>
      <c r="P535" s="1834"/>
      <c r="Q535" s="1834"/>
      <c r="R535" s="1834"/>
      <c r="S535" s="1834"/>
      <c r="T535" s="1834"/>
      <c r="U535" s="1834"/>
      <c r="V535" s="1834"/>
      <c r="W535" s="1834"/>
      <c r="X535" s="1834"/>
      <c r="Y535" s="1834"/>
      <c r="Z535" s="1834"/>
      <c r="AA535" s="1834"/>
      <c r="AB535" s="1834"/>
      <c r="AC535" s="1834"/>
      <c r="AD535" s="1834"/>
      <c r="AE535" s="1834"/>
      <c r="AF535" s="1834"/>
      <c r="AG535" s="1834"/>
      <c r="AH535" s="1834"/>
      <c r="AI535" s="1834"/>
      <c r="AJ535" s="1834"/>
      <c r="AK535" s="1834"/>
      <c r="AL535" s="1835"/>
      <c r="AM535" s="457"/>
      <c r="AN535" s="459"/>
    </row>
    <row r="536" spans="1:49" s="418" customFormat="1" ht="12.75" customHeight="1">
      <c r="B536" s="656"/>
      <c r="C536" s="656"/>
      <c r="D536" s="656"/>
      <c r="E536" s="656"/>
      <c r="F536" s="661" t="s">
        <v>2258</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833" t="s">
        <v>2259</v>
      </c>
      <c r="G537" s="1834"/>
      <c r="H537" s="1834"/>
      <c r="I537" s="1834"/>
      <c r="J537" s="1834"/>
      <c r="K537" s="1834"/>
      <c r="L537" s="1834"/>
      <c r="M537" s="1834"/>
      <c r="N537" s="1834"/>
      <c r="O537" s="1834"/>
      <c r="P537" s="1834"/>
      <c r="Q537" s="1834"/>
      <c r="R537" s="1834"/>
      <c r="S537" s="1834"/>
      <c r="T537" s="1834"/>
      <c r="U537" s="1834"/>
      <c r="V537" s="1834"/>
      <c r="W537" s="1834"/>
      <c r="X537" s="1834"/>
      <c r="Y537" s="1834"/>
      <c r="Z537" s="1834"/>
      <c r="AA537" s="1834"/>
      <c r="AB537" s="1834"/>
      <c r="AC537" s="1834"/>
      <c r="AD537" s="1834"/>
      <c r="AE537" s="1834"/>
      <c r="AF537" s="1834"/>
      <c r="AG537" s="1834"/>
      <c r="AH537" s="1834"/>
      <c r="AI537" s="1834"/>
      <c r="AJ537" s="1834"/>
      <c r="AK537" s="1834"/>
      <c r="AL537" s="663"/>
      <c r="AM537" s="457"/>
      <c r="AN537" s="459"/>
    </row>
    <row r="538" spans="1:49" s="418" customFormat="1" ht="12.75" customHeight="1">
      <c r="B538" s="656"/>
      <c r="C538" s="656"/>
      <c r="D538" s="656"/>
      <c r="E538" s="656"/>
      <c r="F538" s="1836"/>
      <c r="G538" s="1837"/>
      <c r="H538" s="1837"/>
      <c r="I538" s="1837"/>
      <c r="J538" s="1837"/>
      <c r="K538" s="1837"/>
      <c r="L538" s="1837"/>
      <c r="M538" s="1837"/>
      <c r="N538" s="1837"/>
      <c r="O538" s="1837"/>
      <c r="P538" s="1837"/>
      <c r="Q538" s="1837"/>
      <c r="R538" s="1837"/>
      <c r="S538" s="1837"/>
      <c r="T538" s="1837"/>
      <c r="U538" s="1837"/>
      <c r="V538" s="1837"/>
      <c r="W538" s="1837"/>
      <c r="X538" s="1837"/>
      <c r="Y538" s="1837"/>
      <c r="Z538" s="1837"/>
      <c r="AA538" s="1837"/>
      <c r="AB538" s="1837"/>
      <c r="AC538" s="1837"/>
      <c r="AD538" s="1837"/>
      <c r="AE538" s="1837"/>
      <c r="AF538" s="1837"/>
      <c r="AG538" s="1837"/>
      <c r="AH538" s="1837"/>
      <c r="AI538" s="1837"/>
      <c r="AJ538" s="1837"/>
      <c r="AK538" s="1837"/>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1828">
        <f>Application!AJ991</f>
        <v>47826200</v>
      </c>
      <c r="AQ539" s="1828"/>
      <c r="AR539" s="1828"/>
      <c r="AS539" s="418" t="s">
        <v>2260</v>
      </c>
    </row>
    <row r="540" spans="1:49" s="418" customFormat="1" ht="12.75" customHeight="1">
      <c r="A540" s="370"/>
      <c r="B540" s="1106" t="s">
        <v>2261</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838">
        <f>'Sources and Uses Budget'!S107+'Sources and Uses Budget'!T107</f>
        <v>48731881.799999997</v>
      </c>
      <c r="AG540" s="1838"/>
      <c r="AH540" s="1838"/>
      <c r="AI540" s="1838"/>
      <c r="AJ540" s="1838"/>
      <c r="AK540" s="457"/>
      <c r="AL540" s="457"/>
      <c r="AM540" s="457"/>
      <c r="AN540" s="459"/>
    </row>
    <row r="541" spans="1:49" s="418" customFormat="1" ht="12.75" customHeight="1">
      <c r="A541" s="485"/>
      <c r="B541" s="485" t="s">
        <v>2262</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1839">
        <f>IFERROR(AP548,0)</f>
        <v>102630105</v>
      </c>
      <c r="AG541" s="1839"/>
      <c r="AH541" s="1839"/>
      <c r="AI541" s="1839"/>
      <c r="AJ541" s="1839"/>
      <c r="AK541" s="457"/>
      <c r="AL541" s="457"/>
      <c r="AM541" s="457"/>
      <c r="AN541" s="459"/>
      <c r="AP541" s="1828">
        <f>Application!AJ1044</f>
        <v>25826148</v>
      </c>
      <c r="AQ541" s="1828"/>
      <c r="AR541" s="1828"/>
      <c r="AS541" s="418" t="s">
        <v>1775</v>
      </c>
    </row>
    <row r="542" spans="1:49" s="418" customFormat="1" ht="12.75" customHeight="1">
      <c r="A542" s="484"/>
      <c r="B542" s="484" t="s">
        <v>1710</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1840">
        <f>IFERROR(ROUNDDOWN(IF(C533="YES",((1-(AF540/AF541))*2),(1-(AF540/AF541))),2),0)</f>
        <v>1.05</v>
      </c>
      <c r="AG542" s="1840"/>
      <c r="AH542" s="1840"/>
      <c r="AI542" s="1840"/>
      <c r="AJ542" s="1840"/>
      <c r="AK542" s="457"/>
      <c r="AL542" s="457"/>
      <c r="AM542" s="457"/>
      <c r="AN542" s="459"/>
      <c r="AP542" s="1829">
        <f>Application!AJ1048</f>
        <v>24869624</v>
      </c>
      <c r="AQ542" s="1829"/>
      <c r="AR542" s="1829"/>
      <c r="AS542" s="418" t="s">
        <v>1780</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1848">
        <f>IF(((AP541+AP542)/AP539)&gt;0.8,0.8,((AP541+AP542)/AP539))</f>
        <v>0.8</v>
      </c>
      <c r="AQ543" s="1848"/>
      <c r="AR543" s="1848"/>
      <c r="AS543" s="418" t="s">
        <v>2263</v>
      </c>
    </row>
    <row r="544" spans="1:49" s="418" customFormat="1" ht="12.75" customHeight="1">
      <c r="A544" s="484"/>
      <c r="B544" s="1894" t="s">
        <v>2264</v>
      </c>
      <c r="C544" s="1895"/>
      <c r="D544" s="1895"/>
      <c r="E544" s="1895"/>
      <c r="F544" s="1895"/>
      <c r="G544" s="1895"/>
      <c r="H544" s="1895"/>
      <c r="I544" s="1895"/>
      <c r="J544" s="1895"/>
      <c r="K544" s="1895"/>
      <c r="L544" s="1895"/>
      <c r="M544" s="1895"/>
      <c r="N544" s="1895"/>
      <c r="O544" s="1895"/>
      <c r="P544" s="1895"/>
      <c r="Q544" s="1895"/>
      <c r="R544" s="1895"/>
      <c r="S544" s="1895"/>
      <c r="T544" s="1895"/>
      <c r="U544" s="1895"/>
      <c r="V544" s="1895"/>
      <c r="W544" s="1895"/>
      <c r="X544" s="1895"/>
      <c r="Y544" s="1895"/>
      <c r="Z544" s="1895"/>
      <c r="AA544" s="1895"/>
      <c r="AB544" s="1895"/>
      <c r="AC544" s="1895"/>
      <c r="AD544" s="1895"/>
      <c r="AE544" s="1895"/>
      <c r="AF544" s="1895"/>
      <c r="AG544" s="1895"/>
      <c r="AH544" s="1895"/>
      <c r="AI544" s="1895"/>
      <c r="AJ544" s="1896"/>
      <c r="AK544" s="457"/>
      <c r="AL544" s="457"/>
      <c r="AM544" s="457"/>
      <c r="AN544" s="459"/>
    </row>
    <row r="545" spans="1:45" s="418" customFormat="1" ht="12.75" customHeight="1">
      <c r="A545" s="484"/>
      <c r="B545" s="1897"/>
      <c r="C545" s="1898"/>
      <c r="D545" s="1898"/>
      <c r="E545" s="1898"/>
      <c r="F545" s="1898"/>
      <c r="G545" s="1898"/>
      <c r="H545" s="1898"/>
      <c r="I545" s="1898"/>
      <c r="J545" s="1898"/>
      <c r="K545" s="1898"/>
      <c r="L545" s="1898"/>
      <c r="M545" s="1898"/>
      <c r="N545" s="1898"/>
      <c r="O545" s="1898"/>
      <c r="P545" s="1898"/>
      <c r="Q545" s="1898"/>
      <c r="R545" s="1898"/>
      <c r="S545" s="1898"/>
      <c r="T545" s="1898"/>
      <c r="U545" s="1898"/>
      <c r="V545" s="1898"/>
      <c r="W545" s="1898"/>
      <c r="X545" s="1898"/>
      <c r="Y545" s="1898"/>
      <c r="Z545" s="1898"/>
      <c r="AA545" s="1898"/>
      <c r="AB545" s="1898"/>
      <c r="AC545" s="1898"/>
      <c r="AD545" s="1898"/>
      <c r="AE545" s="1898"/>
      <c r="AF545" s="1898"/>
      <c r="AG545" s="1898"/>
      <c r="AH545" s="1898"/>
      <c r="AI545" s="1898"/>
      <c r="AJ545" s="1899"/>
      <c r="AK545" s="457"/>
      <c r="AL545" s="457"/>
      <c r="AM545" s="457"/>
      <c r="AN545" s="459"/>
      <c r="AP545" s="1828">
        <f>AP546-AP541-AP542</f>
        <v>64369145</v>
      </c>
      <c r="AQ545" s="1849"/>
      <c r="AR545" s="1849"/>
      <c r="AS545" s="418" t="s">
        <v>2265</v>
      </c>
    </row>
    <row r="546" spans="1:45" s="418" customFormat="1" ht="12.75" customHeight="1">
      <c r="A546" s="484"/>
      <c r="B546" s="1900"/>
      <c r="C546" s="1901"/>
      <c r="D546" s="1901"/>
      <c r="E546" s="1901"/>
      <c r="F546" s="1901"/>
      <c r="G546" s="1901"/>
      <c r="H546" s="1901"/>
      <c r="I546" s="1901"/>
      <c r="J546" s="1901"/>
      <c r="K546" s="1901"/>
      <c r="L546" s="1901"/>
      <c r="M546" s="1901"/>
      <c r="N546" s="1901"/>
      <c r="O546" s="1901"/>
      <c r="P546" s="1901"/>
      <c r="Q546" s="1901"/>
      <c r="R546" s="1901"/>
      <c r="S546" s="1901"/>
      <c r="T546" s="1901"/>
      <c r="U546" s="1901"/>
      <c r="V546" s="1901"/>
      <c r="W546" s="1901"/>
      <c r="X546" s="1901"/>
      <c r="Y546" s="1901"/>
      <c r="Z546" s="1901"/>
      <c r="AA546" s="1901"/>
      <c r="AB546" s="1901"/>
      <c r="AC546" s="1901"/>
      <c r="AD546" s="1901"/>
      <c r="AE546" s="1901"/>
      <c r="AF546" s="1901"/>
      <c r="AG546" s="1901"/>
      <c r="AH546" s="1901"/>
      <c r="AI546" s="1901"/>
      <c r="AJ546" s="1902"/>
      <c r="AK546" s="457"/>
      <c r="AL546" s="457"/>
      <c r="AM546" s="457"/>
      <c r="AN546" s="459"/>
      <c r="AP546" s="1828">
        <f>Application!AJ1052</f>
        <v>115064917</v>
      </c>
      <c r="AQ546" s="1828"/>
      <c r="AR546" s="1828"/>
      <c r="AS546" s="418" t="s">
        <v>2266</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84"/>
      <c r="AJ547" s="1184"/>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2267</v>
      </c>
      <c r="AK548" s="1903">
        <f>IFERROR(IF(AND(C530="N/A",C533="N/A"),0,IF(AF542=0,0,IF((AF542*100)&gt;12,12,(AF542*100)))),0)</f>
        <v>12</v>
      </c>
      <c r="AL548" s="1903"/>
      <c r="AM548" s="1904"/>
      <c r="AN548" s="459"/>
      <c r="AP548" s="1817">
        <f>AP545+(AP539*AP543)</f>
        <v>102630105</v>
      </c>
      <c r="AQ548" s="1818"/>
      <c r="AR548" s="1819"/>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2268</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47" t="s">
        <v>1968</v>
      </c>
      <c r="AF551" s="1847"/>
      <c r="AG551" s="1847"/>
      <c r="AH551" s="1847"/>
      <c r="AI551" s="1847"/>
      <c r="AJ551" s="1847"/>
      <c r="AK551" s="1847"/>
      <c r="AL551" s="1201"/>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834" t="s">
        <v>2269</v>
      </c>
      <c r="C553" s="1834"/>
      <c r="D553" s="1834"/>
      <c r="E553" s="1834"/>
      <c r="F553" s="1834"/>
      <c r="G553" s="1834"/>
      <c r="H553" s="1834"/>
      <c r="I553" s="1834"/>
      <c r="J553" s="1834"/>
      <c r="K553" s="1834"/>
      <c r="L553" s="1834"/>
      <c r="M553" s="1834"/>
      <c r="N553" s="1834"/>
      <c r="O553" s="1834"/>
      <c r="P553" s="1834"/>
      <c r="Q553" s="1834"/>
      <c r="R553" s="1834"/>
      <c r="S553" s="1834"/>
      <c r="T553" s="1834"/>
      <c r="U553" s="1834"/>
      <c r="V553" s="1834"/>
      <c r="W553" s="1834"/>
      <c r="X553" s="1834"/>
      <c r="Y553" s="1834"/>
      <c r="Z553" s="1834"/>
      <c r="AA553" s="1834"/>
      <c r="AB553" s="1834"/>
      <c r="AC553" s="1834"/>
      <c r="AD553" s="1834"/>
      <c r="AE553" s="1834"/>
      <c r="AF553" s="1834"/>
      <c r="AG553" s="1834"/>
      <c r="AH553" s="1834"/>
      <c r="AI553" s="1834"/>
      <c r="AJ553" s="1834"/>
      <c r="AK553" s="501"/>
      <c r="AL553" s="1204"/>
      <c r="AM553" s="465"/>
      <c r="AN553" s="459"/>
    </row>
    <row r="554" spans="1:45" s="418" customFormat="1" ht="12.75" customHeight="1">
      <c r="A554" s="465"/>
      <c r="B554" s="1834"/>
      <c r="C554" s="1834"/>
      <c r="D554" s="1834"/>
      <c r="E554" s="1834"/>
      <c r="F554" s="1834"/>
      <c r="G554" s="1834"/>
      <c r="H554" s="1834"/>
      <c r="I554" s="1834"/>
      <c r="J554" s="1834"/>
      <c r="K554" s="1834"/>
      <c r="L554" s="1834"/>
      <c r="M554" s="1834"/>
      <c r="N554" s="1834"/>
      <c r="O554" s="1834"/>
      <c r="P554" s="1834"/>
      <c r="Q554" s="1834"/>
      <c r="R554" s="1834"/>
      <c r="S554" s="1834"/>
      <c r="T554" s="1834"/>
      <c r="U554" s="1834"/>
      <c r="V554" s="1834"/>
      <c r="W554" s="1834"/>
      <c r="X554" s="1834"/>
      <c r="Y554" s="1834"/>
      <c r="Z554" s="1834"/>
      <c r="AA554" s="1834"/>
      <c r="AB554" s="1834"/>
      <c r="AC554" s="1834"/>
      <c r="AD554" s="1834"/>
      <c r="AE554" s="1834"/>
      <c r="AF554" s="1834"/>
      <c r="AG554" s="1834"/>
      <c r="AH554" s="1834"/>
      <c r="AI554" s="1834"/>
      <c r="AJ554" s="1834"/>
      <c r="AK554" s="501"/>
      <c r="AL554" s="1204"/>
      <c r="AM554" s="465"/>
      <c r="AN554" s="459"/>
    </row>
    <row r="555" spans="1:45" s="418" customFormat="1" ht="12.75" customHeight="1">
      <c r="A555" s="465"/>
      <c r="B555" s="1834"/>
      <c r="C555" s="1834"/>
      <c r="D555" s="1834"/>
      <c r="E555" s="1834"/>
      <c r="F555" s="1834"/>
      <c r="G555" s="1834"/>
      <c r="H555" s="1834"/>
      <c r="I555" s="1834"/>
      <c r="J555" s="1834"/>
      <c r="K555" s="1834"/>
      <c r="L555" s="1834"/>
      <c r="M555" s="1834"/>
      <c r="N555" s="1834"/>
      <c r="O555" s="1834"/>
      <c r="P555" s="1834"/>
      <c r="Q555" s="1834"/>
      <c r="R555" s="1834"/>
      <c r="S555" s="1834"/>
      <c r="T555" s="1834"/>
      <c r="U555" s="1834"/>
      <c r="V555" s="1834"/>
      <c r="W555" s="1834"/>
      <c r="X555" s="1834"/>
      <c r="Y555" s="1834"/>
      <c r="Z555" s="1834"/>
      <c r="AA555" s="1834"/>
      <c r="AB555" s="1834"/>
      <c r="AC555" s="1834"/>
      <c r="AD555" s="1834"/>
      <c r="AE555" s="1834"/>
      <c r="AF555" s="1834"/>
      <c r="AG555" s="1834"/>
      <c r="AH555" s="1834"/>
      <c r="AI555" s="1834"/>
      <c r="AJ555" s="1834"/>
      <c r="AK555" s="501"/>
      <c r="AL555" s="1204"/>
      <c r="AM555" s="465"/>
      <c r="AN555" s="459"/>
    </row>
    <row r="556" spans="1:45" s="418" customFormat="1" ht="12.75" customHeight="1">
      <c r="A556" s="465"/>
      <c r="B556" s="1834"/>
      <c r="C556" s="1834"/>
      <c r="D556" s="1834"/>
      <c r="E556" s="1834"/>
      <c r="F556" s="1834"/>
      <c r="G556" s="1834"/>
      <c r="H556" s="1834"/>
      <c r="I556" s="1834"/>
      <c r="J556" s="1834"/>
      <c r="K556" s="1834"/>
      <c r="L556" s="1834"/>
      <c r="M556" s="1834"/>
      <c r="N556" s="1834"/>
      <c r="O556" s="1834"/>
      <c r="P556" s="1834"/>
      <c r="Q556" s="1834"/>
      <c r="R556" s="1834"/>
      <c r="S556" s="1834"/>
      <c r="T556" s="1834"/>
      <c r="U556" s="1834"/>
      <c r="V556" s="1834"/>
      <c r="W556" s="1834"/>
      <c r="X556" s="1834"/>
      <c r="Y556" s="1834"/>
      <c r="Z556" s="1834"/>
      <c r="AA556" s="1834"/>
      <c r="AB556" s="1834"/>
      <c r="AC556" s="1834"/>
      <c r="AD556" s="1834"/>
      <c r="AE556" s="1834"/>
      <c r="AF556" s="1834"/>
      <c r="AG556" s="1834"/>
      <c r="AH556" s="1834"/>
      <c r="AI556" s="1834"/>
      <c r="AJ556" s="1834"/>
      <c r="AK556" s="501"/>
      <c r="AL556" s="1204"/>
      <c r="AM556" s="465"/>
      <c r="AN556" s="459"/>
    </row>
    <row r="557" spans="1:45" s="418" customFormat="1" ht="12.75" customHeight="1">
      <c r="A557" s="465"/>
      <c r="B557" s="1834"/>
      <c r="C557" s="1834"/>
      <c r="D557" s="1834"/>
      <c r="E557" s="1834"/>
      <c r="F557" s="1834"/>
      <c r="G557" s="1834"/>
      <c r="H557" s="1834"/>
      <c r="I557" s="1834"/>
      <c r="J557" s="1834"/>
      <c r="K557" s="1834"/>
      <c r="L557" s="1834"/>
      <c r="M557" s="1834"/>
      <c r="N557" s="1834"/>
      <c r="O557" s="1834"/>
      <c r="P557" s="1834"/>
      <c r="Q557" s="1834"/>
      <c r="R557" s="1834"/>
      <c r="S557" s="1834"/>
      <c r="T557" s="1834"/>
      <c r="U557" s="1834"/>
      <c r="V557" s="1834"/>
      <c r="W557" s="1834"/>
      <c r="X557" s="1834"/>
      <c r="Y557" s="1834"/>
      <c r="Z557" s="1834"/>
      <c r="AA557" s="1834"/>
      <c r="AB557" s="1834"/>
      <c r="AC557" s="1834"/>
      <c r="AD557" s="1834"/>
      <c r="AE557" s="1834"/>
      <c r="AF557" s="1834"/>
      <c r="AG557" s="1834"/>
      <c r="AH557" s="1834"/>
      <c r="AI557" s="1834"/>
      <c r="AJ557" s="1834"/>
      <c r="AK557" s="501"/>
      <c r="AL557" s="1204"/>
      <c r="AM557" s="465"/>
      <c r="AN557" s="459"/>
    </row>
    <row r="558" spans="1:45" s="418" customFormat="1" ht="12.75" customHeight="1">
      <c r="A558" s="465"/>
      <c r="B558" s="1834"/>
      <c r="C558" s="1834"/>
      <c r="D558" s="1834"/>
      <c r="E558" s="1834"/>
      <c r="F558" s="1834"/>
      <c r="G558" s="1834"/>
      <c r="H558" s="1834"/>
      <c r="I558" s="1834"/>
      <c r="J558" s="1834"/>
      <c r="K558" s="1834"/>
      <c r="L558" s="1834"/>
      <c r="M558" s="1834"/>
      <c r="N558" s="1834"/>
      <c r="O558" s="1834"/>
      <c r="P558" s="1834"/>
      <c r="Q558" s="1834"/>
      <c r="R558" s="1834"/>
      <c r="S558" s="1834"/>
      <c r="T558" s="1834"/>
      <c r="U558" s="1834"/>
      <c r="V558" s="1834"/>
      <c r="W558" s="1834"/>
      <c r="X558" s="1834"/>
      <c r="Y558" s="1834"/>
      <c r="Z558" s="1834"/>
      <c r="AA558" s="1834"/>
      <c r="AB558" s="1834"/>
      <c r="AC558" s="1834"/>
      <c r="AD558" s="1834"/>
      <c r="AE558" s="1834"/>
      <c r="AF558" s="1834"/>
      <c r="AG558" s="1834"/>
      <c r="AH558" s="1834"/>
      <c r="AI558" s="1834"/>
      <c r="AJ558" s="1834"/>
      <c r="AK558" s="501"/>
      <c r="AL558" s="1204"/>
      <c r="AM558" s="465"/>
      <c r="AN558" s="459"/>
    </row>
    <row r="559" spans="1:45" s="418" customFormat="1" ht="12.75" customHeight="1">
      <c r="A559" s="465"/>
      <c r="B559" s="1834"/>
      <c r="C559" s="1834"/>
      <c r="D559" s="1834"/>
      <c r="E559" s="1834"/>
      <c r="F559" s="1834"/>
      <c r="G559" s="1834"/>
      <c r="H559" s="1834"/>
      <c r="I559" s="1834"/>
      <c r="J559" s="1834"/>
      <c r="K559" s="1834"/>
      <c r="L559" s="1834"/>
      <c r="M559" s="1834"/>
      <c r="N559" s="1834"/>
      <c r="O559" s="1834"/>
      <c r="P559" s="1834"/>
      <c r="Q559" s="1834"/>
      <c r="R559" s="1834"/>
      <c r="S559" s="1834"/>
      <c r="T559" s="1834"/>
      <c r="U559" s="1834"/>
      <c r="V559" s="1834"/>
      <c r="W559" s="1834"/>
      <c r="X559" s="1834"/>
      <c r="Y559" s="1834"/>
      <c r="Z559" s="1834"/>
      <c r="AA559" s="1834"/>
      <c r="AB559" s="1834"/>
      <c r="AC559" s="1834"/>
      <c r="AD559" s="1834"/>
      <c r="AE559" s="1834"/>
      <c r="AF559" s="1834"/>
      <c r="AG559" s="1834"/>
      <c r="AH559" s="1834"/>
      <c r="AI559" s="1834"/>
      <c r="AJ559" s="1834"/>
      <c r="AK559" s="501"/>
      <c r="AL559" s="1204"/>
      <c r="AM559" s="465"/>
      <c r="AN559" s="459"/>
    </row>
    <row r="560" spans="1:45" ht="12.75" customHeight="1">
      <c r="A560" s="465"/>
      <c r="B560" s="1834"/>
      <c r="C560" s="1834"/>
      <c r="D560" s="1834"/>
      <c r="E560" s="1834"/>
      <c r="F560" s="1834"/>
      <c r="G560" s="1834"/>
      <c r="H560" s="1834"/>
      <c r="I560" s="1834"/>
      <c r="J560" s="1834"/>
      <c r="K560" s="1834"/>
      <c r="L560" s="1834"/>
      <c r="M560" s="1834"/>
      <c r="N560" s="1834"/>
      <c r="O560" s="1834"/>
      <c r="P560" s="1834"/>
      <c r="Q560" s="1834"/>
      <c r="R560" s="1834"/>
      <c r="S560" s="1834"/>
      <c r="T560" s="1834"/>
      <c r="U560" s="1834"/>
      <c r="V560" s="1834"/>
      <c r="W560" s="1834"/>
      <c r="X560" s="1834"/>
      <c r="Y560" s="1834"/>
      <c r="Z560" s="1834"/>
      <c r="AA560" s="1834"/>
      <c r="AB560" s="1834"/>
      <c r="AC560" s="1834"/>
      <c r="AD560" s="1834"/>
      <c r="AE560" s="1834"/>
      <c r="AF560" s="1834"/>
      <c r="AG560" s="1834"/>
      <c r="AH560" s="1834"/>
      <c r="AI560" s="1834"/>
      <c r="AJ560" s="1834"/>
      <c r="AK560" s="501"/>
      <c r="AL560" s="1204"/>
      <c r="AM560" s="465"/>
    </row>
    <row r="561" spans="1:42" s="418" customFormat="1" ht="12.75" customHeight="1">
      <c r="B561" s="1834"/>
      <c r="C561" s="1834"/>
      <c r="D561" s="1834"/>
      <c r="E561" s="1834"/>
      <c r="F561" s="1834"/>
      <c r="G561" s="1834"/>
      <c r="H561" s="1834"/>
      <c r="I561" s="1834"/>
      <c r="J561" s="1834"/>
      <c r="K561" s="1834"/>
      <c r="L561" s="1834"/>
      <c r="M561" s="1834"/>
      <c r="N561" s="1834"/>
      <c r="O561" s="1834"/>
      <c r="P561" s="1834"/>
      <c r="Q561" s="1834"/>
      <c r="R561" s="1834"/>
      <c r="S561" s="1834"/>
      <c r="T561" s="1834"/>
      <c r="U561" s="1834"/>
      <c r="V561" s="1834"/>
      <c r="W561" s="1834"/>
      <c r="X561" s="1834"/>
      <c r="Y561" s="1834"/>
      <c r="Z561" s="1834"/>
      <c r="AA561" s="1834"/>
      <c r="AB561" s="1834"/>
      <c r="AC561" s="1834"/>
      <c r="AD561" s="1834"/>
      <c r="AE561" s="1834"/>
      <c r="AF561" s="1834"/>
      <c r="AG561" s="1834"/>
      <c r="AH561" s="1834"/>
      <c r="AI561" s="1834"/>
      <c r="AJ561" s="1834"/>
      <c r="AK561" s="501"/>
      <c r="AL561" s="1204"/>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204"/>
      <c r="AN562" s="459"/>
    </row>
    <row r="563" spans="1:42" s="418" customFormat="1" ht="12.75" customHeight="1">
      <c r="B563" s="520" t="s">
        <v>2270</v>
      </c>
      <c r="C563" s="528"/>
      <c r="D563" s="1204"/>
      <c r="E563" s="1204"/>
      <c r="F563" s="1204"/>
      <c r="G563" s="1204"/>
      <c r="H563" s="1204"/>
      <c r="I563" s="1204"/>
      <c r="J563" s="1204"/>
      <c r="K563" s="1204"/>
      <c r="L563" s="1204"/>
      <c r="M563" s="1204"/>
      <c r="N563" s="1204"/>
      <c r="O563" s="1204"/>
      <c r="P563" s="1204"/>
      <c r="Q563" s="1204"/>
      <c r="R563" s="1204"/>
      <c r="S563" s="1204"/>
      <c r="T563" s="1204"/>
      <c r="U563" s="1204"/>
      <c r="V563" s="1204"/>
      <c r="W563" s="1204"/>
      <c r="X563" s="1204"/>
      <c r="Y563" s="1204"/>
      <c r="Z563" s="1204"/>
      <c r="AA563" s="1204"/>
      <c r="AB563" s="1204"/>
      <c r="AC563" s="1204"/>
      <c r="AD563" s="1204"/>
      <c r="AE563" s="1204"/>
      <c r="AF563" s="1204"/>
      <c r="AG563" s="1204"/>
      <c r="AH563" s="1204"/>
      <c r="AI563" s="1204"/>
      <c r="AN563" s="459"/>
      <c r="AP563" s="418" t="s">
        <v>299</v>
      </c>
    </row>
    <row r="564" spans="1:42" s="418" customFormat="1" ht="12.75" customHeight="1">
      <c r="B564" s="405"/>
      <c r="C564" s="528"/>
      <c r="D564" s="1204"/>
      <c r="E564" s="1204"/>
      <c r="F564" s="1204"/>
      <c r="G564" s="1204"/>
      <c r="H564" s="1204"/>
      <c r="I564" s="1204"/>
      <c r="J564" s="1204"/>
      <c r="K564" s="1204"/>
      <c r="L564" s="1204"/>
      <c r="M564" s="1204"/>
      <c r="N564" s="1204"/>
      <c r="O564" s="1204"/>
      <c r="P564" s="1204"/>
      <c r="Q564" s="1204"/>
      <c r="R564" s="1204"/>
      <c r="S564" s="1204"/>
      <c r="T564" s="1204"/>
      <c r="U564" s="1204"/>
      <c r="V564" s="1204"/>
      <c r="W564" s="1204"/>
      <c r="X564" s="1204"/>
      <c r="Y564" s="1204"/>
      <c r="Z564" s="1204"/>
      <c r="AA564" s="1204"/>
      <c r="AB564" s="1204"/>
      <c r="AC564" s="1204"/>
      <c r="AD564" s="1204"/>
      <c r="AE564" s="1204"/>
      <c r="AF564" s="1204"/>
      <c r="AG564" s="1204"/>
      <c r="AH564" s="1204"/>
      <c r="AI564" s="1204"/>
      <c r="AN564" s="459"/>
      <c r="AP564" s="418" t="s">
        <v>837</v>
      </c>
    </row>
    <row r="565" spans="1:42" s="418" customFormat="1" ht="12.75" customHeight="1">
      <c r="C565" s="408" t="s">
        <v>2271</v>
      </c>
      <c r="D565" s="529"/>
      <c r="E565" s="1204"/>
      <c r="F565" s="1204"/>
      <c r="G565" s="1204"/>
      <c r="H565" s="1204"/>
      <c r="I565" s="1204"/>
      <c r="J565" s="1204"/>
      <c r="K565" s="1204"/>
      <c r="L565" s="1204"/>
      <c r="M565" s="1204"/>
      <c r="N565" s="1204"/>
      <c r="O565" s="1204"/>
      <c r="P565" s="1204"/>
      <c r="Q565" s="1204"/>
      <c r="R565" s="1204"/>
      <c r="S565" s="1204"/>
      <c r="T565" s="1204"/>
      <c r="U565" s="1204"/>
      <c r="V565" s="1204"/>
      <c r="W565" s="1204"/>
      <c r="X565" s="1204"/>
      <c r="Y565" s="1204"/>
      <c r="Z565" s="1204"/>
      <c r="AA565" s="1204"/>
      <c r="AB565" s="1204"/>
      <c r="AC565" s="1204"/>
      <c r="AD565" s="1204"/>
      <c r="AE565" s="1204"/>
      <c r="AF565" s="1204"/>
      <c r="AG565" s="1204"/>
      <c r="AH565" s="1204"/>
      <c r="AI565" s="1204"/>
      <c r="AN565" s="459"/>
    </row>
    <row r="566" spans="1:42" s="418" customFormat="1" ht="12.75" customHeight="1">
      <c r="B566" s="405"/>
      <c r="C566" s="405"/>
      <c r="D566" s="1194"/>
      <c r="E566" s="1197"/>
      <c r="F566" s="1197"/>
      <c r="G566" s="1197"/>
      <c r="H566" s="1197"/>
      <c r="I566" s="1197"/>
      <c r="J566" s="1197"/>
      <c r="K566" s="1197"/>
      <c r="L566" s="1197"/>
      <c r="M566" s="1197"/>
      <c r="N566" s="1197"/>
      <c r="O566" s="1197"/>
      <c r="P566" s="1197"/>
      <c r="Q566" s="1197"/>
      <c r="R566" s="1197"/>
      <c r="S566" s="1197"/>
      <c r="T566" s="1197"/>
      <c r="U566" s="1197"/>
      <c r="V566" s="1197"/>
      <c r="W566" s="1197"/>
      <c r="X566" s="1197"/>
      <c r="Y566" s="1197"/>
      <c r="Z566" s="1197"/>
      <c r="AA566" s="1197"/>
      <c r="AB566" s="1197"/>
      <c r="AC566" s="1197"/>
      <c r="AD566" s="1197"/>
      <c r="AE566" s="1197"/>
      <c r="AF566" s="405"/>
      <c r="AG566" s="405"/>
      <c r="AH566" s="405"/>
      <c r="AI566" s="405"/>
      <c r="AJ566" s="405"/>
      <c r="AK566" s="405"/>
      <c r="AL566" s="405"/>
      <c r="AN566" s="459"/>
    </row>
    <row r="567" spans="1:42" s="418" customFormat="1" ht="12.75" customHeight="1">
      <c r="B567" s="405"/>
      <c r="C567" s="405"/>
      <c r="D567" s="520" t="s">
        <v>21</v>
      </c>
      <c r="E567" s="683" t="s">
        <v>2272</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914" t="s">
        <v>2013</v>
      </c>
      <c r="AG567" s="1914"/>
      <c r="AH567" s="1914"/>
      <c r="AI567" s="1914"/>
      <c r="AJ567" s="1914"/>
      <c r="AK567" s="1914"/>
      <c r="AL567" s="1914"/>
      <c r="AN567" s="459"/>
    </row>
    <row r="568" spans="1:42" s="418" customFormat="1" ht="12.75" customHeight="1">
      <c r="B568" s="405"/>
      <c r="C568" s="476"/>
      <c r="D568" s="520"/>
      <c r="E568" s="683" t="s">
        <v>2273</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2274</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2275</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2276</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2277</v>
      </c>
      <c r="AP571" s="418" t="b">
        <f>IF(Application!AF418&gt;=25,TRUE,FALSE)</f>
        <v>1</v>
      </c>
    </row>
    <row r="572" spans="1:42" s="418" customFormat="1" ht="12.75" customHeight="1">
      <c r="B572" s="405"/>
      <c r="C572" s="476"/>
      <c r="D572" s="520"/>
      <c r="E572" s="683" t="s">
        <v>2278</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2279</v>
      </c>
      <c r="AP572" s="418" t="b">
        <f>Application!Z199="Yes"</f>
        <v>1</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2280</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914" t="s">
        <v>2281</v>
      </c>
      <c r="AG574" s="1914"/>
      <c r="AH574" s="1914"/>
      <c r="AI574" s="1914"/>
      <c r="AJ574" s="1914"/>
      <c r="AK574" s="1914"/>
      <c r="AL574" s="1914"/>
      <c r="AN574" s="459"/>
    </row>
    <row r="575" spans="1:42" s="418" customFormat="1" ht="12.75" customHeight="1">
      <c r="B575" s="405"/>
      <c r="C575" s="758"/>
      <c r="D575" s="520"/>
      <c r="E575" s="683" t="s">
        <v>2282</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2283</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7</v>
      </c>
    </row>
    <row r="577" spans="1:53" s="418" customFormat="1" ht="12.75" customHeight="1">
      <c r="B577" s="471"/>
      <c r="C577" s="756"/>
      <c r="D577" s="520"/>
      <c r="E577" s="683" t="s">
        <v>2284</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2285</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2286</v>
      </c>
      <c r="AP579" s="418">
        <v>4</v>
      </c>
    </row>
    <row r="580" spans="1:53" s="418" customFormat="1" ht="12.75" customHeight="1">
      <c r="B580" s="405"/>
      <c r="C580" s="756"/>
      <c r="D580" s="520" t="s">
        <v>48</v>
      </c>
      <c r="E580" s="683" t="s">
        <v>2287</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914" t="s">
        <v>2288</v>
      </c>
      <c r="AG580" s="1914"/>
      <c r="AH580" s="1914"/>
      <c r="AI580" s="1914"/>
      <c r="AJ580" s="1914"/>
      <c r="AK580" s="1914"/>
      <c r="AL580" s="1914"/>
      <c r="AN580" s="459"/>
      <c r="AO580" s="472" t="s">
        <v>2289</v>
      </c>
      <c r="AP580" s="418">
        <v>3</v>
      </c>
    </row>
    <row r="581" spans="1:53" s="418" customFormat="1" ht="12.75" customHeight="1">
      <c r="B581" s="405"/>
      <c r="C581" s="758"/>
      <c r="D581" s="520"/>
      <c r="E581" s="683" t="s">
        <v>2282</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2283</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2290</v>
      </c>
    </row>
    <row r="583" spans="1:53" s="418" customFormat="1" ht="12.75" customHeight="1">
      <c r="B583" s="405"/>
      <c r="C583" s="758"/>
      <c r="D583" s="520"/>
      <c r="E583" s="683" t="s">
        <v>2284</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2291</v>
      </c>
    </row>
    <row r="584" spans="1:53" s="418" customFormat="1" ht="12.75" customHeight="1">
      <c r="B584" s="405"/>
      <c r="C584" s="758"/>
      <c r="D584" s="520"/>
      <c r="E584" s="683" t="s">
        <v>2285</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2292</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2286</v>
      </c>
      <c r="E586" s="683" t="s">
        <v>2293</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914" t="s">
        <v>2294</v>
      </c>
      <c r="AG586" s="1914"/>
      <c r="AH586" s="1914"/>
      <c r="AI586" s="1914"/>
      <c r="AJ586" s="1914"/>
      <c r="AK586" s="1914"/>
      <c r="AL586" s="1914"/>
      <c r="AN586" s="459"/>
      <c r="AO586" s="418" t="str">
        <f>X623</f>
        <v>N/A</v>
      </c>
    </row>
    <row r="587" spans="1:53" s="418" customFormat="1" ht="12.75" customHeight="1">
      <c r="B587" s="405"/>
      <c r="C587" s="758"/>
      <c r="D587" s="520"/>
      <c r="E587" s="683" t="s">
        <v>2295</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90"/>
      <c r="AV587" s="1190"/>
      <c r="AW587" s="1190"/>
      <c r="AX587" s="1190"/>
      <c r="AY587" s="1190"/>
      <c r="AZ587" s="1190"/>
      <c r="BA587" s="1190"/>
    </row>
    <row r="588" spans="1:53" s="418" customFormat="1" ht="12.75" customHeight="1">
      <c r="B588" s="471"/>
      <c r="C588" s="756"/>
      <c r="D588" s="520"/>
      <c r="E588" s="683" t="s">
        <v>2296</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2297</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2298</v>
      </c>
    </row>
    <row r="590" spans="1:53" s="418" customFormat="1" ht="12.75" customHeight="1">
      <c r="B590" s="471"/>
      <c r="C590" s="756"/>
      <c r="D590" s="520"/>
      <c r="E590" s="405" t="s">
        <v>2299</v>
      </c>
      <c r="O590" s="1953" t="s">
        <v>1077</v>
      </c>
      <c r="P590" s="1953"/>
      <c r="Q590" s="1953"/>
      <c r="R590" s="1953"/>
      <c r="S590" s="1953"/>
      <c r="T590" s="1953"/>
      <c r="U590" s="1953"/>
      <c r="V590" s="1953"/>
      <c r="W590" s="1953"/>
      <c r="X590" s="1953"/>
      <c r="Y590" s="1953"/>
      <c r="Z590" s="1953"/>
      <c r="AA590" s="1953"/>
      <c r="AB590" s="1953"/>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2289</v>
      </c>
      <c r="E592" s="683" t="s">
        <v>2300</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914" t="s">
        <v>2026</v>
      </c>
      <c r="AG592" s="1914"/>
      <c r="AH592" s="1914"/>
      <c r="AI592" s="1914"/>
      <c r="AJ592" s="1914"/>
      <c r="AK592" s="1914"/>
      <c r="AL592" s="1914"/>
      <c r="AN592" s="459"/>
    </row>
    <row r="593" spans="2:47" s="418" customFormat="1" ht="12.75" customHeight="1">
      <c r="B593" s="405"/>
      <c r="C593" s="756"/>
      <c r="D593" s="520"/>
      <c r="E593" s="683" t="s">
        <v>2301</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90"/>
      <c r="AF593" s="405"/>
      <c r="AG593" s="405"/>
      <c r="AH593" s="405"/>
      <c r="AI593" s="405"/>
      <c r="AJ593" s="405"/>
      <c r="AK593" s="405"/>
      <c r="AL593" s="405"/>
      <c r="AN593" s="459"/>
    </row>
    <row r="594" spans="2:47" s="418" customFormat="1" ht="12.75" customHeight="1">
      <c r="B594" s="405"/>
      <c r="C594" s="758"/>
      <c r="D594" s="405"/>
      <c r="E594" s="476"/>
      <c r="F594" s="1208"/>
      <c r="G594" s="1208"/>
      <c r="H594" s="1208"/>
      <c r="I594" s="1208"/>
      <c r="J594" s="1208"/>
      <c r="K594" s="1208"/>
      <c r="L594" s="1208"/>
      <c r="M594" s="1208"/>
      <c r="N594" s="1208"/>
      <c r="O594" s="1208"/>
      <c r="P594" s="1208"/>
      <c r="Q594" s="1208"/>
      <c r="R594" s="1208"/>
      <c r="S594" s="1208"/>
      <c r="T594" s="1208"/>
      <c r="U594" s="1208"/>
      <c r="V594" s="1208"/>
      <c r="W594" s="1208"/>
      <c r="X594" s="1208"/>
      <c r="Y594" s="1208"/>
      <c r="Z594" s="1208"/>
      <c r="AA594" s="1208"/>
      <c r="AB594" s="1208"/>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2302</v>
      </c>
      <c r="E595" s="1208"/>
      <c r="F595" s="1208"/>
      <c r="G595" s="1208"/>
      <c r="H595" s="1858" t="s">
        <v>21</v>
      </c>
      <c r="I595" s="1858"/>
      <c r="J595" s="1208"/>
      <c r="K595" s="1208"/>
      <c r="L595" s="1208"/>
      <c r="N595" s="18"/>
      <c r="O595" s="18"/>
      <c r="P595" s="18"/>
      <c r="Q595" s="963" t="s">
        <v>2303</v>
      </c>
      <c r="R595" s="1954"/>
      <c r="S595" s="1954"/>
      <c r="T595" s="1954"/>
      <c r="U595" s="1954"/>
      <c r="V595" s="1954"/>
      <c r="W595" s="1954"/>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208"/>
      <c r="F596" s="1208"/>
      <c r="G596" s="1208"/>
      <c r="H596" s="1208"/>
      <c r="I596" s="1208"/>
      <c r="J596" s="1208"/>
      <c r="K596" s="1208"/>
      <c r="L596" s="1208"/>
      <c r="M596" s="1208"/>
      <c r="N596" s="405"/>
      <c r="O596" s="405"/>
      <c r="P596" s="405"/>
      <c r="Q596" s="405"/>
      <c r="R596" s="405"/>
      <c r="S596" s="405"/>
      <c r="T596" s="405"/>
      <c r="U596" s="405"/>
      <c r="V596" s="405"/>
      <c r="W596" s="405"/>
      <c r="X596" s="405"/>
      <c r="Y596" s="1955" t="str">
        <f>IF(AND(H595="(i)",NOT(AP571)),AO588,IF(AND(H595="(iv)",OR(R595=AO584,R595=AO583),NOT(AP572)),AO589,""))</f>
        <v/>
      </c>
      <c r="Z596" s="1955"/>
      <c r="AA596" s="1955"/>
      <c r="AB596" s="1955"/>
      <c r="AC596" s="1955"/>
      <c r="AD596" s="1955"/>
      <c r="AE596" s="1955"/>
      <c r="AF596" s="1955"/>
      <c r="AG596" s="1955"/>
      <c r="AH596" s="1955"/>
      <c r="AI596" s="1955"/>
      <c r="AJ596" s="1955"/>
      <c r="AK596" s="1955"/>
      <c r="AL596" s="1955"/>
      <c r="AM596" s="1956"/>
      <c r="AN596" s="459"/>
      <c r="AO596" s="472" t="s">
        <v>26</v>
      </c>
      <c r="AP596" s="418">
        <v>2</v>
      </c>
      <c r="AT596" s="472" t="s">
        <v>26</v>
      </c>
      <c r="AU596" s="418">
        <v>2</v>
      </c>
    </row>
    <row r="597" spans="2:47" s="418" customFormat="1" ht="12.75" customHeight="1">
      <c r="B597" s="405"/>
      <c r="C597" s="758"/>
      <c r="D597" s="405"/>
      <c r="E597" s="1208"/>
      <c r="F597" s="1208"/>
      <c r="G597" s="1208"/>
      <c r="H597" s="1208"/>
      <c r="I597" s="1208"/>
      <c r="J597" s="1208"/>
      <c r="K597" s="1208"/>
      <c r="L597" s="1208"/>
      <c r="M597" s="1208"/>
      <c r="N597" s="405"/>
      <c r="O597" s="405"/>
      <c r="P597" s="405"/>
      <c r="Q597" s="405"/>
      <c r="X597" s="405"/>
      <c r="Y597" s="1955"/>
      <c r="Z597" s="1955"/>
      <c r="AA597" s="1955"/>
      <c r="AB597" s="1955"/>
      <c r="AC597" s="1955"/>
      <c r="AD597" s="1955"/>
      <c r="AE597" s="1955"/>
      <c r="AF597" s="1955"/>
      <c r="AG597" s="1955"/>
      <c r="AH597" s="1955"/>
      <c r="AI597" s="1955"/>
      <c r="AJ597" s="1955"/>
      <c r="AK597" s="1955"/>
      <c r="AL597" s="1955"/>
      <c r="AM597" s="1956"/>
      <c r="AN597" s="459"/>
      <c r="AO597" s="472"/>
      <c r="AT597" s="472"/>
    </row>
    <row r="598" spans="2:47" s="418" customFormat="1" ht="12.75" customHeight="1">
      <c r="B598" s="405"/>
      <c r="C598" s="758"/>
      <c r="D598" s="405" t="s">
        <v>2304</v>
      </c>
      <c r="E598" s="1208"/>
      <c r="F598" s="1208"/>
      <c r="G598" s="1208"/>
      <c r="H598" s="1208"/>
      <c r="I598" s="1208"/>
      <c r="J598" s="1208"/>
      <c r="K598" s="1208"/>
      <c r="L598" s="1208"/>
      <c r="M598" s="1208"/>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2305</v>
      </c>
      <c r="E599" s="1208"/>
      <c r="F599" s="1208"/>
      <c r="G599" s="1208"/>
      <c r="H599" s="1208"/>
      <c r="I599" s="1208"/>
      <c r="J599" s="1208"/>
      <c r="K599" s="1208"/>
      <c r="L599" s="1208"/>
      <c r="M599" s="1208"/>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2306</v>
      </c>
      <c r="E600" s="1208"/>
      <c r="F600" s="1208"/>
      <c r="G600" s="1208"/>
      <c r="H600" s="1208"/>
      <c r="I600" s="1208"/>
      <c r="J600" s="1208"/>
      <c r="K600" s="1208"/>
      <c r="L600" s="1208"/>
      <c r="M600" s="1208"/>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193" t="s">
        <v>2307</v>
      </c>
      <c r="E601" s="1208"/>
      <c r="F601" s="1208"/>
      <c r="G601" s="1208"/>
      <c r="H601" s="1208"/>
      <c r="I601" s="1208"/>
      <c r="J601" s="1208"/>
      <c r="K601" s="1208"/>
      <c r="L601" s="1208"/>
      <c r="M601" s="1208"/>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2302</v>
      </c>
      <c r="F603" s="1208"/>
      <c r="G603" s="1208"/>
      <c r="I603" s="1952" t="s">
        <v>299</v>
      </c>
      <c r="J603" s="1952"/>
      <c r="K603" s="1952"/>
      <c r="L603" s="1952"/>
      <c r="M603" s="1952"/>
      <c r="N603" s="1952"/>
      <c r="O603" s="1952"/>
      <c r="P603" s="1952"/>
      <c r="Q603" s="1952"/>
      <c r="R603" s="1952"/>
      <c r="S603" s="1952"/>
      <c r="T603" s="1952"/>
      <c r="U603" s="1952"/>
      <c r="V603" s="1952"/>
      <c r="W603" s="1952"/>
      <c r="X603" s="1952"/>
      <c r="Y603" s="1952"/>
      <c r="Z603" s="1952"/>
      <c r="AA603" s="1952"/>
      <c r="AB603" s="1952"/>
      <c r="AC603" s="1952"/>
      <c r="AD603" s="1952"/>
      <c r="AE603" s="1952"/>
      <c r="AF603" s="405"/>
      <c r="AG603" s="405"/>
      <c r="AH603" s="405"/>
      <c r="AI603" s="405"/>
      <c r="AJ603" s="405"/>
      <c r="AK603" s="405"/>
      <c r="AL603" s="405"/>
      <c r="AN603" s="459"/>
      <c r="AO603" s="418" t="s">
        <v>2308</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2309</v>
      </c>
      <c r="AP604" s="418">
        <v>2</v>
      </c>
    </row>
    <row r="605" spans="2:47" s="418" customFormat="1" ht="12.75" customHeight="1">
      <c r="B605" s="1950" t="s">
        <v>299</v>
      </c>
      <c r="C605" s="1950"/>
      <c r="D605" s="501"/>
      <c r="E605" s="1834" t="s">
        <v>2310</v>
      </c>
      <c r="F605" s="1834"/>
      <c r="G605" s="1834"/>
      <c r="H605" s="1834"/>
      <c r="I605" s="1834"/>
      <c r="J605" s="1834"/>
      <c r="K605" s="1834"/>
      <c r="L605" s="1834"/>
      <c r="M605" s="1834"/>
      <c r="N605" s="1834"/>
      <c r="O605" s="1834"/>
      <c r="P605" s="1834"/>
      <c r="Q605" s="1834"/>
      <c r="R605" s="1834"/>
      <c r="S605" s="1834"/>
      <c r="T605" s="1834"/>
      <c r="U605" s="1834"/>
      <c r="V605" s="1834"/>
      <c r="W605" s="1834"/>
      <c r="X605" s="1834"/>
      <c r="Y605" s="1834"/>
      <c r="Z605" s="1834"/>
      <c r="AA605" s="1834"/>
      <c r="AB605" s="1834"/>
      <c r="AC605" s="1834"/>
      <c r="AD605" s="1834"/>
      <c r="AE605" s="1834"/>
      <c r="AF605" s="1834"/>
      <c r="AG605" s="1834"/>
      <c r="AH605" s="501"/>
      <c r="AI605" s="501"/>
      <c r="AJ605" s="501"/>
      <c r="AK605" s="501"/>
      <c r="AL605" s="501"/>
      <c r="AN605" s="459"/>
    </row>
    <row r="606" spans="2:47" s="418" customFormat="1" ht="12.75" customHeight="1">
      <c r="B606" s="405"/>
      <c r="C606" s="758"/>
      <c r="D606" s="501"/>
      <c r="E606" s="1834"/>
      <c r="F606" s="1834"/>
      <c r="G606" s="1834"/>
      <c r="H606" s="1834"/>
      <c r="I606" s="1834"/>
      <c r="J606" s="1834"/>
      <c r="K606" s="1834"/>
      <c r="L606" s="1834"/>
      <c r="M606" s="1834"/>
      <c r="N606" s="1834"/>
      <c r="O606" s="1834"/>
      <c r="P606" s="1834"/>
      <c r="Q606" s="1834"/>
      <c r="R606" s="1834"/>
      <c r="S606" s="1834"/>
      <c r="T606" s="1834"/>
      <c r="U606" s="1834"/>
      <c r="V606" s="1834"/>
      <c r="W606" s="1834"/>
      <c r="X606" s="1834"/>
      <c r="Y606" s="1834"/>
      <c r="Z606" s="1834"/>
      <c r="AA606" s="1834"/>
      <c r="AB606" s="1834"/>
      <c r="AC606" s="1834"/>
      <c r="AD606" s="1834"/>
      <c r="AE606" s="1834"/>
      <c r="AF606" s="1834"/>
      <c r="AG606" s="1834"/>
      <c r="AH606" s="501"/>
      <c r="AI606" s="501"/>
      <c r="AJ606" s="501"/>
      <c r="AK606" s="501"/>
      <c r="AL606" s="501"/>
      <c r="AN606" s="459"/>
    </row>
    <row r="607" spans="2:47" s="418" customFormat="1" ht="12.75" customHeight="1">
      <c r="B607" s="405"/>
      <c r="C607" s="758"/>
      <c r="D607" s="501"/>
      <c r="E607" s="1834"/>
      <c r="F607" s="1834"/>
      <c r="G607" s="1834"/>
      <c r="H607" s="1834"/>
      <c r="I607" s="1834"/>
      <c r="J607" s="1834"/>
      <c r="K607" s="1834"/>
      <c r="L607" s="1834"/>
      <c r="M607" s="1834"/>
      <c r="N607" s="1834"/>
      <c r="O607" s="1834"/>
      <c r="P607" s="1834"/>
      <c r="Q607" s="1834"/>
      <c r="R607" s="1834"/>
      <c r="S607" s="1834"/>
      <c r="T607" s="1834"/>
      <c r="U607" s="1834"/>
      <c r="V607" s="1834"/>
      <c r="W607" s="1834"/>
      <c r="X607" s="1834"/>
      <c r="Y607" s="1834"/>
      <c r="Z607" s="1834"/>
      <c r="AA607" s="1834"/>
      <c r="AB607" s="1834"/>
      <c r="AC607" s="1834"/>
      <c r="AD607" s="1834"/>
      <c r="AE607" s="1834"/>
      <c r="AF607" s="1834"/>
      <c r="AG607" s="1834"/>
      <c r="AH607" s="501"/>
      <c r="AI607" s="501"/>
      <c r="AJ607" s="501"/>
      <c r="AK607" s="501"/>
      <c r="AL607" s="501"/>
      <c r="AN607" s="459"/>
    </row>
    <row r="608" spans="2:47" s="418" customFormat="1" ht="12.75" customHeight="1">
      <c r="B608" s="405"/>
      <c r="C608" s="758"/>
      <c r="D608" s="501"/>
      <c r="E608" s="1834"/>
      <c r="F608" s="1834"/>
      <c r="G608" s="1834"/>
      <c r="H608" s="1834"/>
      <c r="I608" s="1834"/>
      <c r="J608" s="1834"/>
      <c r="K608" s="1834"/>
      <c r="L608" s="1834"/>
      <c r="M608" s="1834"/>
      <c r="N608" s="1834"/>
      <c r="O608" s="1834"/>
      <c r="P608" s="1834"/>
      <c r="Q608" s="1834"/>
      <c r="R608" s="1834"/>
      <c r="S608" s="1834"/>
      <c r="T608" s="1834"/>
      <c r="U608" s="1834"/>
      <c r="V608" s="1834"/>
      <c r="W608" s="1834"/>
      <c r="X608" s="1834"/>
      <c r="Y608" s="1834"/>
      <c r="Z608" s="1834"/>
      <c r="AA608" s="1834"/>
      <c r="AB608" s="1834"/>
      <c r="AC608" s="1834"/>
      <c r="AD608" s="1834"/>
      <c r="AE608" s="1834"/>
      <c r="AF608" s="1834"/>
      <c r="AG608" s="1834"/>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2311</v>
      </c>
      <c r="AJ610" s="1841">
        <f>VLOOKUP($H$595,$AO$575:$AP$580,2,FALSE)+IF(R595=AO583,0,VLOOKUP($I$603,$AO$602:$AP$604,2,FALSE))</f>
        <v>7</v>
      </c>
      <c r="AK610" s="1843"/>
      <c r="AL610" s="457"/>
      <c r="AM610" s="532"/>
      <c r="AN610" s="459"/>
    </row>
    <row r="611" spans="1:42" s="418" customFormat="1" ht="12.75" customHeight="1">
      <c r="B611" s="405"/>
      <c r="C611" s="758"/>
      <c r="D611" s="405"/>
      <c r="E611" s="1208"/>
      <c r="F611" s="1208"/>
      <c r="G611" s="1208"/>
      <c r="H611" s="1208"/>
      <c r="I611" s="1208"/>
      <c r="J611" s="1208"/>
      <c r="K611" s="1208"/>
      <c r="L611" s="1208"/>
      <c r="M611" s="1208"/>
      <c r="N611" s="1208"/>
      <c r="O611" s="1208"/>
      <c r="P611" s="1208"/>
      <c r="Q611" s="1208"/>
      <c r="R611" s="1208"/>
      <c r="S611" s="1208"/>
      <c r="T611" s="1208"/>
      <c r="U611" s="1208"/>
      <c r="V611" s="1208"/>
      <c r="W611" s="1208"/>
      <c r="X611" s="1208"/>
      <c r="Y611" s="1208"/>
      <c r="Z611" s="1208"/>
      <c r="AA611" s="1208"/>
      <c r="AB611" s="1208"/>
      <c r="AC611" s="405"/>
      <c r="AD611" s="405"/>
      <c r="AE611" s="1208"/>
      <c r="AF611" s="1208"/>
      <c r="AG611" s="1208"/>
      <c r="AH611" s="1208"/>
      <c r="AI611" s="1208"/>
      <c r="AJ611" s="1208"/>
      <c r="AK611" s="1208"/>
      <c r="AL611" s="1208"/>
      <c r="AM611" s="532"/>
      <c r="AN611" s="459"/>
    </row>
    <row r="612" spans="1:42" s="418" customFormat="1" ht="12.75" customHeight="1">
      <c r="B612" s="405"/>
      <c r="C612" s="408" t="s">
        <v>2312</v>
      </c>
      <c r="D612" s="408"/>
      <c r="E612" s="1208"/>
      <c r="F612" s="1208"/>
      <c r="G612" s="1208"/>
      <c r="H612" s="1208"/>
      <c r="I612" s="1208"/>
      <c r="J612" s="1208"/>
      <c r="K612" s="1208"/>
      <c r="L612" s="1208"/>
      <c r="M612" s="1208"/>
      <c r="N612" s="1208"/>
      <c r="O612" s="1208"/>
      <c r="P612" s="1208"/>
      <c r="Q612" s="1208"/>
      <c r="R612" s="1208"/>
      <c r="S612" s="1208"/>
      <c r="T612" s="1208"/>
      <c r="U612" s="1208"/>
      <c r="V612" s="1208"/>
      <c r="W612" s="1208"/>
      <c r="X612" s="1208"/>
      <c r="Y612" s="1208"/>
      <c r="Z612" s="1208"/>
      <c r="AA612" s="1208"/>
      <c r="AB612" s="1208"/>
      <c r="AC612" s="405"/>
      <c r="AD612" s="405"/>
      <c r="AE612" s="405"/>
      <c r="AF612" s="405"/>
      <c r="AG612" s="405"/>
      <c r="AH612" s="405"/>
      <c r="AI612" s="405"/>
      <c r="AJ612" s="405"/>
      <c r="AK612" s="405"/>
      <c r="AL612" s="405"/>
      <c r="AN612" s="459"/>
    </row>
    <row r="613" spans="1:42" s="418" customFormat="1" ht="12.75" customHeight="1">
      <c r="B613" s="471"/>
      <c r="C613" s="405"/>
      <c r="D613" s="760"/>
      <c r="E613" s="1208"/>
      <c r="F613" s="1208"/>
      <c r="G613" s="1208"/>
      <c r="H613" s="1208"/>
      <c r="I613" s="1208"/>
      <c r="J613" s="1208"/>
      <c r="K613" s="1208"/>
      <c r="L613" s="1208"/>
      <c r="M613" s="1208"/>
      <c r="N613" s="1208"/>
      <c r="O613" s="1208"/>
      <c r="P613" s="1208"/>
      <c r="Q613" s="1208"/>
      <c r="R613" s="1208"/>
      <c r="S613" s="1208"/>
      <c r="T613" s="1208"/>
      <c r="U613" s="1208"/>
      <c r="V613" s="1208"/>
      <c r="W613" s="1208"/>
      <c r="X613" s="1208"/>
      <c r="Y613" s="1208"/>
      <c r="Z613" s="1208"/>
      <c r="AA613" s="1208"/>
      <c r="AB613" s="1208"/>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51" t="s">
        <v>2313</v>
      </c>
      <c r="F614" s="1951"/>
      <c r="G614" s="1951"/>
      <c r="H614" s="1951"/>
      <c r="I614" s="1951"/>
      <c r="J614" s="1951"/>
      <c r="K614" s="1951"/>
      <c r="L614" s="1951"/>
      <c r="M614" s="1951"/>
      <c r="N614" s="1951"/>
      <c r="O614" s="1951"/>
      <c r="P614" s="1951"/>
      <c r="Q614" s="1951"/>
      <c r="R614" s="1951"/>
      <c r="S614" s="1951"/>
      <c r="T614" s="1951"/>
      <c r="U614" s="1951"/>
      <c r="V614" s="1951"/>
      <c r="W614" s="1951"/>
      <c r="X614" s="1951"/>
      <c r="Y614" s="1951"/>
      <c r="Z614" s="1951"/>
      <c r="AA614" s="1951"/>
      <c r="AB614" s="1951"/>
      <c r="AC614" s="1951"/>
      <c r="AD614" s="1951"/>
      <c r="AE614" s="408"/>
      <c r="AF614" s="1914" t="s">
        <v>2026</v>
      </c>
      <c r="AG614" s="1914"/>
      <c r="AH614" s="1914"/>
      <c r="AI614" s="1914"/>
      <c r="AJ614" s="1914"/>
      <c r="AK614" s="1914"/>
      <c r="AL614" s="1914"/>
      <c r="AM614" s="418"/>
      <c r="AN614" s="535"/>
    </row>
    <row r="615" spans="1:42" s="418" customFormat="1" ht="12.75" customHeight="1">
      <c r="A615" s="1207"/>
      <c r="B615" s="405"/>
      <c r="C615" s="758"/>
      <c r="D615" s="520"/>
      <c r="E615" s="1951"/>
      <c r="F615" s="1951"/>
      <c r="G615" s="1951"/>
      <c r="H615" s="1951"/>
      <c r="I615" s="1951"/>
      <c r="J615" s="1951"/>
      <c r="K615" s="1951"/>
      <c r="L615" s="1951"/>
      <c r="M615" s="1951"/>
      <c r="N615" s="1951"/>
      <c r="O615" s="1951"/>
      <c r="P615" s="1951"/>
      <c r="Q615" s="1951"/>
      <c r="R615" s="1951"/>
      <c r="S615" s="1951"/>
      <c r="T615" s="1951"/>
      <c r="U615" s="1951"/>
      <c r="V615" s="1951"/>
      <c r="W615" s="1951"/>
      <c r="X615" s="1951"/>
      <c r="Y615" s="1951"/>
      <c r="Z615" s="1951"/>
      <c r="AA615" s="1951"/>
      <c r="AB615" s="1951"/>
      <c r="AC615" s="1951"/>
      <c r="AD615" s="1951"/>
      <c r="AE615" s="405"/>
      <c r="AF615" s="405"/>
      <c r="AG615" s="405"/>
      <c r="AH615" s="405"/>
      <c r="AI615" s="405"/>
      <c r="AJ615" s="405"/>
      <c r="AK615" s="405"/>
      <c r="AL615" s="405"/>
      <c r="AN615" s="459"/>
    </row>
    <row r="616" spans="1:42" s="418" customFormat="1" ht="12.75" customHeight="1">
      <c r="B616" s="405"/>
      <c r="C616" s="756"/>
      <c r="D616" s="520"/>
      <c r="E616" s="1951"/>
      <c r="F616" s="1951"/>
      <c r="G616" s="1951"/>
      <c r="H616" s="1951"/>
      <c r="I616" s="1951"/>
      <c r="J616" s="1951"/>
      <c r="K616" s="1951"/>
      <c r="L616" s="1951"/>
      <c r="M616" s="1951"/>
      <c r="N616" s="1951"/>
      <c r="O616" s="1951"/>
      <c r="P616" s="1951"/>
      <c r="Q616" s="1951"/>
      <c r="R616" s="1951"/>
      <c r="S616" s="1951"/>
      <c r="T616" s="1951"/>
      <c r="U616" s="1951"/>
      <c r="V616" s="1951"/>
      <c r="W616" s="1951"/>
      <c r="X616" s="1951"/>
      <c r="Y616" s="1951"/>
      <c r="Z616" s="1951"/>
      <c r="AA616" s="1951"/>
      <c r="AB616" s="1951"/>
      <c r="AC616" s="1951"/>
      <c r="AD616" s="1951"/>
      <c r="AE616" s="405"/>
      <c r="AF616" s="405"/>
      <c r="AG616" s="405"/>
      <c r="AH616" s="405"/>
      <c r="AI616" s="405"/>
      <c r="AJ616" s="405"/>
      <c r="AK616" s="405"/>
      <c r="AL616" s="405"/>
      <c r="AN616" s="459"/>
    </row>
    <row r="617" spans="1:42" s="418" customFormat="1" ht="12.75" customHeight="1">
      <c r="B617" s="405"/>
      <c r="C617" s="756"/>
      <c r="D617" s="520"/>
      <c r="E617" s="1951"/>
      <c r="F617" s="1951"/>
      <c r="G617" s="1951"/>
      <c r="H617" s="1951"/>
      <c r="I617" s="1951"/>
      <c r="J617" s="1951"/>
      <c r="K617" s="1951"/>
      <c r="L617" s="1951"/>
      <c r="M617" s="1951"/>
      <c r="N617" s="1951"/>
      <c r="O617" s="1951"/>
      <c r="P617" s="1951"/>
      <c r="Q617" s="1951"/>
      <c r="R617" s="1951"/>
      <c r="S617" s="1951"/>
      <c r="T617" s="1951"/>
      <c r="U617" s="1951"/>
      <c r="V617" s="1951"/>
      <c r="W617" s="1951"/>
      <c r="X617" s="1951"/>
      <c r="Y617" s="1951"/>
      <c r="Z617" s="1951"/>
      <c r="AA617" s="1951"/>
      <c r="AB617" s="1951"/>
      <c r="AC617" s="1951"/>
      <c r="AD617" s="1951"/>
      <c r="AE617" s="405"/>
      <c r="AF617" s="405"/>
      <c r="AG617" s="405"/>
      <c r="AH617" s="405"/>
      <c r="AI617" s="405"/>
      <c r="AJ617" s="405"/>
      <c r="AK617" s="405"/>
      <c r="AL617" s="405"/>
      <c r="AN617" s="459"/>
    </row>
    <row r="618" spans="1:42" s="418" customFormat="1" ht="12.75" customHeight="1">
      <c r="B618" s="405"/>
      <c r="C618" s="756"/>
      <c r="D618" s="520"/>
      <c r="E618" s="1951"/>
      <c r="F618" s="1951"/>
      <c r="G618" s="1951"/>
      <c r="H618" s="1951"/>
      <c r="I618" s="1951"/>
      <c r="J618" s="1951"/>
      <c r="K618" s="1951"/>
      <c r="L618" s="1951"/>
      <c r="M618" s="1951"/>
      <c r="N618" s="1951"/>
      <c r="O618" s="1951"/>
      <c r="P618" s="1951"/>
      <c r="Q618" s="1951"/>
      <c r="R618" s="1951"/>
      <c r="S618" s="1951"/>
      <c r="T618" s="1951"/>
      <c r="U618" s="1951"/>
      <c r="V618" s="1951"/>
      <c r="W618" s="1951"/>
      <c r="X618" s="1951"/>
      <c r="Y618" s="1951"/>
      <c r="Z618" s="1951"/>
      <c r="AA618" s="1951"/>
      <c r="AB618" s="1951"/>
      <c r="AC618" s="1951"/>
      <c r="AD618" s="1951"/>
      <c r="AE618" s="405"/>
      <c r="AF618" s="405"/>
      <c r="AG618" s="405"/>
      <c r="AH618" s="405"/>
      <c r="AI618" s="405"/>
      <c r="AJ618" s="405"/>
      <c r="AK618" s="405"/>
      <c r="AL618" s="405"/>
      <c r="AN618" s="459"/>
    </row>
    <row r="619" spans="1:42" s="418" customFormat="1" ht="12.75" customHeight="1">
      <c r="B619" s="405"/>
      <c r="C619" s="756"/>
      <c r="D619" s="520"/>
      <c r="E619" s="1951"/>
      <c r="F619" s="1951"/>
      <c r="G619" s="1951"/>
      <c r="H619" s="1951"/>
      <c r="I619" s="1951"/>
      <c r="J619" s="1951"/>
      <c r="K619" s="1951"/>
      <c r="L619" s="1951"/>
      <c r="M619" s="1951"/>
      <c r="N619" s="1951"/>
      <c r="O619" s="1951"/>
      <c r="P619" s="1951"/>
      <c r="Q619" s="1951"/>
      <c r="R619" s="1951"/>
      <c r="S619" s="1951"/>
      <c r="T619" s="1951"/>
      <c r="U619" s="1951"/>
      <c r="V619" s="1951"/>
      <c r="W619" s="1951"/>
      <c r="X619" s="1951"/>
      <c r="Y619" s="1951"/>
      <c r="Z619" s="1951"/>
      <c r="AA619" s="1951"/>
      <c r="AB619" s="1951"/>
      <c r="AC619" s="1951"/>
      <c r="AD619" s="1951"/>
      <c r="AE619" s="405"/>
      <c r="AF619" s="405"/>
      <c r="AG619" s="405"/>
      <c r="AH619" s="405"/>
      <c r="AI619" s="405"/>
      <c r="AJ619" s="405"/>
      <c r="AK619" s="405"/>
      <c r="AL619" s="405"/>
      <c r="AN619" s="459"/>
    </row>
    <row r="620" spans="1:42" s="418" customFormat="1" ht="12.75" customHeight="1">
      <c r="A620" s="497"/>
      <c r="B620" s="476"/>
      <c r="C620" s="764"/>
      <c r="D620" s="520"/>
      <c r="E620" s="1951"/>
      <c r="F620" s="1951"/>
      <c r="G620" s="1951"/>
      <c r="H620" s="1951"/>
      <c r="I620" s="1951"/>
      <c r="J620" s="1951"/>
      <c r="K620" s="1951"/>
      <c r="L620" s="1951"/>
      <c r="M620" s="1951"/>
      <c r="N620" s="1951"/>
      <c r="O620" s="1951"/>
      <c r="P620" s="1951"/>
      <c r="Q620" s="1951"/>
      <c r="R620" s="1951"/>
      <c r="S620" s="1951"/>
      <c r="T620" s="1951"/>
      <c r="U620" s="1951"/>
      <c r="V620" s="1951"/>
      <c r="W620" s="1951"/>
      <c r="X620" s="1951"/>
      <c r="Y620" s="1951"/>
      <c r="Z620" s="1951"/>
      <c r="AA620" s="1951"/>
      <c r="AB620" s="1951"/>
      <c r="AC620" s="1951"/>
      <c r="AD620" s="1951"/>
      <c r="AE620" s="476"/>
      <c r="AF620" s="476"/>
      <c r="AG620" s="476"/>
      <c r="AH620" s="476"/>
      <c r="AI620" s="476"/>
      <c r="AJ620" s="476"/>
      <c r="AK620" s="405"/>
      <c r="AL620" s="405"/>
      <c r="AN620" s="459"/>
    </row>
    <row r="621" spans="1:42" s="418" customFormat="1" ht="12.75" customHeight="1">
      <c r="B621" s="476"/>
      <c r="C621" s="764"/>
      <c r="D621" s="520"/>
      <c r="E621" s="1951"/>
      <c r="F621" s="1951"/>
      <c r="G621" s="1951"/>
      <c r="H621" s="1951"/>
      <c r="I621" s="1951"/>
      <c r="J621" s="1951"/>
      <c r="K621" s="1951"/>
      <c r="L621" s="1951"/>
      <c r="M621" s="1951"/>
      <c r="N621" s="1951"/>
      <c r="O621" s="1951"/>
      <c r="P621" s="1951"/>
      <c r="Q621" s="1951"/>
      <c r="R621" s="1951"/>
      <c r="S621" s="1951"/>
      <c r="T621" s="1951"/>
      <c r="U621" s="1951"/>
      <c r="V621" s="1951"/>
      <c r="W621" s="1951"/>
      <c r="X621" s="1951"/>
      <c r="Y621" s="1951"/>
      <c r="Z621" s="1951"/>
      <c r="AA621" s="1951"/>
      <c r="AB621" s="1951"/>
      <c r="AC621" s="1951"/>
      <c r="AD621" s="1951"/>
      <c r="AE621" s="476"/>
      <c r="AF621" s="476"/>
      <c r="AG621" s="476"/>
      <c r="AH621" s="476"/>
      <c r="AI621" s="476"/>
      <c r="AJ621" s="476"/>
      <c r="AK621" s="405"/>
      <c r="AL621" s="405"/>
      <c r="AN621" s="459"/>
    </row>
    <row r="622" spans="1:42" s="418" customFormat="1" ht="12" customHeight="1">
      <c r="B622" s="476"/>
      <c r="C622" s="764"/>
      <c r="D622" s="520"/>
      <c r="E622" s="1206"/>
      <c r="F622" s="1206"/>
      <c r="G622" s="1206"/>
      <c r="H622" s="1206"/>
      <c r="I622" s="1206"/>
      <c r="J622" s="1206"/>
      <c r="K622" s="1206"/>
      <c r="L622" s="1206"/>
      <c r="M622" s="1206"/>
      <c r="N622" s="1206"/>
      <c r="O622" s="1206"/>
      <c r="P622" s="1206"/>
      <c r="Q622" s="1206"/>
      <c r="R622" s="1206"/>
      <c r="S622" s="1206"/>
      <c r="T622" s="1206"/>
      <c r="U622" s="1206"/>
      <c r="V622" s="1206"/>
      <c r="W622" s="1206"/>
      <c r="X622" s="1206"/>
      <c r="Y622" s="1206"/>
      <c r="Z622" s="1206"/>
      <c r="AA622" s="1206"/>
      <c r="AB622" s="1206"/>
      <c r="AC622" s="1206"/>
      <c r="AD622" s="1206"/>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2314</v>
      </c>
      <c r="F623" s="765"/>
      <c r="G623" s="765"/>
      <c r="H623" s="765"/>
      <c r="I623" s="765"/>
      <c r="J623" s="765"/>
      <c r="K623" s="765"/>
      <c r="L623" s="765"/>
      <c r="M623" s="765"/>
      <c r="N623" s="765"/>
      <c r="O623" s="765"/>
      <c r="P623" s="765"/>
      <c r="Q623" s="765"/>
      <c r="R623" s="765"/>
      <c r="U623" s="765"/>
      <c r="V623" s="765"/>
      <c r="W623" s="765"/>
      <c r="X623" s="1950" t="s">
        <v>299</v>
      </c>
      <c r="Y623" s="1950"/>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2315</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914" t="s">
        <v>2316</v>
      </c>
      <c r="AG625" s="1914"/>
      <c r="AH625" s="1914"/>
      <c r="AI625" s="1914"/>
      <c r="AJ625" s="1914"/>
      <c r="AK625" s="1914"/>
      <c r="AL625" s="1914"/>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2286</v>
      </c>
      <c r="AP626" s="536">
        <v>4</v>
      </c>
    </row>
    <row r="627" spans="1:42" s="418" customFormat="1" ht="12.75" customHeight="1">
      <c r="B627" s="405"/>
      <c r="C627" s="756"/>
      <c r="D627" s="405" t="s">
        <v>2302</v>
      </c>
      <c r="E627" s="1208"/>
      <c r="F627" s="1208"/>
      <c r="G627" s="1208"/>
      <c r="H627" s="1858" t="s">
        <v>21</v>
      </c>
      <c r="I627" s="1858"/>
      <c r="J627" s="766"/>
      <c r="K627" s="766"/>
      <c r="L627" s="766"/>
      <c r="M627" s="766"/>
      <c r="N627" s="766"/>
      <c r="O627" s="766"/>
      <c r="P627" s="766"/>
      <c r="Q627" s="766"/>
      <c r="R627" s="766"/>
      <c r="S627" s="766"/>
      <c r="T627" s="766"/>
      <c r="U627" s="1208"/>
      <c r="V627" s="1208"/>
      <c r="W627" s="1208"/>
      <c r="X627" s="405"/>
      <c r="Y627" s="405"/>
      <c r="Z627" s="405"/>
      <c r="AA627" s="405"/>
      <c r="AB627" s="405"/>
      <c r="AC627" s="405"/>
      <c r="AD627" s="405"/>
      <c r="AE627" s="405"/>
      <c r="AF627" s="405"/>
      <c r="AG627" s="405"/>
      <c r="AH627" s="405"/>
      <c r="AI627" s="405"/>
      <c r="AJ627" s="405"/>
      <c r="AK627" s="405"/>
      <c r="AL627" s="405"/>
      <c r="AN627" s="459"/>
      <c r="AO627" s="472" t="s">
        <v>2289</v>
      </c>
      <c r="AP627" s="418">
        <v>3</v>
      </c>
    </row>
    <row r="628" spans="1:42" s="418" customFormat="1" ht="12.75" customHeight="1">
      <c r="B628" s="405"/>
      <c r="C628" s="756"/>
      <c r="D628" s="405"/>
      <c r="E628" s="1208"/>
      <c r="F628" s="766"/>
      <c r="G628" s="766"/>
      <c r="H628" s="766"/>
      <c r="I628" s="767"/>
      <c r="J628" s="766"/>
      <c r="K628" s="766"/>
      <c r="L628" s="766"/>
      <c r="M628" s="766"/>
      <c r="N628" s="766"/>
      <c r="O628" s="766"/>
      <c r="P628" s="766"/>
      <c r="Q628" s="766"/>
      <c r="R628" s="405"/>
      <c r="S628" s="405"/>
      <c r="T628" s="766"/>
      <c r="U628" s="1208"/>
      <c r="V628" s="1208"/>
      <c r="W628" s="1208"/>
      <c r="X628" s="1208"/>
      <c r="Y628" s="1208"/>
      <c r="Z628" s="1208"/>
      <c r="AA628" s="1208"/>
      <c r="AB628" s="1208"/>
      <c r="AC628" s="405"/>
      <c r="AD628" s="405"/>
      <c r="AE628" s="405"/>
      <c r="AF628" s="405"/>
      <c r="AG628" s="405"/>
      <c r="AH628" s="405"/>
      <c r="AI628" s="766"/>
      <c r="AJ628" s="766"/>
      <c r="AK628" s="766"/>
      <c r="AL628" s="766"/>
      <c r="AM628" s="537"/>
      <c r="AN628" s="459"/>
      <c r="AO628" s="472" t="s">
        <v>2317</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2318</v>
      </c>
      <c r="AJ629" s="1841">
        <f>VLOOKUP($H$627,$AO$594:$AP$596,2,FALSE)</f>
        <v>3</v>
      </c>
      <c r="AK629" s="1843"/>
      <c r="AL629" s="457"/>
      <c r="AN629" s="459"/>
      <c r="AO629" s="472" t="s">
        <v>2319</v>
      </c>
      <c r="AP629" s="418">
        <v>1</v>
      </c>
    </row>
    <row r="630" spans="1:42" s="418" customFormat="1" ht="12.75" customHeight="1">
      <c r="B630" s="405"/>
      <c r="C630" s="756"/>
      <c r="D630" s="405"/>
      <c r="E630" s="1208"/>
      <c r="F630" s="1208"/>
      <c r="G630" s="1208"/>
      <c r="H630" s="405"/>
      <c r="I630" s="405"/>
      <c r="J630" s="766"/>
      <c r="K630" s="766"/>
      <c r="L630" s="766"/>
      <c r="M630" s="766"/>
      <c r="N630" s="766"/>
      <c r="O630" s="766"/>
      <c r="P630" s="766"/>
      <c r="Q630" s="766"/>
      <c r="R630" s="766"/>
      <c r="S630" s="766"/>
      <c r="T630" s="766"/>
      <c r="U630" s="1208"/>
      <c r="V630" s="1208"/>
      <c r="W630" s="1208"/>
      <c r="X630" s="1208"/>
      <c r="Y630" s="1208"/>
      <c r="Z630" s="1208"/>
      <c r="AA630" s="1208"/>
      <c r="AB630" s="1208"/>
      <c r="AC630" s="405"/>
      <c r="AD630" s="405"/>
      <c r="AE630" s="405"/>
      <c r="AF630" s="405"/>
      <c r="AG630" s="405"/>
      <c r="AH630" s="405"/>
      <c r="AI630" s="405"/>
      <c r="AJ630" s="1184"/>
      <c r="AK630" s="405"/>
      <c r="AL630" s="405"/>
      <c r="AN630" s="459"/>
    </row>
    <row r="631" spans="1:42" s="418" customFormat="1" ht="12.75" customHeight="1">
      <c r="B631" s="405"/>
      <c r="C631" s="408" t="s">
        <v>2320</v>
      </c>
      <c r="D631" s="405"/>
      <c r="E631" s="1208"/>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90"/>
      <c r="AD631" s="1190"/>
      <c r="AE631" s="1190"/>
      <c r="AF631" s="1190"/>
      <c r="AG631" s="1190"/>
      <c r="AH631" s="1190"/>
      <c r="AI631" s="1190"/>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834" t="s">
        <v>2321</v>
      </c>
      <c r="F633" s="1834"/>
      <c r="G633" s="1834"/>
      <c r="H633" s="1834"/>
      <c r="I633" s="1834"/>
      <c r="J633" s="1834"/>
      <c r="K633" s="1834"/>
      <c r="L633" s="1834"/>
      <c r="M633" s="1834"/>
      <c r="N633" s="1834"/>
      <c r="O633" s="1834"/>
      <c r="P633" s="1834"/>
      <c r="Q633" s="1834"/>
      <c r="R633" s="1834"/>
      <c r="S633" s="1834"/>
      <c r="T633" s="1834"/>
      <c r="U633" s="1834"/>
      <c r="V633" s="1834"/>
      <c r="W633" s="1834"/>
      <c r="X633" s="1834"/>
      <c r="Y633" s="1834"/>
      <c r="Z633" s="1834"/>
      <c r="AA633" s="1834"/>
      <c r="AB633" s="1834"/>
      <c r="AC633" s="1834"/>
      <c r="AD633" s="1834"/>
      <c r="AE633" s="405"/>
      <c r="AF633" s="1914" t="s">
        <v>2026</v>
      </c>
      <c r="AG633" s="1914"/>
      <c r="AH633" s="1914"/>
      <c r="AI633" s="1914"/>
      <c r="AJ633" s="1914"/>
      <c r="AK633" s="1914"/>
      <c r="AL633" s="1914"/>
      <c r="AN633" s="459"/>
    </row>
    <row r="634" spans="1:42" s="418" customFormat="1" ht="12.75" customHeight="1">
      <c r="B634" s="405"/>
      <c r="C634" s="405"/>
      <c r="D634" s="520"/>
      <c r="E634" s="1834"/>
      <c r="F634" s="1834"/>
      <c r="G634" s="1834"/>
      <c r="H634" s="1834"/>
      <c r="I634" s="1834"/>
      <c r="J634" s="1834"/>
      <c r="K634" s="1834"/>
      <c r="L634" s="1834"/>
      <c r="M634" s="1834"/>
      <c r="N634" s="1834"/>
      <c r="O634" s="1834"/>
      <c r="P634" s="1834"/>
      <c r="Q634" s="1834"/>
      <c r="R634" s="1834"/>
      <c r="S634" s="1834"/>
      <c r="T634" s="1834"/>
      <c r="U634" s="1834"/>
      <c r="V634" s="1834"/>
      <c r="W634" s="1834"/>
      <c r="X634" s="1834"/>
      <c r="Y634" s="1834"/>
      <c r="Z634" s="1834"/>
      <c r="AA634" s="1834"/>
      <c r="AB634" s="1834"/>
      <c r="AC634" s="1834"/>
      <c r="AD634" s="1834"/>
      <c r="AE634" s="1190"/>
      <c r="AF634" s="1190"/>
      <c r="AG634" s="1190"/>
      <c r="AH634" s="1190"/>
      <c r="AI634" s="1190"/>
      <c r="AJ634" s="1190"/>
      <c r="AK634" s="1190"/>
      <c r="AL634" s="1190"/>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2322</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914" t="s">
        <v>2316</v>
      </c>
      <c r="AG636" s="1914"/>
      <c r="AH636" s="1914"/>
      <c r="AI636" s="1914"/>
      <c r="AJ636" s="1914"/>
      <c r="AK636" s="1914"/>
      <c r="AL636" s="1914"/>
      <c r="AN636" s="459"/>
    </row>
    <row r="637" spans="1:42" s="418" customFormat="1" ht="12.75" customHeight="1">
      <c r="B637" s="405"/>
      <c r="C637" s="756"/>
      <c r="D637" s="520"/>
      <c r="E637" s="476" t="s">
        <v>2323</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90"/>
      <c r="AF637" s="1190"/>
      <c r="AG637" s="1190"/>
      <c r="AH637" s="1190"/>
      <c r="AI637" s="1190"/>
      <c r="AJ637" s="1190"/>
      <c r="AK637" s="1190"/>
      <c r="AL637" s="1190"/>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2302</v>
      </c>
      <c r="E639" s="1208"/>
      <c r="F639" s="1208"/>
      <c r="G639" s="1208"/>
      <c r="H639" s="1858" t="s">
        <v>299</v>
      </c>
      <c r="I639" s="1858"/>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208"/>
      <c r="F640" s="1208"/>
      <c r="G640" s="476"/>
      <c r="H640" s="476"/>
      <c r="I640" s="476"/>
      <c r="J640" s="476"/>
      <c r="K640" s="476"/>
      <c r="L640" s="476"/>
      <c r="M640" s="476"/>
      <c r="N640" s="476"/>
      <c r="O640" s="476"/>
      <c r="P640" s="476"/>
      <c r="Q640" s="476"/>
      <c r="R640" s="476"/>
      <c r="S640" s="476"/>
      <c r="T640" s="476"/>
      <c r="U640" s="476"/>
      <c r="V640" s="476"/>
      <c r="W640" s="476"/>
      <c r="X640" s="476"/>
      <c r="Y640" s="476"/>
      <c r="Z640" s="1208"/>
      <c r="AA640" s="1208"/>
      <c r="AB640" s="1208"/>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2324</v>
      </c>
      <c r="AJ641" s="1841">
        <f>VLOOKUP(H639,AT594:AU596,2,FALSE)</f>
        <v>0</v>
      </c>
      <c r="AK641" s="1843"/>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408" t="s">
        <v>2325</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408"/>
      <c r="D644" s="538" t="s">
        <v>2326</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408"/>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408"/>
      <c r="D646" s="520" t="s">
        <v>21</v>
      </c>
      <c r="E646" s="1834" t="s">
        <v>2327</v>
      </c>
      <c r="F646" s="1834"/>
      <c r="G646" s="1834"/>
      <c r="H646" s="1834"/>
      <c r="I646" s="1834"/>
      <c r="J646" s="1834"/>
      <c r="K646" s="1834"/>
      <c r="L646" s="1834"/>
      <c r="M646" s="1834"/>
      <c r="N646" s="1834"/>
      <c r="O646" s="1834"/>
      <c r="P646" s="1834"/>
      <c r="Q646" s="1834"/>
      <c r="R646" s="1834"/>
      <c r="S646" s="1834"/>
      <c r="T646" s="1834"/>
      <c r="U646" s="1834"/>
      <c r="V646" s="1834"/>
      <c r="W646" s="1834"/>
      <c r="X646" s="1834"/>
      <c r="Y646" s="1834"/>
      <c r="Z646" s="1834"/>
      <c r="AA646" s="1834"/>
      <c r="AB646" s="1834"/>
      <c r="AC646" s="1834"/>
      <c r="AD646" s="405"/>
      <c r="AE646" s="405"/>
      <c r="AF646" s="1914" t="s">
        <v>2288</v>
      </c>
      <c r="AG646" s="1914"/>
      <c r="AH646" s="1914"/>
      <c r="AI646" s="1914"/>
      <c r="AJ646" s="1914"/>
      <c r="AK646" s="1914"/>
      <c r="AL646" s="1914"/>
      <c r="AN646" s="459"/>
    </row>
    <row r="647" spans="1:42" s="418" customFormat="1" ht="12.75" customHeight="1">
      <c r="B647" s="405"/>
      <c r="C647" s="408"/>
      <c r="D647" s="405"/>
      <c r="E647" s="1834"/>
      <c r="F647" s="1834"/>
      <c r="G647" s="1834"/>
      <c r="H647" s="1834"/>
      <c r="I647" s="1834"/>
      <c r="J647" s="1834"/>
      <c r="K647" s="1834"/>
      <c r="L647" s="1834"/>
      <c r="M647" s="1834"/>
      <c r="N647" s="1834"/>
      <c r="O647" s="1834"/>
      <c r="P647" s="1834"/>
      <c r="Q647" s="1834"/>
      <c r="R647" s="1834"/>
      <c r="S647" s="1834"/>
      <c r="T647" s="1834"/>
      <c r="U647" s="1834"/>
      <c r="V647" s="1834"/>
      <c r="W647" s="1834"/>
      <c r="X647" s="1834"/>
      <c r="Y647" s="1834"/>
      <c r="Z647" s="1834"/>
      <c r="AA647" s="1834"/>
      <c r="AB647" s="1834"/>
      <c r="AC647" s="1834"/>
      <c r="AD647" s="405"/>
      <c r="AE647" s="405"/>
      <c r="AF647" s="405"/>
      <c r="AG647" s="405"/>
      <c r="AH647" s="405"/>
      <c r="AI647" s="405"/>
      <c r="AJ647" s="405"/>
      <c r="AK647" s="405"/>
      <c r="AL647" s="405"/>
      <c r="AN647" s="459"/>
    </row>
    <row r="648" spans="1:42" s="418" customFormat="1" ht="12.75" customHeight="1">
      <c r="B648" s="405"/>
      <c r="C648" s="408"/>
      <c r="D648" s="520"/>
      <c r="E648" s="1834"/>
      <c r="F648" s="1834"/>
      <c r="G648" s="1834"/>
      <c r="H648" s="1834"/>
      <c r="I648" s="1834"/>
      <c r="J648" s="1834"/>
      <c r="K648" s="1834"/>
      <c r="L648" s="1834"/>
      <c r="M648" s="1834"/>
      <c r="N648" s="1834"/>
      <c r="O648" s="1834"/>
      <c r="P648" s="1834"/>
      <c r="Q648" s="1834"/>
      <c r="R648" s="1834"/>
      <c r="S648" s="1834"/>
      <c r="T648" s="1834"/>
      <c r="U648" s="1834"/>
      <c r="V648" s="1834"/>
      <c r="W648" s="1834"/>
      <c r="X648" s="1834"/>
      <c r="Y648" s="1834"/>
      <c r="Z648" s="1834"/>
      <c r="AA648" s="1834"/>
      <c r="AB648" s="1834"/>
      <c r="AC648" s="1834"/>
      <c r="AD648" s="405"/>
      <c r="AE648" s="405"/>
      <c r="AF648" s="405"/>
      <c r="AG648" s="405"/>
      <c r="AH648" s="405"/>
      <c r="AI648" s="405"/>
      <c r="AJ648" s="405"/>
      <c r="AK648" s="405"/>
      <c r="AL648" s="405"/>
      <c r="AN648" s="459"/>
    </row>
    <row r="649" spans="1:42" s="418" customFormat="1" ht="15" customHeight="1">
      <c r="B649" s="405"/>
      <c r="C649" s="408"/>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408"/>
      <c r="D650" s="520" t="s">
        <v>26</v>
      </c>
      <c r="E650" s="1834" t="s">
        <v>2328</v>
      </c>
      <c r="F650" s="1834"/>
      <c r="G650" s="1834"/>
      <c r="H650" s="1834"/>
      <c r="I650" s="1834"/>
      <c r="J650" s="1834"/>
      <c r="K650" s="1834"/>
      <c r="L650" s="1834"/>
      <c r="M650" s="1834"/>
      <c r="N650" s="1834"/>
      <c r="O650" s="1834"/>
      <c r="P650" s="1834"/>
      <c r="Q650" s="1834"/>
      <c r="R650" s="1834"/>
      <c r="S650" s="1834"/>
      <c r="T650" s="1834"/>
      <c r="U650" s="1834"/>
      <c r="V650" s="1834"/>
      <c r="W650" s="1834"/>
      <c r="X650" s="1834"/>
      <c r="Y650" s="1834"/>
      <c r="Z650" s="1834"/>
      <c r="AA650" s="1834"/>
      <c r="AB650" s="1834"/>
      <c r="AC650" s="1834"/>
      <c r="AD650" s="405"/>
      <c r="AE650" s="405"/>
      <c r="AF650" s="1914" t="s">
        <v>2294</v>
      </c>
      <c r="AG650" s="1914"/>
      <c r="AH650" s="1914"/>
      <c r="AI650" s="1914"/>
      <c r="AJ650" s="1914"/>
      <c r="AK650" s="1914"/>
      <c r="AL650" s="1914"/>
      <c r="AN650" s="459"/>
    </row>
    <row r="651" spans="1:42" s="418" customFormat="1" ht="12.75" customHeight="1">
      <c r="B651" s="405"/>
      <c r="C651" s="408"/>
      <c r="D651" s="405"/>
      <c r="E651" s="1834"/>
      <c r="F651" s="1834"/>
      <c r="G651" s="1834"/>
      <c r="H651" s="1834"/>
      <c r="I651" s="1834"/>
      <c r="J651" s="1834"/>
      <c r="K651" s="1834"/>
      <c r="L651" s="1834"/>
      <c r="M651" s="1834"/>
      <c r="N651" s="1834"/>
      <c r="O651" s="1834"/>
      <c r="P651" s="1834"/>
      <c r="Q651" s="1834"/>
      <c r="R651" s="1834"/>
      <c r="S651" s="1834"/>
      <c r="T651" s="1834"/>
      <c r="U651" s="1834"/>
      <c r="V651" s="1834"/>
      <c r="W651" s="1834"/>
      <c r="X651" s="1834"/>
      <c r="Y651" s="1834"/>
      <c r="Z651" s="1834"/>
      <c r="AA651" s="1834"/>
      <c r="AB651" s="1834"/>
      <c r="AC651" s="1834"/>
      <c r="AD651" s="405"/>
      <c r="AE651" s="405"/>
      <c r="AF651" s="405"/>
      <c r="AG651" s="405"/>
      <c r="AH651" s="405"/>
      <c r="AI651" s="405"/>
      <c r="AJ651" s="405"/>
      <c r="AK651" s="405"/>
      <c r="AL651" s="405"/>
      <c r="AN651" s="459"/>
    </row>
    <row r="652" spans="1:42" s="418" customFormat="1" ht="15" customHeight="1">
      <c r="B652" s="405"/>
      <c r="C652" s="408"/>
      <c r="D652" s="520"/>
      <c r="E652" s="1834"/>
      <c r="F652" s="1834"/>
      <c r="G652" s="1834"/>
      <c r="H652" s="1834"/>
      <c r="I652" s="1834"/>
      <c r="J652" s="1834"/>
      <c r="K652" s="1834"/>
      <c r="L652" s="1834"/>
      <c r="M652" s="1834"/>
      <c r="N652" s="1834"/>
      <c r="O652" s="1834"/>
      <c r="P652" s="1834"/>
      <c r="Q652" s="1834"/>
      <c r="R652" s="1834"/>
      <c r="S652" s="1834"/>
      <c r="T652" s="1834"/>
      <c r="U652" s="1834"/>
      <c r="V652" s="1834"/>
      <c r="W652" s="1834"/>
      <c r="X652" s="1834"/>
      <c r="Y652" s="1834"/>
      <c r="Z652" s="1834"/>
      <c r="AA652" s="1834"/>
      <c r="AB652" s="1834"/>
      <c r="AC652" s="1834"/>
      <c r="AD652" s="405"/>
      <c r="AE652" s="405"/>
      <c r="AF652" s="405"/>
      <c r="AG652" s="405"/>
      <c r="AH652" s="405"/>
      <c r="AI652" s="405"/>
      <c r="AJ652" s="405"/>
      <c r="AK652" s="405"/>
      <c r="AL652" s="405"/>
      <c r="AN652" s="459"/>
    </row>
    <row r="653" spans="1:42" s="418" customFormat="1" ht="12.75" customHeight="1">
      <c r="B653" s="405"/>
      <c r="C653" s="408"/>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408"/>
      <c r="D654" s="520" t="s">
        <v>48</v>
      </c>
      <c r="E654" s="1834" t="s">
        <v>2329</v>
      </c>
      <c r="F654" s="1834"/>
      <c r="G654" s="1834"/>
      <c r="H654" s="1834"/>
      <c r="I654" s="1834"/>
      <c r="J654" s="1834"/>
      <c r="K654" s="1834"/>
      <c r="L654" s="1834"/>
      <c r="M654" s="1834"/>
      <c r="N654" s="1834"/>
      <c r="O654" s="1834"/>
      <c r="P654" s="1834"/>
      <c r="Q654" s="1834"/>
      <c r="R654" s="1834"/>
      <c r="S654" s="1834"/>
      <c r="T654" s="1834"/>
      <c r="U654" s="1834"/>
      <c r="V654" s="1834"/>
      <c r="W654" s="1834"/>
      <c r="X654" s="1834"/>
      <c r="Y654" s="1834"/>
      <c r="Z654" s="1834"/>
      <c r="AA654" s="1834"/>
      <c r="AB654" s="1834"/>
      <c r="AC654" s="1834"/>
      <c r="AD654" s="405"/>
      <c r="AE654" s="405"/>
      <c r="AF654" s="1914" t="s">
        <v>2026</v>
      </c>
      <c r="AG654" s="1914"/>
      <c r="AH654" s="1914"/>
      <c r="AI654" s="1914"/>
      <c r="AJ654" s="1914"/>
      <c r="AK654" s="1914"/>
      <c r="AL654" s="1914"/>
      <c r="AN654" s="459"/>
    </row>
    <row r="655" spans="1:42" s="418" customFormat="1" ht="12.75" customHeight="1">
      <c r="B655" s="405"/>
      <c r="C655" s="756"/>
      <c r="D655" s="405"/>
      <c r="E655" s="1834"/>
      <c r="F655" s="1834"/>
      <c r="G655" s="1834"/>
      <c r="H655" s="1834"/>
      <c r="I655" s="1834"/>
      <c r="J655" s="1834"/>
      <c r="K655" s="1834"/>
      <c r="L655" s="1834"/>
      <c r="M655" s="1834"/>
      <c r="N655" s="1834"/>
      <c r="O655" s="1834"/>
      <c r="P655" s="1834"/>
      <c r="Q655" s="1834"/>
      <c r="R655" s="1834"/>
      <c r="S655" s="1834"/>
      <c r="T655" s="1834"/>
      <c r="U655" s="1834"/>
      <c r="V655" s="1834"/>
      <c r="W655" s="1834"/>
      <c r="X655" s="1834"/>
      <c r="Y655" s="1834"/>
      <c r="Z655" s="1834"/>
      <c r="AA655" s="1834"/>
      <c r="AB655" s="1834"/>
      <c r="AC655" s="1834"/>
      <c r="AD655" s="405"/>
      <c r="AE655" s="1914"/>
      <c r="AF655" s="1914"/>
      <c r="AG655" s="1914"/>
      <c r="AH655" s="1914"/>
      <c r="AI655" s="1914"/>
      <c r="AJ655" s="1914"/>
      <c r="AK655" s="1914"/>
      <c r="AL655" s="1190"/>
      <c r="AN655" s="459"/>
      <c r="AO655" s="418" t="s">
        <v>299</v>
      </c>
      <c r="AP655" s="530">
        <v>0</v>
      </c>
    </row>
    <row r="656" spans="1:42" s="418" customFormat="1" ht="12.75" customHeight="1">
      <c r="A656" s="1207"/>
      <c r="B656" s="405"/>
      <c r="C656" s="405"/>
      <c r="D656" s="520"/>
      <c r="E656" s="1834"/>
      <c r="F656" s="1834"/>
      <c r="G656" s="1834"/>
      <c r="H656" s="1834"/>
      <c r="I656" s="1834"/>
      <c r="J656" s="1834"/>
      <c r="K656" s="1834"/>
      <c r="L656" s="1834"/>
      <c r="M656" s="1834"/>
      <c r="N656" s="1834"/>
      <c r="O656" s="1834"/>
      <c r="P656" s="1834"/>
      <c r="Q656" s="1834"/>
      <c r="R656" s="1834"/>
      <c r="S656" s="1834"/>
      <c r="T656" s="1834"/>
      <c r="U656" s="1834"/>
      <c r="V656" s="1834"/>
      <c r="W656" s="1834"/>
      <c r="X656" s="1834"/>
      <c r="Y656" s="1834"/>
      <c r="Z656" s="1834"/>
      <c r="AA656" s="1834"/>
      <c r="AB656" s="1834"/>
      <c r="AC656" s="1834"/>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2286</v>
      </c>
      <c r="E658" s="1834" t="s">
        <v>2330</v>
      </c>
      <c r="F658" s="1834"/>
      <c r="G658" s="1834"/>
      <c r="H658" s="1834"/>
      <c r="I658" s="1834"/>
      <c r="J658" s="1834"/>
      <c r="K658" s="1834"/>
      <c r="L658" s="1834"/>
      <c r="M658" s="1834"/>
      <c r="N658" s="1834"/>
      <c r="O658" s="1834"/>
      <c r="P658" s="1834"/>
      <c r="Q658" s="1834"/>
      <c r="R658" s="1834"/>
      <c r="S658" s="1834"/>
      <c r="T658" s="1834"/>
      <c r="U658" s="1834"/>
      <c r="V658" s="1834"/>
      <c r="W658" s="1834"/>
      <c r="X658" s="1834"/>
      <c r="Y658" s="1834"/>
      <c r="Z658" s="1834"/>
      <c r="AA658" s="1834"/>
      <c r="AB658" s="1834"/>
      <c r="AC658" s="1834"/>
      <c r="AD658" s="405"/>
      <c r="AE658" s="405"/>
      <c r="AF658" s="1914" t="s">
        <v>2294</v>
      </c>
      <c r="AG658" s="1914"/>
      <c r="AH658" s="1914"/>
      <c r="AI658" s="1914"/>
      <c r="AJ658" s="1914"/>
      <c r="AK658" s="1914"/>
      <c r="AL658" s="1914"/>
      <c r="AN658" s="459"/>
    </row>
    <row r="659" spans="1:42" s="418" customFormat="1" ht="12.75" customHeight="1">
      <c r="A659" s="527"/>
      <c r="B659" s="405"/>
      <c r="C659" s="771"/>
      <c r="D659" s="520"/>
      <c r="E659" s="1834"/>
      <c r="F659" s="1834"/>
      <c r="G659" s="1834"/>
      <c r="H659" s="1834"/>
      <c r="I659" s="1834"/>
      <c r="J659" s="1834"/>
      <c r="K659" s="1834"/>
      <c r="L659" s="1834"/>
      <c r="M659" s="1834"/>
      <c r="N659" s="1834"/>
      <c r="O659" s="1834"/>
      <c r="P659" s="1834"/>
      <c r="Q659" s="1834"/>
      <c r="R659" s="1834"/>
      <c r="S659" s="1834"/>
      <c r="T659" s="1834"/>
      <c r="U659" s="1834"/>
      <c r="V659" s="1834"/>
      <c r="W659" s="1834"/>
      <c r="X659" s="1834"/>
      <c r="Y659" s="1834"/>
      <c r="Z659" s="1834"/>
      <c r="AA659" s="1834"/>
      <c r="AB659" s="1834"/>
      <c r="AC659" s="1834"/>
      <c r="AD659" s="405"/>
      <c r="AE659" s="1190"/>
      <c r="AF659" s="1190"/>
      <c r="AG659" s="1190"/>
      <c r="AH659" s="1190"/>
      <c r="AI659" s="1190"/>
      <c r="AJ659" s="1190"/>
      <c r="AK659" s="1190"/>
      <c r="AL659" s="1190"/>
      <c r="AM659" s="458"/>
      <c r="AN659" s="459"/>
    </row>
    <row r="660" spans="1:42" s="418" customFormat="1" ht="12.75" customHeight="1">
      <c r="A660" s="527"/>
      <c r="B660" s="405"/>
      <c r="C660" s="771"/>
      <c r="D660" s="520"/>
      <c r="E660" s="1834"/>
      <c r="F660" s="1834"/>
      <c r="G660" s="1834"/>
      <c r="H660" s="1834"/>
      <c r="I660" s="1834"/>
      <c r="J660" s="1834"/>
      <c r="K660" s="1834"/>
      <c r="L660" s="1834"/>
      <c r="M660" s="1834"/>
      <c r="N660" s="1834"/>
      <c r="O660" s="1834"/>
      <c r="P660" s="1834"/>
      <c r="Q660" s="1834"/>
      <c r="R660" s="1834"/>
      <c r="S660" s="1834"/>
      <c r="T660" s="1834"/>
      <c r="U660" s="1834"/>
      <c r="V660" s="1834"/>
      <c r="W660" s="1834"/>
      <c r="X660" s="1834"/>
      <c r="Y660" s="1834"/>
      <c r="Z660" s="1834"/>
      <c r="AA660" s="1834"/>
      <c r="AB660" s="1834"/>
      <c r="AC660" s="1834"/>
      <c r="AD660" s="405"/>
      <c r="AE660" s="1190"/>
      <c r="AF660" s="1190"/>
      <c r="AG660" s="1190"/>
      <c r="AH660" s="1190"/>
      <c r="AI660" s="1190"/>
      <c r="AJ660" s="1190"/>
      <c r="AK660" s="1190"/>
      <c r="AL660" s="1190"/>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408"/>
      <c r="AD661" s="408"/>
      <c r="AE661" s="405"/>
      <c r="AF661" s="405"/>
      <c r="AG661" s="405"/>
      <c r="AH661" s="405"/>
      <c r="AI661" s="405"/>
      <c r="AJ661" s="405"/>
      <c r="AK661" s="405"/>
      <c r="AL661" s="1190"/>
      <c r="AM661" s="458"/>
      <c r="AN661" s="459"/>
    </row>
    <row r="662" spans="1:42" s="418" customFormat="1" ht="12.75" customHeight="1">
      <c r="B662" s="405"/>
      <c r="C662" s="756"/>
      <c r="D662" s="520" t="s">
        <v>2289</v>
      </c>
      <c r="E662" s="1834" t="s">
        <v>2331</v>
      </c>
      <c r="F662" s="1834"/>
      <c r="G662" s="1834"/>
      <c r="H662" s="1834"/>
      <c r="I662" s="1834"/>
      <c r="J662" s="1834"/>
      <c r="K662" s="1834"/>
      <c r="L662" s="1834"/>
      <c r="M662" s="1834"/>
      <c r="N662" s="1834"/>
      <c r="O662" s="1834"/>
      <c r="P662" s="1834"/>
      <c r="Q662" s="1834"/>
      <c r="R662" s="1834"/>
      <c r="S662" s="1834"/>
      <c r="T662" s="1834"/>
      <c r="U662" s="1834"/>
      <c r="V662" s="1834"/>
      <c r="W662" s="1834"/>
      <c r="X662" s="1834"/>
      <c r="Y662" s="1834"/>
      <c r="Z662" s="1834"/>
      <c r="AA662" s="1834"/>
      <c r="AB662" s="1834"/>
      <c r="AC662" s="1834"/>
      <c r="AD662" s="405"/>
      <c r="AE662" s="405"/>
      <c r="AF662" s="1914" t="s">
        <v>2026</v>
      </c>
      <c r="AG662" s="1914"/>
      <c r="AH662" s="1914"/>
      <c r="AI662" s="1914"/>
      <c r="AJ662" s="1914"/>
      <c r="AK662" s="1914"/>
      <c r="AL662" s="1914"/>
      <c r="AM662" s="458"/>
      <c r="AN662" s="459"/>
    </row>
    <row r="663" spans="1:42" s="418" customFormat="1" ht="12.75" customHeight="1">
      <c r="B663" s="405"/>
      <c r="C663" s="756"/>
      <c r="D663" s="520"/>
      <c r="E663" s="1834"/>
      <c r="F663" s="1834"/>
      <c r="G663" s="1834"/>
      <c r="H663" s="1834"/>
      <c r="I663" s="1834"/>
      <c r="J663" s="1834"/>
      <c r="K663" s="1834"/>
      <c r="L663" s="1834"/>
      <c r="M663" s="1834"/>
      <c r="N663" s="1834"/>
      <c r="O663" s="1834"/>
      <c r="P663" s="1834"/>
      <c r="Q663" s="1834"/>
      <c r="R663" s="1834"/>
      <c r="S663" s="1834"/>
      <c r="T663" s="1834"/>
      <c r="U663" s="1834"/>
      <c r="V663" s="1834"/>
      <c r="W663" s="1834"/>
      <c r="X663" s="1834"/>
      <c r="Y663" s="1834"/>
      <c r="Z663" s="1834"/>
      <c r="AA663" s="1834"/>
      <c r="AB663" s="1834"/>
      <c r="AC663" s="1834"/>
      <c r="AD663" s="405"/>
      <c r="AE663" s="405"/>
      <c r="AF663" s="405"/>
      <c r="AG663" s="405"/>
      <c r="AH663" s="405"/>
      <c r="AI663" s="405"/>
      <c r="AJ663" s="405"/>
      <c r="AK663" s="405"/>
      <c r="AL663" s="405"/>
      <c r="AM663" s="458"/>
      <c r="AN663" s="459"/>
    </row>
    <row r="664" spans="1:42" s="418" customFormat="1" ht="12.75" customHeight="1">
      <c r="B664" s="405"/>
      <c r="C664" s="756"/>
      <c r="D664" s="520"/>
      <c r="E664" s="1834"/>
      <c r="F664" s="1834"/>
      <c r="G664" s="1834"/>
      <c r="H664" s="1834"/>
      <c r="I664" s="1834"/>
      <c r="J664" s="1834"/>
      <c r="K664" s="1834"/>
      <c r="L664" s="1834"/>
      <c r="M664" s="1834"/>
      <c r="N664" s="1834"/>
      <c r="O664" s="1834"/>
      <c r="P664" s="1834"/>
      <c r="Q664" s="1834"/>
      <c r="R664" s="1834"/>
      <c r="S664" s="1834"/>
      <c r="T664" s="1834"/>
      <c r="U664" s="1834"/>
      <c r="V664" s="1834"/>
      <c r="W664" s="1834"/>
      <c r="X664" s="1834"/>
      <c r="Y664" s="1834"/>
      <c r="Z664" s="1834"/>
      <c r="AA664" s="1834"/>
      <c r="AB664" s="1834"/>
      <c r="AC664" s="1834"/>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207"/>
      <c r="B666" s="405"/>
      <c r="C666" s="756"/>
      <c r="D666" s="520" t="s">
        <v>2317</v>
      </c>
      <c r="E666" s="1834" t="s">
        <v>2332</v>
      </c>
      <c r="F666" s="1834"/>
      <c r="G666" s="1834"/>
      <c r="H666" s="1834"/>
      <c r="I666" s="1834"/>
      <c r="J666" s="1834"/>
      <c r="K666" s="1834"/>
      <c r="L666" s="1834"/>
      <c r="M666" s="1834"/>
      <c r="N666" s="1834"/>
      <c r="O666" s="1834"/>
      <c r="P666" s="1834"/>
      <c r="Q666" s="1834"/>
      <c r="R666" s="1834"/>
      <c r="S666" s="1834"/>
      <c r="T666" s="1834"/>
      <c r="U666" s="1834"/>
      <c r="V666" s="1834"/>
      <c r="W666" s="1834"/>
      <c r="X666" s="1834"/>
      <c r="Y666" s="1834"/>
      <c r="Z666" s="1834"/>
      <c r="AA666" s="1834"/>
      <c r="AB666" s="1834"/>
      <c r="AC666" s="1834"/>
      <c r="AD666" s="405"/>
      <c r="AE666" s="405"/>
      <c r="AF666" s="1914" t="s">
        <v>2316</v>
      </c>
      <c r="AG666" s="1914"/>
      <c r="AH666" s="1914"/>
      <c r="AI666" s="1914"/>
      <c r="AJ666" s="1914"/>
      <c r="AK666" s="1914"/>
      <c r="AL666" s="1914"/>
      <c r="AM666" s="458"/>
      <c r="AN666" s="459"/>
    </row>
    <row r="667" spans="1:42" s="418" customFormat="1" ht="12.75" customHeight="1">
      <c r="A667" s="1207"/>
      <c r="B667" s="405"/>
      <c r="C667" s="756"/>
      <c r="D667" s="520"/>
      <c r="E667" s="1834"/>
      <c r="F667" s="1834"/>
      <c r="G667" s="1834"/>
      <c r="H667" s="1834"/>
      <c r="I667" s="1834"/>
      <c r="J667" s="1834"/>
      <c r="K667" s="1834"/>
      <c r="L667" s="1834"/>
      <c r="M667" s="1834"/>
      <c r="N667" s="1834"/>
      <c r="O667" s="1834"/>
      <c r="P667" s="1834"/>
      <c r="Q667" s="1834"/>
      <c r="R667" s="1834"/>
      <c r="S667" s="1834"/>
      <c r="T667" s="1834"/>
      <c r="U667" s="1834"/>
      <c r="V667" s="1834"/>
      <c r="W667" s="1834"/>
      <c r="X667" s="1834"/>
      <c r="Y667" s="1834"/>
      <c r="Z667" s="1834"/>
      <c r="AA667" s="1834"/>
      <c r="AB667" s="1834"/>
      <c r="AC667" s="1834"/>
      <c r="AD667" s="405"/>
      <c r="AE667" s="405"/>
      <c r="AF667" s="1190"/>
      <c r="AG667" s="1190"/>
      <c r="AH667" s="1190"/>
      <c r="AI667" s="1190"/>
      <c r="AJ667" s="1190"/>
      <c r="AK667" s="1190"/>
      <c r="AL667" s="1190"/>
      <c r="AM667" s="458"/>
      <c r="AN667" s="459"/>
    </row>
    <row r="668" spans="1:42" s="418" customFormat="1" ht="12.75" customHeight="1">
      <c r="A668" s="1207"/>
      <c r="B668" s="405"/>
      <c r="C668" s="756"/>
      <c r="D668" s="520"/>
      <c r="E668" s="1834"/>
      <c r="F668" s="1834"/>
      <c r="G668" s="1834"/>
      <c r="H668" s="1834"/>
      <c r="I668" s="1834"/>
      <c r="J668" s="1834"/>
      <c r="K668" s="1834"/>
      <c r="L668" s="1834"/>
      <c r="M668" s="1834"/>
      <c r="N668" s="1834"/>
      <c r="O668" s="1834"/>
      <c r="P668" s="1834"/>
      <c r="Q668" s="1834"/>
      <c r="R668" s="1834"/>
      <c r="S668" s="1834"/>
      <c r="T668" s="1834"/>
      <c r="U668" s="1834"/>
      <c r="V668" s="1834"/>
      <c r="W668" s="1834"/>
      <c r="X668" s="1834"/>
      <c r="Y668" s="1834"/>
      <c r="Z668" s="1834"/>
      <c r="AA668" s="1834"/>
      <c r="AB668" s="1834"/>
      <c r="AC668" s="1834"/>
      <c r="AD668" s="405"/>
      <c r="AE668" s="1190"/>
      <c r="AF668" s="1190"/>
      <c r="AG668" s="1190"/>
      <c r="AH668" s="1190"/>
      <c r="AI668" s="1190"/>
      <c r="AJ668" s="1190"/>
      <c r="AK668" s="1190"/>
      <c r="AL668" s="1190"/>
      <c r="AM668" s="458"/>
      <c r="AN668" s="459"/>
    </row>
    <row r="669" spans="1:42" s="418" customFormat="1" ht="12.75" customHeight="1">
      <c r="A669" s="1207"/>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90"/>
      <c r="AF669" s="405"/>
      <c r="AG669" s="405"/>
      <c r="AH669" s="405"/>
      <c r="AI669" s="405"/>
      <c r="AJ669" s="405"/>
      <c r="AK669" s="405"/>
      <c r="AL669" s="405"/>
      <c r="AM669" s="458"/>
      <c r="AN669" s="459"/>
      <c r="AO669" s="418" t="s">
        <v>299</v>
      </c>
      <c r="AP669" s="497">
        <v>0</v>
      </c>
    </row>
    <row r="670" spans="1:42" s="418" customFormat="1" ht="12.75" customHeight="1">
      <c r="A670" s="1207"/>
      <c r="B670" s="405"/>
      <c r="C670" s="756"/>
      <c r="D670" s="520" t="s">
        <v>2319</v>
      </c>
      <c r="E670" s="1834" t="s">
        <v>2333</v>
      </c>
      <c r="F670" s="1834"/>
      <c r="G670" s="1834"/>
      <c r="H670" s="1834"/>
      <c r="I670" s="1834"/>
      <c r="J670" s="1834"/>
      <c r="K670" s="1834"/>
      <c r="L670" s="1834"/>
      <c r="M670" s="1834"/>
      <c r="N670" s="1834"/>
      <c r="O670" s="1834"/>
      <c r="P670" s="1834"/>
      <c r="Q670" s="1834"/>
      <c r="R670" s="1834"/>
      <c r="S670" s="1834"/>
      <c r="T670" s="1834"/>
      <c r="U670" s="1834"/>
      <c r="V670" s="1834"/>
      <c r="W670" s="1834"/>
      <c r="X670" s="1834"/>
      <c r="Y670" s="1834"/>
      <c r="Z670" s="1834"/>
      <c r="AA670" s="1834"/>
      <c r="AB670" s="1834"/>
      <c r="AC670" s="1834"/>
      <c r="AD670" s="405"/>
      <c r="AE670" s="405"/>
      <c r="AF670" s="1914" t="s">
        <v>2334</v>
      </c>
      <c r="AG670" s="1914"/>
      <c r="AH670" s="1914"/>
      <c r="AI670" s="1914"/>
      <c r="AJ670" s="1914"/>
      <c r="AK670" s="1914"/>
      <c r="AL670" s="1914"/>
      <c r="AM670" s="458"/>
      <c r="AN670" s="459"/>
      <c r="AO670" s="472" t="s">
        <v>21</v>
      </c>
      <c r="AP670" s="418">
        <v>3</v>
      </c>
    </row>
    <row r="671" spans="1:42" s="418" customFormat="1" ht="12.75" customHeight="1">
      <c r="A671" s="1207"/>
      <c r="B671" s="405"/>
      <c r="C671" s="756"/>
      <c r="D671" s="520"/>
      <c r="E671" s="1834"/>
      <c r="F671" s="1834"/>
      <c r="G671" s="1834"/>
      <c r="H671" s="1834"/>
      <c r="I671" s="1834"/>
      <c r="J671" s="1834"/>
      <c r="K671" s="1834"/>
      <c r="L671" s="1834"/>
      <c r="M671" s="1834"/>
      <c r="N671" s="1834"/>
      <c r="O671" s="1834"/>
      <c r="P671" s="1834"/>
      <c r="Q671" s="1834"/>
      <c r="R671" s="1834"/>
      <c r="S671" s="1834"/>
      <c r="T671" s="1834"/>
      <c r="U671" s="1834"/>
      <c r="V671" s="1834"/>
      <c r="W671" s="1834"/>
      <c r="X671" s="1834"/>
      <c r="Y671" s="1834"/>
      <c r="Z671" s="1834"/>
      <c r="AA671" s="1834"/>
      <c r="AB671" s="1834"/>
      <c r="AC671" s="1834"/>
      <c r="AD671" s="405"/>
      <c r="AE671" s="405"/>
      <c r="AF671" s="1190"/>
      <c r="AG671" s="1190"/>
      <c r="AH671" s="1190"/>
      <c r="AI671" s="1190"/>
      <c r="AJ671" s="1190"/>
      <c r="AK671" s="1190"/>
      <c r="AL671" s="1190"/>
      <c r="AM671" s="458"/>
      <c r="AN671" s="459"/>
      <c r="AO671" s="472" t="s">
        <v>26</v>
      </c>
      <c r="AP671" s="418">
        <v>2</v>
      </c>
    </row>
    <row r="672" spans="1:42" s="418" customFormat="1" ht="12.75" customHeight="1">
      <c r="A672" s="1207"/>
      <c r="B672" s="405"/>
      <c r="C672" s="756"/>
      <c r="D672" s="520"/>
      <c r="E672" s="1834"/>
      <c r="F672" s="1834"/>
      <c r="G672" s="1834"/>
      <c r="H672" s="1834"/>
      <c r="I672" s="1834"/>
      <c r="J672" s="1834"/>
      <c r="K672" s="1834"/>
      <c r="L672" s="1834"/>
      <c r="M672" s="1834"/>
      <c r="N672" s="1834"/>
      <c r="O672" s="1834"/>
      <c r="P672" s="1834"/>
      <c r="Q672" s="1834"/>
      <c r="R672" s="1834"/>
      <c r="S672" s="1834"/>
      <c r="T672" s="1834"/>
      <c r="U672" s="1834"/>
      <c r="V672" s="1834"/>
      <c r="W672" s="1834"/>
      <c r="X672" s="1834"/>
      <c r="Y672" s="1834"/>
      <c r="Z672" s="1834"/>
      <c r="AA672" s="1834"/>
      <c r="AB672" s="1834"/>
      <c r="AC672" s="1834"/>
      <c r="AD672" s="405"/>
      <c r="AE672" s="1190"/>
      <c r="AF672" s="1190"/>
      <c r="AG672" s="1190"/>
      <c r="AH672" s="1190"/>
      <c r="AI672" s="1190"/>
      <c r="AJ672" s="1190"/>
      <c r="AK672" s="1190"/>
      <c r="AL672" s="1190"/>
      <c r="AM672" s="458"/>
      <c r="AN672" s="459"/>
    </row>
    <row r="673" spans="1:51" s="418" customFormat="1" ht="12.75" customHeight="1">
      <c r="A673" s="527"/>
      <c r="B673" s="405"/>
      <c r="C673" s="771"/>
      <c r="D673" s="520"/>
      <c r="E673" s="1197"/>
      <c r="F673" s="1197"/>
      <c r="G673" s="1197"/>
      <c r="H673" s="1197"/>
      <c r="I673" s="1197"/>
      <c r="J673" s="1197"/>
      <c r="K673" s="1197"/>
      <c r="L673" s="1197"/>
      <c r="M673" s="1197"/>
      <c r="N673" s="1197"/>
      <c r="O673" s="1197"/>
      <c r="P673" s="1197"/>
      <c r="Q673" s="1197"/>
      <c r="R673" s="1197"/>
      <c r="S673" s="1197"/>
      <c r="T673" s="1197"/>
      <c r="U673" s="1197"/>
      <c r="V673" s="1197"/>
      <c r="W673" s="1197"/>
      <c r="X673" s="1197"/>
      <c r="Y673" s="1197"/>
      <c r="Z673" s="1197"/>
      <c r="AA673" s="1197"/>
      <c r="AB673" s="1197"/>
      <c r="AC673" s="1197"/>
      <c r="AD673" s="405"/>
      <c r="AE673" s="1190"/>
      <c r="AF673" s="1190"/>
      <c r="AG673" s="1190"/>
      <c r="AH673" s="1190"/>
      <c r="AI673" s="1190"/>
      <c r="AJ673" s="1190"/>
      <c r="AK673" s="1190"/>
      <c r="AL673" s="1190"/>
      <c r="AM673" s="458"/>
      <c r="AN673" s="459"/>
    </row>
    <row r="674" spans="1:51" s="418" customFormat="1" ht="12.75" customHeight="1">
      <c r="A674" s="1207"/>
      <c r="B674" s="405"/>
      <c r="C674" s="756"/>
      <c r="D674" s="405" t="s">
        <v>2302</v>
      </c>
      <c r="E674" s="1208"/>
      <c r="F674" s="1208"/>
      <c r="G674" s="1208"/>
      <c r="H674" s="1858" t="s">
        <v>21</v>
      </c>
      <c r="I674" s="1858"/>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207"/>
      <c r="B675" s="405"/>
      <c r="C675" s="756"/>
      <c r="D675" s="405"/>
      <c r="E675" s="1208"/>
      <c r="F675" s="1208"/>
      <c r="G675" s="476"/>
      <c r="H675" s="476"/>
      <c r="I675" s="476"/>
      <c r="J675" s="476"/>
      <c r="K675" s="476"/>
      <c r="L675" s="476"/>
      <c r="M675" s="476"/>
      <c r="N675" s="476"/>
      <c r="O675" s="476"/>
      <c r="P675" s="476"/>
      <c r="Q675" s="476"/>
      <c r="R675" s="476"/>
      <c r="S675" s="476"/>
      <c r="T675" s="476"/>
      <c r="U675" s="476"/>
      <c r="V675" s="476"/>
      <c r="W675" s="476"/>
      <c r="X675" s="476"/>
      <c r="Y675" s="476"/>
      <c r="Z675" s="1208"/>
      <c r="AA675" s="1208"/>
      <c r="AB675" s="1208"/>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2335</v>
      </c>
      <c r="AJ676" s="1841">
        <f>VLOOKUP($H$674,$AO$622:$AP$629,2,FALSE)</f>
        <v>5</v>
      </c>
      <c r="AK676" s="1843"/>
      <c r="AL676" s="457"/>
      <c r="AN676" s="459"/>
    </row>
    <row r="677" spans="1:51" s="418" customFormat="1" ht="12.75" customHeight="1">
      <c r="A677" s="1207"/>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194"/>
      <c r="AE677" s="405"/>
      <c r="AF677" s="405"/>
      <c r="AG677" s="405"/>
      <c r="AH677" s="405"/>
      <c r="AI677" s="405"/>
      <c r="AJ677" s="405"/>
      <c r="AK677" s="405"/>
      <c r="AL677" s="405"/>
      <c r="AN677" s="459"/>
    </row>
    <row r="678" spans="1:51" s="418" customFormat="1" ht="12.75" customHeight="1">
      <c r="A678" s="1207"/>
      <c r="B678" s="405"/>
      <c r="C678" s="408" t="s">
        <v>2336</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194"/>
      <c r="AE678" s="405"/>
      <c r="AF678" s="405"/>
      <c r="AG678" s="405"/>
      <c r="AH678" s="405"/>
      <c r="AI678" s="405"/>
      <c r="AJ678" s="405"/>
      <c r="AK678" s="405"/>
      <c r="AL678" s="405"/>
      <c r="AN678" s="459"/>
      <c r="AW678" s="18" t="s">
        <v>2337</v>
      </c>
      <c r="AX678" s="418">
        <f>Application!Y212</f>
        <v>0</v>
      </c>
    </row>
    <row r="679" spans="1:51" s="418" customFormat="1" ht="12.75" customHeight="1">
      <c r="A679" s="1207"/>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2338</v>
      </c>
      <c r="AX679" s="964">
        <f>Application!G753</f>
        <v>64</v>
      </c>
    </row>
    <row r="680" spans="1:51" s="418" customFormat="1" ht="12.75" customHeight="1">
      <c r="A680" s="1207"/>
      <c r="B680" s="405"/>
      <c r="C680" s="772"/>
      <c r="D680" s="520" t="s">
        <v>21</v>
      </c>
      <c r="E680" s="1949" t="s">
        <v>2339</v>
      </c>
      <c r="F680" s="1949"/>
      <c r="G680" s="1949"/>
      <c r="H680" s="1949"/>
      <c r="I680" s="1949"/>
      <c r="J680" s="1949"/>
      <c r="K680" s="1949"/>
      <c r="L680" s="1949"/>
      <c r="M680" s="1949"/>
      <c r="N680" s="1949"/>
      <c r="O680" s="1949"/>
      <c r="P680" s="1949"/>
      <c r="Q680" s="1949"/>
      <c r="R680" s="1949"/>
      <c r="S680" s="1949"/>
      <c r="T680" s="1949"/>
      <c r="U680" s="1949"/>
      <c r="V680" s="1949"/>
      <c r="W680" s="1949"/>
      <c r="X680" s="1949"/>
      <c r="Y680" s="1949"/>
      <c r="Z680" s="1949"/>
      <c r="AA680" s="1949"/>
      <c r="AB680" s="1949"/>
      <c r="AC680" s="405"/>
      <c r="AD680" s="405"/>
      <c r="AE680" s="405"/>
      <c r="AF680" s="1914" t="s">
        <v>2026</v>
      </c>
      <c r="AG680" s="1914"/>
      <c r="AH680" s="1914"/>
      <c r="AI680" s="1914"/>
      <c r="AJ680" s="1914"/>
      <c r="AK680" s="1914"/>
      <c r="AL680" s="1914"/>
      <c r="AN680" s="459"/>
      <c r="AW680" s="18" t="s">
        <v>2340</v>
      </c>
      <c r="AX680" s="418">
        <f>Application!CC632</f>
        <v>16</v>
      </c>
    </row>
    <row r="681" spans="1:51" s="418" customFormat="1" ht="12.75" customHeight="1">
      <c r="A681" s="1207"/>
      <c r="B681" s="405"/>
      <c r="C681" s="772"/>
      <c r="D681" s="520"/>
      <c r="E681" s="1949"/>
      <c r="F681" s="1949"/>
      <c r="G681" s="1949"/>
      <c r="H681" s="1949"/>
      <c r="I681" s="1949"/>
      <c r="J681" s="1949"/>
      <c r="K681" s="1949"/>
      <c r="L681" s="1949"/>
      <c r="M681" s="1949"/>
      <c r="N681" s="1949"/>
      <c r="O681" s="1949"/>
      <c r="P681" s="1949"/>
      <c r="Q681" s="1949"/>
      <c r="R681" s="1949"/>
      <c r="S681" s="1949"/>
      <c r="T681" s="1949"/>
      <c r="U681" s="1949"/>
      <c r="V681" s="1949"/>
      <c r="W681" s="1949"/>
      <c r="X681" s="1949"/>
      <c r="Y681" s="1949"/>
      <c r="Z681" s="1949"/>
      <c r="AA681" s="1949"/>
      <c r="AB681" s="1949"/>
      <c r="AC681" s="405"/>
      <c r="AD681" s="405"/>
      <c r="AE681" s="405"/>
      <c r="AF681" s="405"/>
      <c r="AG681" s="405"/>
      <c r="AH681" s="405"/>
      <c r="AI681" s="405"/>
      <c r="AJ681" s="405"/>
      <c r="AK681" s="405"/>
      <c r="AL681" s="405"/>
      <c r="AN681" s="459"/>
      <c r="AW681" s="18" t="s">
        <v>2341</v>
      </c>
      <c r="AX681" s="418">
        <f>Application!CH632</f>
        <v>0</v>
      </c>
    </row>
    <row r="682" spans="1:51" s="418" customFormat="1" ht="12.75" customHeight="1">
      <c r="A682" s="1207"/>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2342</v>
      </c>
      <c r="AX682" s="418">
        <f>Application!CM632</f>
        <v>0</v>
      </c>
    </row>
    <row r="683" spans="1:51" s="418" customFormat="1" ht="12.75" customHeight="1">
      <c r="B683" s="405"/>
      <c r="C683" s="756"/>
      <c r="D683" s="520" t="s">
        <v>26</v>
      </c>
      <c r="E683" s="1834" t="s">
        <v>2343</v>
      </c>
      <c r="F683" s="1834"/>
      <c r="G683" s="1834"/>
      <c r="H683" s="1834"/>
      <c r="I683" s="1834"/>
      <c r="J683" s="1834"/>
      <c r="K683" s="1834"/>
      <c r="L683" s="1834"/>
      <c r="M683" s="1834"/>
      <c r="N683" s="1834"/>
      <c r="O683" s="1834"/>
      <c r="P683" s="1834"/>
      <c r="Q683" s="1834"/>
      <c r="R683" s="1834"/>
      <c r="S683" s="1834"/>
      <c r="T683" s="1834"/>
      <c r="U683" s="1834"/>
      <c r="V683" s="1834"/>
      <c r="W683" s="1834"/>
      <c r="X683" s="1834"/>
      <c r="Y683" s="1834"/>
      <c r="Z683" s="1834"/>
      <c r="AA683" s="1834"/>
      <c r="AB683" s="1834"/>
      <c r="AC683" s="405"/>
      <c r="AD683" s="405"/>
      <c r="AE683" s="405"/>
      <c r="AF683" s="1914" t="s">
        <v>2026</v>
      </c>
      <c r="AG683" s="1914"/>
      <c r="AH683" s="1914"/>
      <c r="AI683" s="1914"/>
      <c r="AJ683" s="1914"/>
      <c r="AK683" s="1914"/>
      <c r="AL683" s="1914"/>
      <c r="AN683" s="459"/>
      <c r="AW683" s="18" t="s">
        <v>2344</v>
      </c>
      <c r="AX683" s="418">
        <f>AX680+AX681+AX682</f>
        <v>16</v>
      </c>
    </row>
    <row r="684" spans="1:51" s="418" customFormat="1" ht="12.75" customHeight="1">
      <c r="B684" s="405"/>
      <c r="C684" s="764"/>
      <c r="D684" s="520"/>
      <c r="E684" s="1834"/>
      <c r="F684" s="1834"/>
      <c r="G684" s="1834"/>
      <c r="H684" s="1834"/>
      <c r="I684" s="1834"/>
      <c r="J684" s="1834"/>
      <c r="K684" s="1834"/>
      <c r="L684" s="1834"/>
      <c r="M684" s="1834"/>
      <c r="N684" s="1834"/>
      <c r="O684" s="1834"/>
      <c r="P684" s="1834"/>
      <c r="Q684" s="1834"/>
      <c r="R684" s="1834"/>
      <c r="S684" s="1834"/>
      <c r="T684" s="1834"/>
      <c r="U684" s="1834"/>
      <c r="V684" s="1834"/>
      <c r="W684" s="1834"/>
      <c r="X684" s="1834"/>
      <c r="Y684" s="1834"/>
      <c r="Z684" s="1834"/>
      <c r="AA684" s="1834"/>
      <c r="AB684" s="1834"/>
      <c r="AC684" s="405"/>
      <c r="AD684" s="405"/>
      <c r="AE684" s="476"/>
      <c r="AF684" s="405"/>
      <c r="AG684" s="405"/>
      <c r="AH684" s="405"/>
      <c r="AI684" s="405"/>
      <c r="AJ684" s="405"/>
      <c r="AK684" s="405"/>
      <c r="AL684" s="405"/>
      <c r="AN684" s="459"/>
      <c r="AO684" s="1849" t="b">
        <f>IF(Application!D211="Special Needs",IF(AY684&gt;=0.25,TRUE,FALSE),IF(AX684&gt;=0.25,TRUE,FALSE))</f>
        <v>1</v>
      </c>
      <c r="AP684" s="1849"/>
      <c r="AW684" s="18" t="s">
        <v>2345</v>
      </c>
      <c r="AX684" s="418">
        <f>IFERROR(AX683/AX679,0)</f>
        <v>0.25</v>
      </c>
      <c r="AY684" s="418">
        <f>IFERROR(AX683/(AX679-AX678),0)</f>
        <v>0.25</v>
      </c>
    </row>
    <row r="685" spans="1:51" s="418" customFormat="1" ht="12.75" customHeight="1">
      <c r="B685" s="405"/>
      <c r="C685" s="764"/>
      <c r="E685" s="1834"/>
      <c r="F685" s="1834"/>
      <c r="G685" s="1834"/>
      <c r="H685" s="1834"/>
      <c r="I685" s="1834"/>
      <c r="J685" s="1834"/>
      <c r="K685" s="1834"/>
      <c r="L685" s="1834"/>
      <c r="M685" s="1834"/>
      <c r="N685" s="1834"/>
      <c r="O685" s="1834"/>
      <c r="P685" s="1834"/>
      <c r="Q685" s="1834"/>
      <c r="R685" s="1834"/>
      <c r="S685" s="1834"/>
      <c r="T685" s="1834"/>
      <c r="U685" s="1834"/>
      <c r="V685" s="1834"/>
      <c r="W685" s="1834"/>
      <c r="X685" s="1834"/>
      <c r="Y685" s="1834"/>
      <c r="Z685" s="1834"/>
      <c r="AA685" s="1834"/>
      <c r="AB685" s="1834"/>
      <c r="AC685" s="405"/>
      <c r="AD685" s="405"/>
      <c r="AE685" s="476"/>
      <c r="AF685" s="476"/>
      <c r="AG685" s="476"/>
      <c r="AH685" s="476"/>
      <c r="AI685" s="476"/>
      <c r="AJ685" s="476"/>
      <c r="AK685" s="476"/>
      <c r="AL685" s="476"/>
      <c r="AN685" s="459"/>
      <c r="AW685" s="12"/>
    </row>
    <row r="686" spans="1:51" s="418" customFormat="1" ht="28.5" customHeight="1">
      <c r="B686" s="405"/>
      <c r="C686" s="764"/>
      <c r="D686" s="405"/>
      <c r="E686" s="1834"/>
      <c r="F686" s="1834"/>
      <c r="G686" s="1834"/>
      <c r="H686" s="1834"/>
      <c r="I686" s="1834"/>
      <c r="J686" s="1834"/>
      <c r="K686" s="1834"/>
      <c r="L686" s="1834"/>
      <c r="M686" s="1834"/>
      <c r="N686" s="1834"/>
      <c r="O686" s="1834"/>
      <c r="P686" s="1834"/>
      <c r="Q686" s="1834"/>
      <c r="R686" s="1834"/>
      <c r="S686" s="1834"/>
      <c r="T686" s="1834"/>
      <c r="U686" s="1834"/>
      <c r="V686" s="1834"/>
      <c r="W686" s="1834"/>
      <c r="X686" s="1834"/>
      <c r="Y686" s="1834"/>
      <c r="Z686" s="1834"/>
      <c r="AA686" s="1834"/>
      <c r="AB686" s="1834"/>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834" t="s">
        <v>2346</v>
      </c>
      <c r="F688" s="1834"/>
      <c r="G688" s="1834"/>
      <c r="H688" s="1834"/>
      <c r="I688" s="1834"/>
      <c r="J688" s="1834"/>
      <c r="K688" s="1834"/>
      <c r="L688" s="1834"/>
      <c r="M688" s="1834"/>
      <c r="N688" s="1834"/>
      <c r="O688" s="1834"/>
      <c r="P688" s="1834"/>
      <c r="Q688" s="1834"/>
      <c r="R688" s="1834"/>
      <c r="S688" s="1834"/>
      <c r="T688" s="1834"/>
      <c r="U688" s="1834"/>
      <c r="V688" s="1834"/>
      <c r="W688" s="1834"/>
      <c r="X688" s="1834"/>
      <c r="Y688" s="1834"/>
      <c r="Z688" s="1834"/>
      <c r="AA688" s="1834"/>
      <c r="AB688" s="1834"/>
      <c r="AC688" s="405"/>
      <c r="AD688" s="405"/>
      <c r="AE688" s="405"/>
      <c r="AF688" s="1914" t="s">
        <v>2316</v>
      </c>
      <c r="AG688" s="1914"/>
      <c r="AH688" s="1914"/>
      <c r="AI688" s="1914"/>
      <c r="AJ688" s="1914"/>
      <c r="AK688" s="1914"/>
      <c r="AL688" s="1914"/>
      <c r="AN688" s="459"/>
      <c r="AO688" s="472" t="s">
        <v>26</v>
      </c>
      <c r="AP688" s="418">
        <v>1</v>
      </c>
    </row>
    <row r="689" spans="1:42" s="418" customFormat="1" ht="12" customHeight="1">
      <c r="B689" s="405"/>
      <c r="C689" s="756"/>
      <c r="E689" s="1834"/>
      <c r="F689" s="1834"/>
      <c r="G689" s="1834"/>
      <c r="H689" s="1834"/>
      <c r="I689" s="1834"/>
      <c r="J689" s="1834"/>
      <c r="K689" s="1834"/>
      <c r="L689" s="1834"/>
      <c r="M689" s="1834"/>
      <c r="N689" s="1834"/>
      <c r="O689" s="1834"/>
      <c r="P689" s="1834"/>
      <c r="Q689" s="1834"/>
      <c r="R689" s="1834"/>
      <c r="S689" s="1834"/>
      <c r="T689" s="1834"/>
      <c r="U689" s="1834"/>
      <c r="V689" s="1834"/>
      <c r="W689" s="1834"/>
      <c r="X689" s="1834"/>
      <c r="Y689" s="1834"/>
      <c r="Z689" s="1834"/>
      <c r="AA689" s="1834"/>
      <c r="AB689" s="1834"/>
      <c r="AC689" s="405"/>
      <c r="AD689" s="405"/>
      <c r="AE689" s="476"/>
      <c r="AF689" s="405"/>
      <c r="AG689" s="405"/>
      <c r="AH689" s="405"/>
      <c r="AI689" s="405"/>
      <c r="AJ689" s="405"/>
      <c r="AK689" s="405"/>
      <c r="AL689" s="405"/>
      <c r="AN689" s="459"/>
    </row>
    <row r="690" spans="1:42" s="418" customFormat="1" ht="12" customHeight="1">
      <c r="B690" s="405"/>
      <c r="C690" s="756"/>
      <c r="D690" s="405"/>
      <c r="E690" s="1834"/>
      <c r="F690" s="1834"/>
      <c r="G690" s="1834"/>
      <c r="H690" s="1834"/>
      <c r="I690" s="1834"/>
      <c r="J690" s="1834"/>
      <c r="K690" s="1834"/>
      <c r="L690" s="1834"/>
      <c r="M690" s="1834"/>
      <c r="N690" s="1834"/>
      <c r="O690" s="1834"/>
      <c r="P690" s="1834"/>
      <c r="Q690" s="1834"/>
      <c r="R690" s="1834"/>
      <c r="S690" s="1834"/>
      <c r="T690" s="1834"/>
      <c r="U690" s="1834"/>
      <c r="V690" s="1834"/>
      <c r="W690" s="1834"/>
      <c r="X690" s="1834"/>
      <c r="Y690" s="1834"/>
      <c r="Z690" s="1834"/>
      <c r="AA690" s="1834"/>
      <c r="AB690" s="1834"/>
      <c r="AC690" s="405"/>
      <c r="AD690" s="405"/>
      <c r="AE690" s="476"/>
      <c r="AF690" s="405"/>
      <c r="AG690" s="405"/>
      <c r="AH690" s="405"/>
      <c r="AI690" s="405"/>
      <c r="AJ690" s="405"/>
      <c r="AK690" s="405"/>
      <c r="AL690" s="405"/>
      <c r="AN690" s="459"/>
    </row>
    <row r="691" spans="1:42" s="418" customFormat="1" ht="12" customHeight="1">
      <c r="B691" s="405"/>
      <c r="C691" s="756"/>
      <c r="D691" s="405"/>
      <c r="E691" s="1834"/>
      <c r="F691" s="1834"/>
      <c r="G691" s="1834"/>
      <c r="H691" s="1834"/>
      <c r="I691" s="1834"/>
      <c r="J691" s="1834"/>
      <c r="K691" s="1834"/>
      <c r="L691" s="1834"/>
      <c r="M691" s="1834"/>
      <c r="N691" s="1834"/>
      <c r="O691" s="1834"/>
      <c r="P691" s="1834"/>
      <c r="Q691" s="1834"/>
      <c r="R691" s="1834"/>
      <c r="S691" s="1834"/>
      <c r="T691" s="1834"/>
      <c r="U691" s="1834"/>
      <c r="V691" s="1834"/>
      <c r="W691" s="1834"/>
      <c r="X691" s="1834"/>
      <c r="Y691" s="1834"/>
      <c r="Z691" s="1834"/>
      <c r="AA691" s="1834"/>
      <c r="AB691" s="1834"/>
      <c r="AC691" s="405"/>
      <c r="AD691" s="405"/>
      <c r="AE691" s="476"/>
      <c r="AF691" s="405"/>
      <c r="AG691" s="405"/>
      <c r="AH691" s="405"/>
      <c r="AI691" s="405"/>
      <c r="AJ691" s="405"/>
      <c r="AK691" s="405"/>
      <c r="AL691" s="405"/>
      <c r="AN691" s="459"/>
    </row>
    <row r="692" spans="1:42" s="436" customFormat="1" ht="13" customHeight="1">
      <c r="A692" s="418"/>
      <c r="B692" s="405"/>
      <c r="C692" s="756"/>
      <c r="D692" s="405"/>
      <c r="E692" s="1834"/>
      <c r="F692" s="1834"/>
      <c r="G692" s="1834"/>
      <c r="H692" s="1834"/>
      <c r="I692" s="1834"/>
      <c r="J692" s="1834"/>
      <c r="K692" s="1834"/>
      <c r="L692" s="1834"/>
      <c r="M692" s="1834"/>
      <c r="N692" s="1834"/>
      <c r="O692" s="1834"/>
      <c r="P692" s="1834"/>
      <c r="Q692" s="1834"/>
      <c r="R692" s="1834"/>
      <c r="S692" s="1834"/>
      <c r="T692" s="1834"/>
      <c r="U692" s="1834"/>
      <c r="V692" s="1834"/>
      <c r="W692" s="1834"/>
      <c r="X692" s="1834"/>
      <c r="Y692" s="1834"/>
      <c r="Z692" s="1834"/>
      <c r="AA692" s="1834"/>
      <c r="AB692" s="1834"/>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197"/>
      <c r="F693" s="1197"/>
      <c r="G693" s="1197"/>
      <c r="H693" s="1197"/>
      <c r="I693" s="1197"/>
      <c r="J693" s="1197"/>
      <c r="K693" s="1197"/>
      <c r="L693" s="1197"/>
      <c r="M693" s="1197"/>
      <c r="N693" s="1197"/>
      <c r="O693" s="1197"/>
      <c r="P693" s="1197"/>
      <c r="Q693" s="1197"/>
      <c r="R693" s="1197"/>
      <c r="S693" s="1197"/>
      <c r="T693" s="1197"/>
      <c r="U693" s="1197"/>
      <c r="V693" s="1197"/>
      <c r="W693" s="1197"/>
      <c r="X693" s="1197"/>
      <c r="Y693" s="1197"/>
      <c r="Z693" s="1197"/>
      <c r="AA693" s="1197"/>
      <c r="AB693" s="1197"/>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834" t="s">
        <v>2347</v>
      </c>
      <c r="F694" s="1834"/>
      <c r="G694" s="1834"/>
      <c r="H694" s="1834"/>
      <c r="I694" s="1834"/>
      <c r="J694" s="1834"/>
      <c r="K694" s="1834"/>
      <c r="L694" s="1834"/>
      <c r="M694" s="1834"/>
      <c r="N694" s="1834"/>
      <c r="O694" s="1834"/>
      <c r="P694" s="1834"/>
      <c r="Q694" s="1834"/>
      <c r="R694" s="1834"/>
      <c r="S694" s="1834"/>
      <c r="T694" s="1834"/>
      <c r="U694" s="1834"/>
      <c r="V694" s="1834"/>
      <c r="W694" s="1834"/>
      <c r="X694" s="1834"/>
      <c r="Y694" s="1834"/>
      <c r="Z694" s="1834"/>
      <c r="AA694" s="1834"/>
      <c r="AB694" s="1834"/>
      <c r="AC694" s="405"/>
      <c r="AD694" s="405"/>
      <c r="AE694" s="476"/>
      <c r="AF694" s="476"/>
      <c r="AG694" s="476"/>
      <c r="AH694" s="476"/>
      <c r="AI694" s="476"/>
      <c r="AJ694" s="405"/>
      <c r="AK694" s="405"/>
      <c r="AL694" s="405"/>
      <c r="AM694" s="418"/>
      <c r="AN694" s="540"/>
      <c r="AO694" s="472" t="s">
        <v>26</v>
      </c>
      <c r="AP694" s="418">
        <f>3*$AO$684</f>
        <v>3</v>
      </c>
    </row>
    <row r="695" spans="1:42" s="436" customFormat="1" ht="12.75" customHeight="1">
      <c r="A695" s="418"/>
      <c r="B695" s="405"/>
      <c r="C695" s="756"/>
      <c r="D695" s="405"/>
      <c r="E695" s="1834"/>
      <c r="F695" s="1834"/>
      <c r="G695" s="1834"/>
      <c r="H695" s="1834"/>
      <c r="I695" s="1834"/>
      <c r="J695" s="1834"/>
      <c r="K695" s="1834"/>
      <c r="L695" s="1834"/>
      <c r="M695" s="1834"/>
      <c r="N695" s="1834"/>
      <c r="O695" s="1834"/>
      <c r="P695" s="1834"/>
      <c r="Q695" s="1834"/>
      <c r="R695" s="1834"/>
      <c r="S695" s="1834"/>
      <c r="T695" s="1834"/>
      <c r="U695" s="1834"/>
      <c r="V695" s="1834"/>
      <c r="W695" s="1834"/>
      <c r="X695" s="1834"/>
      <c r="Y695" s="1834"/>
      <c r="Z695" s="1834"/>
      <c r="AA695" s="1834"/>
      <c r="AB695" s="1834"/>
      <c r="AC695" s="405"/>
      <c r="AD695" s="405"/>
      <c r="AE695" s="476"/>
      <c r="AF695" s="476"/>
      <c r="AG695" s="476"/>
      <c r="AH695" s="476"/>
      <c r="AI695" s="476"/>
      <c r="AJ695" s="405"/>
      <c r="AK695" s="405"/>
      <c r="AL695" s="405"/>
      <c r="AM695" s="418"/>
      <c r="AN695" s="540"/>
      <c r="AO695" s="472" t="s">
        <v>48</v>
      </c>
      <c r="AP695" s="418">
        <f>2*$AO$684</f>
        <v>2</v>
      </c>
    </row>
    <row r="696" spans="1:42" s="436" customFormat="1" ht="12.75" customHeight="1">
      <c r="A696" s="418"/>
      <c r="B696" s="405"/>
      <c r="C696" s="756"/>
      <c r="D696" s="405"/>
      <c r="E696" s="1834"/>
      <c r="F696" s="1834"/>
      <c r="G696" s="1834"/>
      <c r="H696" s="1834"/>
      <c r="I696" s="1834"/>
      <c r="J696" s="1834"/>
      <c r="K696" s="1834"/>
      <c r="L696" s="1834"/>
      <c r="M696" s="1834"/>
      <c r="N696" s="1834"/>
      <c r="O696" s="1834"/>
      <c r="P696" s="1834"/>
      <c r="Q696" s="1834"/>
      <c r="R696" s="1834"/>
      <c r="S696" s="1834"/>
      <c r="T696" s="1834"/>
      <c r="U696" s="1834"/>
      <c r="V696" s="1834"/>
      <c r="W696" s="1834"/>
      <c r="X696" s="1834"/>
      <c r="Y696" s="1834"/>
      <c r="Z696" s="1834"/>
      <c r="AA696" s="1834"/>
      <c r="AB696" s="1834"/>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197"/>
      <c r="F697" s="1197"/>
      <c r="G697" s="1197"/>
      <c r="H697" s="1197"/>
      <c r="I697" s="1197"/>
      <c r="J697" s="1197"/>
      <c r="K697" s="1197"/>
      <c r="L697" s="1197"/>
      <c r="M697" s="1197"/>
      <c r="N697" s="1197"/>
      <c r="O697" s="1197"/>
      <c r="P697" s="1197"/>
      <c r="Q697" s="1197"/>
      <c r="R697" s="1197"/>
      <c r="S697" s="1197"/>
      <c r="T697" s="1197"/>
      <c r="U697" s="1197"/>
      <c r="V697" s="1197"/>
      <c r="W697" s="1197"/>
      <c r="X697" s="1197"/>
      <c r="Y697" s="1197"/>
      <c r="Z697" s="1197"/>
      <c r="AA697" s="1197"/>
      <c r="AB697" s="1197"/>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2302</v>
      </c>
      <c r="E698" s="1208"/>
      <c r="F698" s="1208"/>
      <c r="G698" s="1208"/>
      <c r="H698" s="1858" t="s">
        <v>26</v>
      </c>
      <c r="I698" s="1858"/>
      <c r="J698" s="1197"/>
      <c r="K698" s="1197"/>
      <c r="L698" s="1197"/>
      <c r="M698" s="1197"/>
      <c r="N698" s="1197"/>
      <c r="O698" s="1197"/>
      <c r="P698" s="1197"/>
      <c r="Q698" s="1197"/>
      <c r="R698" s="1197"/>
      <c r="S698" s="1197"/>
      <c r="T698" s="1197"/>
      <c r="U698" s="1197"/>
      <c r="V698" s="1197"/>
      <c r="W698" s="1197"/>
      <c r="X698" s="1197"/>
      <c r="Y698" s="1197"/>
      <c r="Z698" s="1197"/>
      <c r="AA698" s="1197"/>
      <c r="AB698" s="1197"/>
      <c r="AC698" s="405"/>
      <c r="AD698" s="405"/>
      <c r="AE698" s="476"/>
      <c r="AF698" s="476"/>
      <c r="AG698" s="476"/>
      <c r="AH698" s="476"/>
      <c r="AI698" s="476"/>
      <c r="AJ698" s="405"/>
      <c r="AK698" s="405"/>
      <c r="AL698" s="405"/>
      <c r="AM698" s="418"/>
      <c r="AN698" s="540"/>
      <c r="AP698" s="436" t="s">
        <v>2348</v>
      </c>
    </row>
    <row r="699" spans="1:42" s="436" customFormat="1">
      <c r="A699" s="418"/>
      <c r="B699" s="405"/>
      <c r="C699" s="756"/>
      <c r="D699" s="405"/>
      <c r="E699" s="1197"/>
      <c r="F699" s="1197"/>
      <c r="G699" s="1197"/>
      <c r="H699" s="1197"/>
      <c r="I699" s="1197"/>
      <c r="J699" s="1197"/>
      <c r="K699" s="1197"/>
      <c r="L699" s="1197"/>
      <c r="M699" s="1197"/>
      <c r="N699" s="1197"/>
      <c r="O699" s="1197"/>
      <c r="P699" s="1197"/>
      <c r="Q699" s="1197"/>
      <c r="R699" s="1197"/>
      <c r="S699" s="1197"/>
      <c r="T699" s="1197"/>
      <c r="U699" s="1197"/>
      <c r="V699" s="1197"/>
      <c r="W699" s="1197"/>
      <c r="X699" s="1197"/>
      <c r="Y699" s="1197"/>
      <c r="Z699" s="1197"/>
      <c r="AA699" s="1197"/>
      <c r="AB699" s="1197"/>
      <c r="AC699" s="405"/>
      <c r="AD699" s="405"/>
      <c r="AE699" s="476"/>
      <c r="AF699" s="476"/>
      <c r="AG699" s="476"/>
      <c r="AH699" s="476"/>
      <c r="AI699" s="476"/>
      <c r="AJ699" s="405"/>
      <c r="AK699" s="405"/>
      <c r="AL699" s="405"/>
      <c r="AM699" s="418"/>
      <c r="AN699" s="540"/>
      <c r="AP699" s="436" t="s">
        <v>2312</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2349</v>
      </c>
      <c r="AJ700" s="1841">
        <f>VLOOKUP($H$698,$AO$692:$AP$695,2,FALSE)</f>
        <v>3</v>
      </c>
      <c r="AK700" s="1843"/>
      <c r="AL700" s="457"/>
      <c r="AM700" s="418"/>
      <c r="AN700" s="540"/>
      <c r="AP700" s="436" t="s">
        <v>2320</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2350</v>
      </c>
    </row>
    <row r="702" spans="1:42" s="436" customFormat="1" ht="12.75" customHeight="1">
      <c r="A702" s="418"/>
      <c r="B702" s="405"/>
      <c r="C702" s="408" t="s">
        <v>2351</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2352</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2353</v>
      </c>
    </row>
    <row r="704" spans="1:42" s="436" customFormat="1" ht="12.75" customHeight="1">
      <c r="A704" s="497"/>
      <c r="B704" s="405"/>
      <c r="C704" s="756"/>
      <c r="D704" s="520" t="s">
        <v>21</v>
      </c>
      <c r="E704" s="1947" t="s">
        <v>2354</v>
      </c>
      <c r="F704" s="1947"/>
      <c r="G704" s="1947"/>
      <c r="H704" s="1947"/>
      <c r="I704" s="1947"/>
      <c r="J704" s="1947"/>
      <c r="K704" s="1947"/>
      <c r="L704" s="1947"/>
      <c r="M704" s="1947"/>
      <c r="N704" s="1947"/>
      <c r="O704" s="1947"/>
      <c r="P704" s="1947"/>
      <c r="Q704" s="1947"/>
      <c r="R704" s="1947"/>
      <c r="S704" s="1947"/>
      <c r="T704" s="1947"/>
      <c r="U704" s="1947"/>
      <c r="V704" s="1947"/>
      <c r="W704" s="1947"/>
      <c r="X704" s="1947"/>
      <c r="Y704" s="1947"/>
      <c r="Z704" s="1947"/>
      <c r="AA704" s="1947"/>
      <c r="AB704" s="1947"/>
      <c r="AC704" s="405"/>
      <c r="AD704" s="405"/>
      <c r="AE704" s="405"/>
      <c r="AF704" s="1914" t="s">
        <v>2026</v>
      </c>
      <c r="AG704" s="1914"/>
      <c r="AH704" s="1914"/>
      <c r="AI704" s="1914"/>
      <c r="AJ704" s="1914"/>
      <c r="AK704" s="1914"/>
      <c r="AL704" s="1914"/>
      <c r="AM704" s="418"/>
      <c r="AN704" s="540"/>
      <c r="AP704" s="436" t="s">
        <v>2355</v>
      </c>
    </row>
    <row r="705" spans="1:52" s="436" customFormat="1" ht="11.75" customHeight="1">
      <c r="A705" s="418"/>
      <c r="B705" s="405"/>
      <c r="C705" s="758"/>
      <c r="D705" s="520"/>
      <c r="E705" s="1947"/>
      <c r="F705" s="1947"/>
      <c r="G705" s="1947"/>
      <c r="H705" s="1947"/>
      <c r="I705" s="1947"/>
      <c r="J705" s="1947"/>
      <c r="K705" s="1947"/>
      <c r="L705" s="1947"/>
      <c r="M705" s="1947"/>
      <c r="N705" s="1947"/>
      <c r="O705" s="1947"/>
      <c r="P705" s="1947"/>
      <c r="Q705" s="1947"/>
      <c r="R705" s="1947"/>
      <c r="S705" s="1947"/>
      <c r="T705" s="1947"/>
      <c r="U705" s="1947"/>
      <c r="V705" s="1947"/>
      <c r="W705" s="1947"/>
      <c r="X705" s="1947"/>
      <c r="Y705" s="1947"/>
      <c r="Z705" s="1947"/>
      <c r="AA705" s="1947"/>
      <c r="AB705" s="1947"/>
      <c r="AC705" s="405"/>
      <c r="AD705" s="405"/>
      <c r="AE705" s="405"/>
      <c r="AF705" s="405"/>
      <c r="AG705" s="405"/>
      <c r="AH705" s="405"/>
      <c r="AI705" s="405"/>
      <c r="AJ705" s="405"/>
      <c r="AK705" s="405"/>
      <c r="AL705" s="405"/>
      <c r="AM705" s="418"/>
      <c r="AN705" s="540"/>
      <c r="AP705" s="436" t="s">
        <v>2356</v>
      </c>
    </row>
    <row r="706" spans="1:52" s="436" customFormat="1" ht="14" customHeight="1">
      <c r="A706" s="418"/>
      <c r="B706" s="471"/>
      <c r="C706" s="756"/>
      <c r="D706" s="520"/>
      <c r="E706" s="1947"/>
      <c r="F706" s="1947"/>
      <c r="G706" s="1947"/>
      <c r="H706" s="1947"/>
      <c r="I706" s="1947"/>
      <c r="J706" s="1947"/>
      <c r="K706" s="1947"/>
      <c r="L706" s="1947"/>
      <c r="M706" s="1947"/>
      <c r="N706" s="1947"/>
      <c r="O706" s="1947"/>
      <c r="P706" s="1947"/>
      <c r="Q706" s="1947"/>
      <c r="R706" s="1947"/>
      <c r="S706" s="1947"/>
      <c r="T706" s="1947"/>
      <c r="U706" s="1947"/>
      <c r="V706" s="1947"/>
      <c r="W706" s="1947"/>
      <c r="X706" s="1947"/>
      <c r="Y706" s="1947"/>
      <c r="Z706" s="1947"/>
      <c r="AA706" s="1947"/>
      <c r="AB706" s="1947"/>
      <c r="AC706" s="405"/>
      <c r="AD706" s="405"/>
      <c r="AE706" s="476"/>
      <c r="AF706" s="405"/>
      <c r="AG706" s="405"/>
      <c r="AH706" s="405"/>
      <c r="AI706" s="405"/>
      <c r="AJ706" s="405"/>
      <c r="AK706" s="405"/>
      <c r="AL706" s="405"/>
      <c r="AM706" s="418"/>
      <c r="AN706" s="540"/>
      <c r="AP706" s="436" t="s">
        <v>2357</v>
      </c>
    </row>
    <row r="707" spans="1:52" s="436" customFormat="1" ht="14" customHeight="1">
      <c r="A707" s="418"/>
      <c r="B707" s="471"/>
      <c r="C707" s="756"/>
      <c r="D707" s="520"/>
      <c r="E707" s="1208"/>
      <c r="F707" s="1208"/>
      <c r="G707" s="1208"/>
      <c r="H707" s="1208"/>
      <c r="I707" s="1208"/>
      <c r="J707" s="1208"/>
      <c r="K707" s="1208"/>
      <c r="L707" s="1208"/>
      <c r="M707" s="1208"/>
      <c r="N707" s="1208"/>
      <c r="O707" s="1208"/>
      <c r="P707" s="1208"/>
      <c r="Q707" s="1208"/>
      <c r="R707" s="1208"/>
      <c r="S707" s="1208"/>
      <c r="T707" s="1208"/>
      <c r="U707" s="1208"/>
      <c r="V707" s="1208"/>
      <c r="W707" s="1208"/>
      <c r="X707" s="1208"/>
      <c r="Y707" s="1208"/>
      <c r="Z707" s="1208"/>
      <c r="AA707" s="1208"/>
      <c r="AB707" s="1208"/>
      <c r="AC707" s="405"/>
      <c r="AD707" s="405"/>
      <c r="AE707" s="476"/>
      <c r="AF707" s="405"/>
      <c r="AG707" s="405"/>
      <c r="AH707" s="405"/>
      <c r="AI707" s="405"/>
      <c r="AJ707" s="405"/>
      <c r="AK707" s="405"/>
      <c r="AL707" s="405"/>
      <c r="AM707" s="418"/>
      <c r="AN707" s="540"/>
      <c r="AP707" s="542" t="s">
        <v>2358</v>
      </c>
    </row>
    <row r="708" spans="1:52" s="436" customFormat="1" ht="14" customHeight="1">
      <c r="A708" s="418"/>
      <c r="B708" s="405"/>
      <c r="C708" s="756"/>
      <c r="D708" s="520" t="s">
        <v>26</v>
      </c>
      <c r="E708" s="1948" t="s">
        <v>2359</v>
      </c>
      <c r="F708" s="1948"/>
      <c r="G708" s="1948"/>
      <c r="H708" s="1948"/>
      <c r="I708" s="1948"/>
      <c r="J708" s="1948"/>
      <c r="K708" s="1948"/>
      <c r="L708" s="1948"/>
      <c r="M708" s="1948"/>
      <c r="N708" s="1948"/>
      <c r="O708" s="1948"/>
      <c r="P708" s="1948"/>
      <c r="Q708" s="1948"/>
      <c r="R708" s="1948"/>
      <c r="S708" s="1948"/>
      <c r="T708" s="1948"/>
      <c r="U708" s="1948"/>
      <c r="V708" s="1948"/>
      <c r="W708" s="1948"/>
      <c r="X708" s="1948"/>
      <c r="Y708" s="1948"/>
      <c r="Z708" s="1948"/>
      <c r="AA708" s="1948"/>
      <c r="AB708" s="1948"/>
      <c r="AC708" s="405"/>
      <c r="AD708" s="405"/>
      <c r="AE708" s="405"/>
      <c r="AF708" s="1914" t="s">
        <v>2316</v>
      </c>
      <c r="AG708" s="1914"/>
      <c r="AH708" s="1914"/>
      <c r="AI708" s="1914"/>
      <c r="AJ708" s="1914"/>
      <c r="AK708" s="1914"/>
      <c r="AL708" s="1914"/>
      <c r="AM708" s="418"/>
      <c r="AN708" s="541"/>
    </row>
    <row r="709" spans="1:52" s="436" customFormat="1" ht="12.75" customHeight="1">
      <c r="A709" s="418"/>
      <c r="B709" s="405"/>
      <c r="C709" s="758"/>
      <c r="D709" s="405"/>
      <c r="E709" s="1948"/>
      <c r="F709" s="1948"/>
      <c r="G709" s="1948"/>
      <c r="H709" s="1948"/>
      <c r="I709" s="1948"/>
      <c r="J709" s="1948"/>
      <c r="K709" s="1948"/>
      <c r="L709" s="1948"/>
      <c r="M709" s="1948"/>
      <c r="N709" s="1948"/>
      <c r="O709" s="1948"/>
      <c r="P709" s="1948"/>
      <c r="Q709" s="1948"/>
      <c r="R709" s="1948"/>
      <c r="S709" s="1948"/>
      <c r="T709" s="1948"/>
      <c r="U709" s="1948"/>
      <c r="V709" s="1948"/>
      <c r="W709" s="1948"/>
      <c r="X709" s="1948"/>
      <c r="Y709" s="1948"/>
      <c r="Z709" s="1948"/>
      <c r="AA709" s="1948"/>
      <c r="AB709" s="1948"/>
      <c r="AC709" s="405"/>
      <c r="AD709" s="405"/>
      <c r="AE709" s="405"/>
      <c r="AF709" s="405"/>
      <c r="AG709" s="405"/>
      <c r="AH709" s="405"/>
      <c r="AI709" s="405"/>
      <c r="AJ709" s="405"/>
      <c r="AK709" s="405"/>
      <c r="AL709" s="405"/>
      <c r="AM709" s="418"/>
      <c r="AN709" s="540"/>
      <c r="AP709" s="418" t="s">
        <v>299</v>
      </c>
      <c r="AQ709" s="530">
        <v>0</v>
      </c>
    </row>
    <row r="710" spans="1:52" s="436" customFormat="1" ht="14" customHeight="1">
      <c r="A710" s="418"/>
      <c r="B710" s="405"/>
      <c r="C710" s="758"/>
      <c r="D710" s="405"/>
      <c r="E710" s="1948"/>
      <c r="F710" s="1948"/>
      <c r="G710" s="1948"/>
      <c r="H710" s="1948"/>
      <c r="I710" s="1948"/>
      <c r="J710" s="1948"/>
      <c r="K710" s="1948"/>
      <c r="L710" s="1948"/>
      <c r="M710" s="1948"/>
      <c r="N710" s="1948"/>
      <c r="O710" s="1948"/>
      <c r="P710" s="1948"/>
      <c r="Q710" s="1948"/>
      <c r="R710" s="1948"/>
      <c r="S710" s="1948"/>
      <c r="T710" s="1948"/>
      <c r="U710" s="1948"/>
      <c r="V710" s="1948"/>
      <c r="W710" s="1948"/>
      <c r="X710" s="1948"/>
      <c r="Y710" s="1948"/>
      <c r="Z710" s="1948"/>
      <c r="AA710" s="1948"/>
      <c r="AB710" s="1948"/>
      <c r="AC710" s="405"/>
      <c r="AD710" s="405"/>
      <c r="AE710" s="405"/>
      <c r="AF710" s="405"/>
      <c r="AG710" s="405"/>
      <c r="AH710" s="405"/>
      <c r="AI710" s="405"/>
      <c r="AJ710" s="405"/>
      <c r="AK710" s="405"/>
      <c r="AL710" s="405"/>
      <c r="AM710" s="418"/>
      <c r="AN710" s="540"/>
      <c r="AP710" s="472" t="s">
        <v>21</v>
      </c>
      <c r="AQ710" s="418">
        <v>3</v>
      </c>
    </row>
    <row r="711" spans="1:52" s="436" customFormat="1" ht="14" customHeight="1">
      <c r="A711" s="418"/>
      <c r="B711" s="405"/>
      <c r="C711" s="758"/>
      <c r="D711" s="405"/>
      <c r="E711" s="1209"/>
      <c r="F711" s="1209"/>
      <c r="G711" s="1209"/>
      <c r="H711" s="1209"/>
      <c r="I711" s="1209"/>
      <c r="J711" s="1209"/>
      <c r="K711" s="1209"/>
      <c r="L711" s="1209"/>
      <c r="M711" s="1209"/>
      <c r="N711" s="1209"/>
      <c r="O711" s="1209"/>
      <c r="P711" s="1209"/>
      <c r="Q711" s="1209"/>
      <c r="R711" s="1209"/>
      <c r="S711" s="1209"/>
      <c r="T711" s="1209"/>
      <c r="U711" s="1209"/>
      <c r="V711" s="1209"/>
      <c r="W711" s="1209"/>
      <c r="X711" s="1209"/>
      <c r="Y711" s="1209"/>
      <c r="Z711" s="1209"/>
      <c r="AA711" s="1209"/>
      <c r="AB711" s="1209"/>
      <c r="AC711" s="405"/>
      <c r="AD711" s="405"/>
      <c r="AE711" s="405"/>
      <c r="AF711" s="405"/>
      <c r="AG711" s="405"/>
      <c r="AH711" s="405"/>
      <c r="AI711" s="405"/>
      <c r="AJ711" s="405"/>
      <c r="AK711" s="405"/>
      <c r="AL711" s="405"/>
      <c r="AM711" s="418"/>
      <c r="AN711" s="540"/>
      <c r="AP711" s="472" t="s">
        <v>26</v>
      </c>
      <c r="AQ711" s="418">
        <v>2</v>
      </c>
    </row>
    <row r="712" spans="1:52" s="436" customFormat="1" ht="14" customHeight="1">
      <c r="A712" s="418"/>
      <c r="B712" s="405"/>
      <c r="C712" s="758"/>
      <c r="D712" s="405" t="s">
        <v>2302</v>
      </c>
      <c r="E712" s="1208"/>
      <c r="F712" s="1208"/>
      <c r="G712" s="1208"/>
      <c r="H712" s="1858" t="s">
        <v>299</v>
      </c>
      <c r="I712" s="1858"/>
      <c r="J712" s="1209"/>
      <c r="K712" s="1209"/>
      <c r="L712" s="1209"/>
      <c r="M712" s="1209"/>
      <c r="N712" s="1209"/>
      <c r="O712" s="1209"/>
      <c r="P712" s="1209"/>
      <c r="Q712" s="1209"/>
      <c r="R712" s="1209"/>
      <c r="S712" s="1209"/>
      <c r="T712" s="1209"/>
      <c r="U712" s="1209"/>
      <c r="V712" s="1209"/>
      <c r="W712" s="1209"/>
      <c r="X712" s="1209"/>
      <c r="Y712" s="1209"/>
      <c r="Z712" s="1209"/>
      <c r="AA712" s="1209"/>
      <c r="AB712" s="1209"/>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209"/>
      <c r="F713" s="1209"/>
      <c r="G713" s="1209"/>
      <c r="H713" s="1209"/>
      <c r="I713" s="1209"/>
      <c r="J713" s="1209"/>
      <c r="K713" s="1209"/>
      <c r="L713" s="1209"/>
      <c r="M713" s="1209"/>
      <c r="N713" s="1209"/>
      <c r="O713" s="1209"/>
      <c r="P713" s="1209"/>
      <c r="Q713" s="1209"/>
      <c r="R713" s="1209"/>
      <c r="S713" s="1209"/>
      <c r="T713" s="1209"/>
      <c r="U713" s="1209"/>
      <c r="V713" s="1209"/>
      <c r="W713" s="1209"/>
      <c r="X713" s="1209"/>
      <c r="Y713" s="1209"/>
      <c r="Z713" s="1209"/>
      <c r="AA713" s="1209"/>
      <c r="AB713" s="1209"/>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2360</v>
      </c>
      <c r="AJ714" s="1841">
        <f>VLOOKUP($H$712,$AP$709:$AQ$711,2,FALSE)</f>
        <v>0</v>
      </c>
      <c r="AK714" s="1843"/>
      <c r="AL714" s="457"/>
      <c r="AM714" s="418"/>
      <c r="AN714" s="540"/>
      <c r="AP714" s="1841"/>
      <c r="AQ714" s="1843"/>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c r="A716" s="418"/>
      <c r="B716" s="405"/>
      <c r="C716" s="408" t="s">
        <v>2361</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c r="A718" s="418"/>
      <c r="B718" s="405"/>
      <c r="C718" s="756"/>
      <c r="D718" s="520" t="s">
        <v>21</v>
      </c>
      <c r="E718" s="1834" t="s">
        <v>2362</v>
      </c>
      <c r="F718" s="1834"/>
      <c r="G718" s="1834"/>
      <c r="H718" s="1834"/>
      <c r="I718" s="1834"/>
      <c r="J718" s="1834"/>
      <c r="K718" s="1834"/>
      <c r="L718" s="1834"/>
      <c r="M718" s="1834"/>
      <c r="N718" s="1834"/>
      <c r="O718" s="1834"/>
      <c r="P718" s="1834"/>
      <c r="Q718" s="1834"/>
      <c r="R718" s="1834"/>
      <c r="S718" s="1834"/>
      <c r="T718" s="1834"/>
      <c r="U718" s="1834"/>
      <c r="V718" s="1834"/>
      <c r="W718" s="1834"/>
      <c r="X718" s="1834"/>
      <c r="Y718" s="1834"/>
      <c r="Z718" s="1834"/>
      <c r="AA718" s="1834"/>
      <c r="AB718" s="1834"/>
      <c r="AC718" s="405"/>
      <c r="AD718" s="405"/>
      <c r="AE718" s="405"/>
      <c r="AF718" s="1914" t="s">
        <v>2026</v>
      </c>
      <c r="AG718" s="1914"/>
      <c r="AH718" s="1914"/>
      <c r="AI718" s="1914"/>
      <c r="AJ718" s="1914"/>
      <c r="AK718" s="1914"/>
      <c r="AL718" s="1914"/>
      <c r="AM718" s="418"/>
      <c r="AN718" s="540"/>
      <c r="AT718" s="12"/>
      <c r="AU718" s="12"/>
      <c r="AV718" s="12"/>
      <c r="AW718" s="12"/>
      <c r="AX718" s="12"/>
      <c r="AY718" s="12"/>
      <c r="AZ718" s="12"/>
    </row>
    <row r="719" spans="1:52" s="436" customFormat="1">
      <c r="A719" s="418"/>
      <c r="B719" s="405"/>
      <c r="C719" s="758"/>
      <c r="D719" s="520"/>
      <c r="E719" s="1834"/>
      <c r="F719" s="1834"/>
      <c r="G719" s="1834"/>
      <c r="H719" s="1834"/>
      <c r="I719" s="1834"/>
      <c r="J719" s="1834"/>
      <c r="K719" s="1834"/>
      <c r="L719" s="1834"/>
      <c r="M719" s="1834"/>
      <c r="N719" s="1834"/>
      <c r="O719" s="1834"/>
      <c r="P719" s="1834"/>
      <c r="Q719" s="1834"/>
      <c r="R719" s="1834"/>
      <c r="S719" s="1834"/>
      <c r="T719" s="1834"/>
      <c r="U719" s="1834"/>
      <c r="V719" s="1834"/>
      <c r="W719" s="1834"/>
      <c r="X719" s="1834"/>
      <c r="Y719" s="1834"/>
      <c r="Z719" s="1834"/>
      <c r="AA719" s="1834"/>
      <c r="AB719" s="1834"/>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834" t="s">
        <v>2363</v>
      </c>
      <c r="F721" s="1834"/>
      <c r="G721" s="1834"/>
      <c r="H721" s="1834"/>
      <c r="I721" s="1834"/>
      <c r="J721" s="1834"/>
      <c r="K721" s="1834"/>
      <c r="L721" s="1834"/>
      <c r="M721" s="1834"/>
      <c r="N721" s="1834"/>
      <c r="O721" s="1834"/>
      <c r="P721" s="1834"/>
      <c r="Q721" s="1834"/>
      <c r="R721" s="1834"/>
      <c r="S721" s="1834"/>
      <c r="T721" s="1834"/>
      <c r="U721" s="1834"/>
      <c r="V721" s="1834"/>
      <c r="W721" s="1834"/>
      <c r="X721" s="1834"/>
      <c r="Y721" s="1834"/>
      <c r="Z721" s="1834"/>
      <c r="AA721" s="1834"/>
      <c r="AB721" s="1834"/>
      <c r="AC721" s="405"/>
      <c r="AD721" s="405"/>
      <c r="AE721" s="405"/>
      <c r="AF721" s="1914" t="s">
        <v>2316</v>
      </c>
      <c r="AG721" s="1914"/>
      <c r="AH721" s="1914"/>
      <c r="AI721" s="1914"/>
      <c r="AJ721" s="1914"/>
      <c r="AK721" s="1914"/>
      <c r="AL721" s="1914"/>
      <c r="AM721" s="418"/>
      <c r="AN721" s="540"/>
      <c r="AT721" s="12"/>
      <c r="AU721" s="12"/>
      <c r="AV721" s="12"/>
      <c r="AW721" s="12"/>
      <c r="AX721" s="12"/>
      <c r="AY721" s="12"/>
      <c r="AZ721" s="12"/>
    </row>
    <row r="722" spans="1:81" s="436" customFormat="1">
      <c r="A722" s="418"/>
      <c r="B722" s="405"/>
      <c r="C722" s="758"/>
      <c r="D722" s="405"/>
      <c r="E722" s="1834"/>
      <c r="F722" s="1834"/>
      <c r="G722" s="1834"/>
      <c r="H722" s="1834"/>
      <c r="I722" s="1834"/>
      <c r="J722" s="1834"/>
      <c r="K722" s="1834"/>
      <c r="L722" s="1834"/>
      <c r="M722" s="1834"/>
      <c r="N722" s="1834"/>
      <c r="O722" s="1834"/>
      <c r="P722" s="1834"/>
      <c r="Q722" s="1834"/>
      <c r="R722" s="1834"/>
      <c r="S722" s="1834"/>
      <c r="T722" s="1834"/>
      <c r="U722" s="1834"/>
      <c r="V722" s="1834"/>
      <c r="W722" s="1834"/>
      <c r="X722" s="1834"/>
      <c r="Y722" s="1834"/>
      <c r="Z722" s="1834"/>
      <c r="AA722" s="1834"/>
      <c r="AB722" s="1834"/>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c r="A723" s="418"/>
      <c r="B723" s="405"/>
      <c r="C723" s="758"/>
      <c r="D723" s="405"/>
      <c r="E723" s="1197"/>
      <c r="F723" s="1197"/>
      <c r="G723" s="1197"/>
      <c r="H723" s="1197"/>
      <c r="I723" s="1197"/>
      <c r="J723" s="1197"/>
      <c r="K723" s="1197"/>
      <c r="L723" s="1197"/>
      <c r="M723" s="1197"/>
      <c r="N723" s="1197"/>
      <c r="O723" s="1197"/>
      <c r="P723" s="1197"/>
      <c r="Q723" s="1197"/>
      <c r="R723" s="1197"/>
      <c r="S723" s="1197"/>
      <c r="T723" s="1197"/>
      <c r="U723" s="1197"/>
      <c r="V723" s="1197"/>
      <c r="W723" s="1197"/>
      <c r="X723" s="1197"/>
      <c r="Y723" s="1197"/>
      <c r="Z723" s="1197"/>
      <c r="AA723" s="1197"/>
      <c r="AB723" s="1197"/>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2302</v>
      </c>
      <c r="E724" s="1208"/>
      <c r="F724" s="1208"/>
      <c r="G724" s="1208"/>
      <c r="H724" s="1858" t="s">
        <v>299</v>
      </c>
      <c r="I724" s="1858"/>
      <c r="J724" s="1197"/>
      <c r="K724" s="1197"/>
      <c r="L724" s="1197"/>
      <c r="M724" s="1197"/>
      <c r="N724" s="1197"/>
      <c r="O724" s="1197"/>
      <c r="P724" s="1197"/>
      <c r="Q724" s="1197"/>
      <c r="R724" s="1197"/>
      <c r="S724" s="1197"/>
      <c r="T724" s="1197"/>
      <c r="U724" s="1197"/>
      <c r="V724" s="1197"/>
      <c r="W724" s="1197"/>
      <c r="X724" s="1197"/>
      <c r="Y724" s="1197"/>
      <c r="Z724" s="1197"/>
      <c r="AA724" s="1197"/>
      <c r="AB724" s="1197"/>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c r="A725" s="418"/>
      <c r="B725" s="405"/>
      <c r="C725" s="758"/>
      <c r="D725" s="405"/>
      <c r="E725" s="1197"/>
      <c r="F725" s="1197"/>
      <c r="G725" s="1197"/>
      <c r="H725" s="1197"/>
      <c r="I725" s="1197"/>
      <c r="J725" s="1197"/>
      <c r="K725" s="1197"/>
      <c r="L725" s="1197"/>
      <c r="M725" s="1197"/>
      <c r="N725" s="1197"/>
      <c r="O725" s="1197"/>
      <c r="P725" s="1197"/>
      <c r="Q725" s="1197"/>
      <c r="R725" s="1197"/>
      <c r="S725" s="1197"/>
      <c r="T725" s="1197"/>
      <c r="U725" s="1197"/>
      <c r="V725" s="1197"/>
      <c r="W725" s="1197"/>
      <c r="X725" s="1197"/>
      <c r="Y725" s="1197"/>
      <c r="Z725" s="1197"/>
      <c r="AA725" s="1197"/>
      <c r="AB725" s="1197"/>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2364</v>
      </c>
      <c r="AJ726" s="1841">
        <f>VLOOKUP($H$724,$AO$655:$AP$657,2,FALSE)</f>
        <v>0</v>
      </c>
      <c r="AK726" s="1843"/>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197"/>
      <c r="K727" s="1197"/>
      <c r="L727" s="1197"/>
      <c r="M727" s="1197"/>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408" t="s">
        <v>2365</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c r="A730" s="418"/>
      <c r="B730" s="405"/>
      <c r="C730" s="756"/>
      <c r="D730" s="520" t="s">
        <v>21</v>
      </c>
      <c r="E730" s="1834" t="s">
        <v>2366</v>
      </c>
      <c r="F730" s="1834"/>
      <c r="G730" s="1834"/>
      <c r="H730" s="1834"/>
      <c r="I730" s="1834"/>
      <c r="J730" s="1834"/>
      <c r="K730" s="1834"/>
      <c r="L730" s="1834"/>
      <c r="M730" s="1834"/>
      <c r="N730" s="1834"/>
      <c r="O730" s="1834"/>
      <c r="P730" s="1834"/>
      <c r="Q730" s="1834"/>
      <c r="R730" s="1834"/>
      <c r="S730" s="1834"/>
      <c r="T730" s="1834"/>
      <c r="U730" s="1834"/>
      <c r="V730" s="1834"/>
      <c r="W730" s="1834"/>
      <c r="X730" s="1834"/>
      <c r="Y730" s="1834"/>
      <c r="Z730" s="1834"/>
      <c r="AA730" s="1834"/>
      <c r="AB730" s="1834"/>
      <c r="AC730" s="405"/>
      <c r="AD730" s="405"/>
      <c r="AE730" s="405"/>
      <c r="AF730" s="1914" t="s">
        <v>2026</v>
      </c>
      <c r="AG730" s="1914"/>
      <c r="AH730" s="1914"/>
      <c r="AI730" s="1914"/>
      <c r="AJ730" s="1914"/>
      <c r="AK730" s="1914"/>
      <c r="AL730" s="1914"/>
      <c r="AM730" s="418"/>
      <c r="AN730" s="540"/>
      <c r="AT730" s="12"/>
      <c r="AU730" s="12"/>
      <c r="AV730" s="12"/>
      <c r="AW730" s="12"/>
      <c r="AX730" s="12"/>
      <c r="AY730" s="12"/>
      <c r="AZ730" s="12"/>
    </row>
    <row r="731" spans="1:81" s="436" customFormat="1">
      <c r="A731" s="418"/>
      <c r="B731" s="405"/>
      <c r="C731" s="756"/>
      <c r="D731" s="520"/>
      <c r="E731" s="1834"/>
      <c r="F731" s="1834"/>
      <c r="G731" s="1834"/>
      <c r="H731" s="1834"/>
      <c r="I731" s="1834"/>
      <c r="J731" s="1834"/>
      <c r="K731" s="1834"/>
      <c r="L731" s="1834"/>
      <c r="M731" s="1834"/>
      <c r="N731" s="1834"/>
      <c r="O731" s="1834"/>
      <c r="P731" s="1834"/>
      <c r="Q731" s="1834"/>
      <c r="R731" s="1834"/>
      <c r="S731" s="1834"/>
      <c r="T731" s="1834"/>
      <c r="U731" s="1834"/>
      <c r="V731" s="1834"/>
      <c r="W731" s="1834"/>
      <c r="X731" s="1834"/>
      <c r="Y731" s="1834"/>
      <c r="Z731" s="1834"/>
      <c r="AA731" s="1834"/>
      <c r="AB731" s="1834"/>
      <c r="AC731" s="405"/>
      <c r="AD731" s="405"/>
      <c r="AE731" s="405"/>
      <c r="AF731" s="1190"/>
      <c r="AG731" s="1190"/>
      <c r="AH731" s="1190"/>
      <c r="AI731" s="1190"/>
      <c r="AJ731" s="1190"/>
      <c r="AK731" s="1190"/>
      <c r="AL731" s="1190"/>
      <c r="AM731" s="418"/>
      <c r="AN731" s="540"/>
      <c r="AT731" s="12"/>
      <c r="AU731" s="12"/>
      <c r="AV731" s="12"/>
      <c r="AW731" s="12"/>
      <c r="AX731" s="12"/>
      <c r="AY731" s="12"/>
      <c r="AZ731" s="12"/>
    </row>
    <row r="732" spans="1:81" s="436" customFormat="1">
      <c r="A732" s="418"/>
      <c r="B732" s="405"/>
      <c r="C732" s="758"/>
      <c r="D732" s="520"/>
      <c r="E732" s="1834"/>
      <c r="F732" s="1834"/>
      <c r="G732" s="1834"/>
      <c r="H732" s="1834"/>
      <c r="I732" s="1834"/>
      <c r="J732" s="1834"/>
      <c r="K732" s="1834"/>
      <c r="L732" s="1834"/>
      <c r="M732" s="1834"/>
      <c r="N732" s="1834"/>
      <c r="O732" s="1834"/>
      <c r="P732" s="1834"/>
      <c r="Q732" s="1834"/>
      <c r="R732" s="1834"/>
      <c r="S732" s="1834"/>
      <c r="T732" s="1834"/>
      <c r="U732" s="1834"/>
      <c r="V732" s="1834"/>
      <c r="W732" s="1834"/>
      <c r="X732" s="1834"/>
      <c r="Y732" s="1834"/>
      <c r="Z732" s="1834"/>
      <c r="AA732" s="1834"/>
      <c r="AB732" s="1834"/>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834"/>
      <c r="F733" s="1834"/>
      <c r="G733" s="1834"/>
      <c r="H733" s="1834"/>
      <c r="I733" s="1834"/>
      <c r="J733" s="1834"/>
      <c r="K733" s="1834"/>
      <c r="L733" s="1834"/>
      <c r="M733" s="1834"/>
      <c r="N733" s="1834"/>
      <c r="O733" s="1834"/>
      <c r="P733" s="1834"/>
      <c r="Q733" s="1834"/>
      <c r="R733" s="1834"/>
      <c r="S733" s="1834"/>
      <c r="T733" s="1834"/>
      <c r="U733" s="1834"/>
      <c r="V733" s="1834"/>
      <c r="W733" s="1834"/>
      <c r="X733" s="1834"/>
      <c r="Y733" s="1834"/>
      <c r="Z733" s="1834"/>
      <c r="AA733" s="1834"/>
      <c r="AB733" s="1834"/>
      <c r="AC733" s="405"/>
      <c r="AD733" s="405"/>
      <c r="AE733" s="405"/>
      <c r="AF733" s="405"/>
      <c r="AG733" s="405"/>
      <c r="AH733" s="405"/>
      <c r="AI733" s="405"/>
      <c r="AJ733" s="405"/>
      <c r="AK733" s="405"/>
      <c r="AL733" s="405"/>
      <c r="AM733" s="418"/>
      <c r="AN733" s="403"/>
      <c r="AO733" s="12"/>
    </row>
    <row r="734" spans="1:81" s="436" customFormat="1">
      <c r="A734" s="1207"/>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c r="A735" s="418"/>
      <c r="B735" s="405"/>
      <c r="C735" s="756"/>
      <c r="D735" s="520" t="s">
        <v>26</v>
      </c>
      <c r="E735" s="1834" t="s">
        <v>2367</v>
      </c>
      <c r="F735" s="1834"/>
      <c r="G735" s="1834"/>
      <c r="H735" s="1834"/>
      <c r="I735" s="1834"/>
      <c r="J735" s="1834"/>
      <c r="K735" s="1834"/>
      <c r="L735" s="1834"/>
      <c r="M735" s="1834"/>
      <c r="N735" s="1834"/>
      <c r="O735" s="1834"/>
      <c r="P735" s="1834"/>
      <c r="Q735" s="1834"/>
      <c r="R735" s="1834"/>
      <c r="S735" s="1834"/>
      <c r="T735" s="1834"/>
      <c r="U735" s="1834"/>
      <c r="V735" s="1834"/>
      <c r="W735" s="1834"/>
      <c r="X735" s="1834"/>
      <c r="Y735" s="1834"/>
      <c r="Z735" s="1834"/>
      <c r="AA735" s="1834"/>
      <c r="AB735" s="440"/>
      <c r="AC735" s="405"/>
      <c r="AD735" s="405"/>
      <c r="AE735" s="405"/>
      <c r="AF735" s="1914" t="s">
        <v>2316</v>
      </c>
      <c r="AG735" s="1914"/>
      <c r="AH735" s="1914"/>
      <c r="AI735" s="1914"/>
      <c r="AJ735" s="1914"/>
      <c r="AK735" s="1914"/>
      <c r="AL735" s="1914"/>
      <c r="AM735" s="418"/>
      <c r="AN735" s="540"/>
      <c r="AO735" s="24"/>
      <c r="AP735" s="12"/>
    </row>
    <row r="736" spans="1:81" s="436" customFormat="1">
      <c r="A736" s="418"/>
      <c r="B736" s="405"/>
      <c r="C736" s="756"/>
      <c r="D736" s="520"/>
      <c r="E736" s="1834"/>
      <c r="F736" s="1834"/>
      <c r="G736" s="1834"/>
      <c r="H736" s="1834"/>
      <c r="I736" s="1834"/>
      <c r="J736" s="1834"/>
      <c r="K736" s="1834"/>
      <c r="L736" s="1834"/>
      <c r="M736" s="1834"/>
      <c r="N736" s="1834"/>
      <c r="O736" s="1834"/>
      <c r="P736" s="1834"/>
      <c r="Q736" s="1834"/>
      <c r="R736" s="1834"/>
      <c r="S736" s="1834"/>
      <c r="T736" s="1834"/>
      <c r="U736" s="1834"/>
      <c r="V736" s="1834"/>
      <c r="W736" s="1834"/>
      <c r="X736" s="1834"/>
      <c r="Y736" s="1834"/>
      <c r="Z736" s="1834"/>
      <c r="AA736" s="1834"/>
      <c r="AB736" s="440"/>
      <c r="AC736" s="405"/>
      <c r="AD736" s="405"/>
      <c r="AE736" s="405"/>
      <c r="AF736" s="1190"/>
      <c r="AG736" s="1190"/>
      <c r="AH736" s="1190"/>
      <c r="AI736" s="1190"/>
      <c r="AJ736" s="1190"/>
      <c r="AK736" s="1190"/>
      <c r="AL736" s="1190"/>
      <c r="AM736" s="418"/>
      <c r="AN736" s="540"/>
      <c r="AO736" s="24"/>
      <c r="AP736" s="12"/>
    </row>
    <row r="737" spans="1:74" s="436" customFormat="1">
      <c r="A737" s="418"/>
      <c r="B737" s="405"/>
      <c r="C737" s="756"/>
      <c r="D737" s="405"/>
      <c r="E737" s="1834"/>
      <c r="F737" s="1834"/>
      <c r="G737" s="1834"/>
      <c r="H737" s="1834"/>
      <c r="I737" s="1834"/>
      <c r="J737" s="1834"/>
      <c r="K737" s="1834"/>
      <c r="L737" s="1834"/>
      <c r="M737" s="1834"/>
      <c r="N737" s="1834"/>
      <c r="O737" s="1834"/>
      <c r="P737" s="1834"/>
      <c r="Q737" s="1834"/>
      <c r="R737" s="1834"/>
      <c r="S737" s="1834"/>
      <c r="T737" s="1834"/>
      <c r="U737" s="1834"/>
      <c r="V737" s="1834"/>
      <c r="W737" s="1834"/>
      <c r="X737" s="1834"/>
      <c r="Y737" s="1834"/>
      <c r="Z737" s="1834"/>
      <c r="AA737" s="1834"/>
      <c r="AB737" s="440"/>
      <c r="AC737" s="1190"/>
      <c r="AD737" s="1190"/>
      <c r="AE737" s="1190"/>
      <c r="AF737" s="1190"/>
      <c r="AG737" s="1190"/>
      <c r="AH737" s="1190"/>
      <c r="AI737" s="1190"/>
      <c r="AJ737" s="405"/>
      <c r="AK737" s="405"/>
      <c r="AL737" s="405"/>
      <c r="AM737" s="418"/>
      <c r="AN737" s="540"/>
      <c r="AO737" s="24"/>
      <c r="AP737" s="12"/>
    </row>
    <row r="738" spans="1:74" s="436" customFormat="1">
      <c r="A738" s="418"/>
      <c r="B738" s="405"/>
      <c r="C738" s="756"/>
      <c r="D738" s="405"/>
      <c r="E738" s="1834"/>
      <c r="F738" s="1834"/>
      <c r="G738" s="1834"/>
      <c r="H738" s="1834"/>
      <c r="I738" s="1834"/>
      <c r="J738" s="1834"/>
      <c r="K738" s="1834"/>
      <c r="L738" s="1834"/>
      <c r="M738" s="1834"/>
      <c r="N738" s="1834"/>
      <c r="O738" s="1834"/>
      <c r="P738" s="1834"/>
      <c r="Q738" s="1834"/>
      <c r="R738" s="1834"/>
      <c r="S738" s="1834"/>
      <c r="T738" s="1834"/>
      <c r="U738" s="1834"/>
      <c r="V738" s="1834"/>
      <c r="W738" s="1834"/>
      <c r="X738" s="1834"/>
      <c r="Y738" s="1834"/>
      <c r="Z738" s="1834"/>
      <c r="AA738" s="1834"/>
      <c r="AB738" s="440"/>
      <c r="AC738" s="1190"/>
      <c r="AD738" s="1190"/>
      <c r="AE738" s="1190"/>
      <c r="AF738" s="1190"/>
      <c r="AG738" s="1190"/>
      <c r="AH738" s="1190"/>
      <c r="AI738" s="1190"/>
      <c r="AJ738" s="405"/>
      <c r="AK738" s="405"/>
      <c r="AL738" s="405"/>
      <c r="AM738" s="418"/>
      <c r="AN738" s="540"/>
      <c r="AO738" s="24"/>
      <c r="AP738" s="12"/>
    </row>
    <row r="739" spans="1:74" s="436" customFormat="1">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90"/>
      <c r="AD739" s="1190"/>
      <c r="AE739" s="1190"/>
      <c r="AF739" s="1190"/>
      <c r="AG739" s="1190"/>
      <c r="AH739" s="1190"/>
      <c r="AI739" s="1190"/>
      <c r="AJ739" s="405"/>
      <c r="AK739" s="405"/>
      <c r="AL739" s="405"/>
      <c r="AM739" s="418"/>
      <c r="AN739" s="540"/>
    </row>
    <row r="740" spans="1:74" s="436" customFormat="1" ht="12.75" customHeight="1">
      <c r="A740" s="418"/>
      <c r="B740" s="405"/>
      <c r="C740" s="756"/>
      <c r="D740" s="405" t="s">
        <v>2302</v>
      </c>
      <c r="E740" s="1208"/>
      <c r="F740" s="1208"/>
      <c r="G740" s="1208"/>
      <c r="H740" s="1858" t="s">
        <v>299</v>
      </c>
      <c r="I740" s="1858"/>
      <c r="J740" s="501"/>
      <c r="K740" s="501"/>
      <c r="L740" s="501"/>
      <c r="M740" s="501"/>
      <c r="N740" s="501"/>
      <c r="O740" s="501"/>
      <c r="P740" s="501"/>
      <c r="Q740" s="501"/>
      <c r="R740" s="501"/>
      <c r="S740" s="501"/>
      <c r="T740" s="501"/>
      <c r="U740" s="501"/>
      <c r="V740" s="501"/>
      <c r="W740" s="501"/>
      <c r="X740" s="501"/>
      <c r="Y740" s="501"/>
      <c r="Z740" s="501"/>
      <c r="AA740" s="501"/>
      <c r="AB740" s="501"/>
      <c r="AC740" s="1190"/>
      <c r="AD740" s="1190"/>
      <c r="AE740" s="1190"/>
      <c r="AF740" s="1190"/>
      <c r="AG740" s="1190"/>
      <c r="AH740" s="1190"/>
      <c r="AI740" s="1190"/>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90"/>
      <c r="AD741" s="1190"/>
      <c r="AE741" s="1190"/>
      <c r="AF741" s="1190"/>
      <c r="AG741" s="1190"/>
      <c r="AH741" s="1190"/>
      <c r="AI741" s="1190"/>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2368</v>
      </c>
      <c r="AJ742" s="1841">
        <f>VLOOKUP($H$740,$AO$669:$AP$671,2,FALSE)</f>
        <v>0</v>
      </c>
      <c r="AK742" s="1843"/>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197"/>
      <c r="M743" s="1197"/>
      <c r="N743" s="1197"/>
      <c r="O743" s="1197"/>
      <c r="P743" s="1197"/>
      <c r="Q743" s="1197"/>
      <c r="R743" s="1197"/>
      <c r="S743" s="1197"/>
      <c r="T743" s="1197"/>
      <c r="U743" s="1197"/>
      <c r="V743" s="476"/>
      <c r="W743" s="476"/>
      <c r="X743" s="476"/>
      <c r="Y743" s="476"/>
      <c r="Z743" s="1208"/>
      <c r="AA743" s="1208"/>
      <c r="AB743" s="1208"/>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c r="A744" s="418"/>
      <c r="B744" s="405"/>
      <c r="C744" s="408" t="s">
        <v>2357</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c r="A746" s="418"/>
      <c r="B746" s="405"/>
      <c r="C746" s="756"/>
      <c r="D746" s="520" t="s">
        <v>21</v>
      </c>
      <c r="E746" s="1834" t="s">
        <v>2369</v>
      </c>
      <c r="F746" s="1834"/>
      <c r="G746" s="1834"/>
      <c r="H746" s="1834"/>
      <c r="I746" s="1834"/>
      <c r="J746" s="1834"/>
      <c r="K746" s="1834"/>
      <c r="L746" s="1834"/>
      <c r="M746" s="1834"/>
      <c r="N746" s="1834"/>
      <c r="O746" s="1834"/>
      <c r="P746" s="1834"/>
      <c r="Q746" s="1834"/>
      <c r="R746" s="1834"/>
      <c r="S746" s="1834"/>
      <c r="T746" s="1834"/>
      <c r="U746" s="1834"/>
      <c r="V746" s="1834"/>
      <c r="W746" s="1834"/>
      <c r="X746" s="1834"/>
      <c r="Y746" s="1834"/>
      <c r="Z746" s="1834"/>
      <c r="AA746" s="1834"/>
      <c r="AB746" s="1834"/>
      <c r="AC746" s="405"/>
      <c r="AD746" s="405"/>
      <c r="AE746" s="405"/>
      <c r="AF746" s="1914" t="s">
        <v>2316</v>
      </c>
      <c r="AG746" s="1914"/>
      <c r="AH746" s="1914"/>
      <c r="AI746" s="1914"/>
      <c r="AJ746" s="1914"/>
      <c r="AK746" s="1914"/>
      <c r="AL746" s="1914"/>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c r="A747" s="418"/>
      <c r="B747" s="405"/>
      <c r="C747" s="758"/>
      <c r="D747" s="520"/>
      <c r="E747" s="1834"/>
      <c r="F747" s="1834"/>
      <c r="G747" s="1834"/>
      <c r="H747" s="1834"/>
      <c r="I747" s="1834"/>
      <c r="J747" s="1834"/>
      <c r="K747" s="1834"/>
      <c r="L747" s="1834"/>
      <c r="M747" s="1834"/>
      <c r="N747" s="1834"/>
      <c r="O747" s="1834"/>
      <c r="P747" s="1834"/>
      <c r="Q747" s="1834"/>
      <c r="R747" s="1834"/>
      <c r="S747" s="1834"/>
      <c r="T747" s="1834"/>
      <c r="U747" s="1834"/>
      <c r="V747" s="1834"/>
      <c r="W747" s="1834"/>
      <c r="X747" s="1834"/>
      <c r="Y747" s="1834"/>
      <c r="Z747" s="1834"/>
      <c r="AA747" s="1834"/>
      <c r="AB747" s="1834"/>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c r="A749" s="497"/>
      <c r="B749" s="405"/>
      <c r="C749" s="756"/>
      <c r="D749" s="520" t="s">
        <v>26</v>
      </c>
      <c r="E749" s="1834" t="s">
        <v>2370</v>
      </c>
      <c r="F749" s="1834"/>
      <c r="G749" s="1834"/>
      <c r="H749" s="1834"/>
      <c r="I749" s="1834"/>
      <c r="J749" s="1834"/>
      <c r="K749" s="1834"/>
      <c r="L749" s="1834"/>
      <c r="M749" s="1834"/>
      <c r="N749" s="1834"/>
      <c r="O749" s="1834"/>
      <c r="P749" s="1834"/>
      <c r="Q749" s="1834"/>
      <c r="R749" s="1834"/>
      <c r="S749" s="1834"/>
      <c r="T749" s="1834"/>
      <c r="U749" s="1834"/>
      <c r="V749" s="1834"/>
      <c r="W749" s="1834"/>
      <c r="X749" s="1834"/>
      <c r="Y749" s="1834"/>
      <c r="Z749" s="1834"/>
      <c r="AA749" s="1834"/>
      <c r="AB749" s="1834"/>
      <c r="AC749" s="405"/>
      <c r="AD749" s="405"/>
      <c r="AE749" s="405"/>
      <c r="AF749" s="1914" t="s">
        <v>2334</v>
      </c>
      <c r="AG749" s="1914"/>
      <c r="AH749" s="1914"/>
      <c r="AI749" s="1914"/>
      <c r="AJ749" s="1914"/>
      <c r="AK749" s="1914"/>
      <c r="AL749" s="1914"/>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834"/>
      <c r="F750" s="1834"/>
      <c r="G750" s="1834"/>
      <c r="H750" s="1834"/>
      <c r="I750" s="1834"/>
      <c r="J750" s="1834"/>
      <c r="K750" s="1834"/>
      <c r="L750" s="1834"/>
      <c r="M750" s="1834"/>
      <c r="N750" s="1834"/>
      <c r="O750" s="1834"/>
      <c r="P750" s="1834"/>
      <c r="Q750" s="1834"/>
      <c r="R750" s="1834"/>
      <c r="S750" s="1834"/>
      <c r="T750" s="1834"/>
      <c r="U750" s="1834"/>
      <c r="V750" s="1834"/>
      <c r="W750" s="1834"/>
      <c r="X750" s="1834"/>
      <c r="Y750" s="1834"/>
      <c r="Z750" s="1834"/>
      <c r="AA750" s="1834"/>
      <c r="AB750" s="1834"/>
      <c r="AC750" s="405"/>
      <c r="AD750" s="405"/>
      <c r="AE750" s="1190"/>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c r="A751" s="418"/>
      <c r="B751" s="405"/>
      <c r="C751" s="758"/>
      <c r="D751" s="405"/>
      <c r="E751" s="1197"/>
      <c r="F751" s="1197"/>
      <c r="G751" s="1197"/>
      <c r="H751" s="1197"/>
      <c r="I751" s="1197"/>
      <c r="J751" s="1197"/>
      <c r="K751" s="1197"/>
      <c r="L751" s="1197"/>
      <c r="M751" s="1197"/>
      <c r="N751" s="1197"/>
      <c r="O751" s="1197"/>
      <c r="P751" s="1197"/>
      <c r="Q751" s="1197"/>
      <c r="R751" s="1197"/>
      <c r="S751" s="1197"/>
      <c r="T751" s="1197"/>
      <c r="U751" s="1197"/>
      <c r="V751" s="1197"/>
      <c r="W751" s="1197"/>
      <c r="X751" s="1197"/>
      <c r="Y751" s="1197"/>
      <c r="Z751" s="1197"/>
      <c r="AA751" s="1197"/>
      <c r="AB751" s="1197"/>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2302</v>
      </c>
      <c r="E752" s="1208"/>
      <c r="F752" s="1208"/>
      <c r="G752" s="1208"/>
      <c r="H752" s="1858" t="s">
        <v>21</v>
      </c>
      <c r="I752" s="1858"/>
      <c r="J752" s="1197"/>
      <c r="K752" s="1197"/>
      <c r="L752" s="1197"/>
      <c r="M752" s="1197"/>
      <c r="N752" s="1197"/>
      <c r="O752" s="1197"/>
      <c r="P752" s="1197"/>
      <c r="Q752" s="405"/>
      <c r="R752" s="405"/>
      <c r="S752" s="405"/>
      <c r="T752" s="405"/>
      <c r="U752" s="405"/>
      <c r="V752" s="405"/>
      <c r="W752" s="1197"/>
      <c r="X752" s="1197"/>
      <c r="Y752" s="1197"/>
      <c r="Z752" s="1197"/>
      <c r="AA752" s="1197"/>
      <c r="AB752" s="1197"/>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4"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2371</v>
      </c>
      <c r="AJ754" s="1841">
        <f>VLOOKUP($H$752,$AO$686:$AP$688,2,FALSE)</f>
        <v>2</v>
      </c>
      <c r="AK754" s="1843"/>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84"/>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c r="A756" s="418"/>
      <c r="B756" s="476"/>
      <c r="C756" s="408" t="s">
        <v>2358</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84"/>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84"/>
      <c r="AJ757" s="457"/>
      <c r="AK757" s="457"/>
      <c r="AL757" s="457"/>
      <c r="AM757" s="418"/>
      <c r="AN757" s="540"/>
    </row>
    <row r="758" spans="1:74" s="436" customFormat="1" ht="13.75" customHeight="1">
      <c r="A758" s="418"/>
      <c r="B758" s="476"/>
      <c r="C758" s="764"/>
      <c r="D758" s="520" t="s">
        <v>21</v>
      </c>
      <c r="E758" s="1834" t="s">
        <v>2372</v>
      </c>
      <c r="F758" s="1834"/>
      <c r="G758" s="1834"/>
      <c r="H758" s="1834"/>
      <c r="I758" s="1834"/>
      <c r="J758" s="1834"/>
      <c r="K758" s="1834"/>
      <c r="L758" s="1834"/>
      <c r="M758" s="1834"/>
      <c r="N758" s="1834"/>
      <c r="O758" s="1834"/>
      <c r="P758" s="1834"/>
      <c r="Q758" s="1834"/>
      <c r="R758" s="1834"/>
      <c r="S758" s="1834"/>
      <c r="T758" s="1834"/>
      <c r="U758" s="1834"/>
      <c r="V758" s="1834"/>
      <c r="W758" s="1834"/>
      <c r="X758" s="1834"/>
      <c r="Y758" s="1834"/>
      <c r="Z758" s="1834"/>
      <c r="AA758" s="1834"/>
      <c r="AB758" s="1834"/>
      <c r="AC758" s="1834"/>
      <c r="AD758" s="1834"/>
      <c r="AE758" s="405"/>
      <c r="AF758" s="1914" t="s">
        <v>2316</v>
      </c>
      <c r="AG758" s="1914"/>
      <c r="AH758" s="1914"/>
      <c r="AI758" s="1914"/>
      <c r="AJ758" s="1914"/>
      <c r="AK758" s="1914"/>
      <c r="AL758" s="1914"/>
      <c r="AM758" s="474"/>
      <c r="AN758" s="540"/>
      <c r="AO758" s="418" t="s">
        <v>299</v>
      </c>
      <c r="AP758" s="530">
        <v>0</v>
      </c>
    </row>
    <row r="759" spans="1:74" s="436" customFormat="1" ht="13.75" customHeight="1">
      <c r="A759" s="418"/>
      <c r="B759" s="476"/>
      <c r="C759" s="764"/>
      <c r="D759" s="520"/>
      <c r="E759" s="1834"/>
      <c r="F759" s="1834"/>
      <c r="G759" s="1834"/>
      <c r="H759" s="1834"/>
      <c r="I759" s="1834"/>
      <c r="J759" s="1834"/>
      <c r="K759" s="1834"/>
      <c r="L759" s="1834"/>
      <c r="M759" s="1834"/>
      <c r="N759" s="1834"/>
      <c r="O759" s="1834"/>
      <c r="P759" s="1834"/>
      <c r="Q759" s="1834"/>
      <c r="R759" s="1834"/>
      <c r="S759" s="1834"/>
      <c r="T759" s="1834"/>
      <c r="U759" s="1834"/>
      <c r="V759" s="1834"/>
      <c r="W759" s="1834"/>
      <c r="X759" s="1834"/>
      <c r="Y759" s="1834"/>
      <c r="Z759" s="1834"/>
      <c r="AA759" s="1834"/>
      <c r="AB759" s="1834"/>
      <c r="AC759" s="1834"/>
      <c r="AD759" s="1834"/>
      <c r="AE759" s="405"/>
      <c r="AF759" s="1190"/>
      <c r="AG759" s="1190"/>
      <c r="AH759" s="1190"/>
      <c r="AI759" s="1190"/>
      <c r="AJ759" s="1190"/>
      <c r="AK759" s="1190"/>
      <c r="AL759" s="1190"/>
      <c r="AM759" s="474"/>
      <c r="AN759" s="540"/>
      <c r="AO759" s="472" t="s">
        <v>21</v>
      </c>
      <c r="AP759" s="418">
        <v>2</v>
      </c>
    </row>
    <row r="760" spans="1:74" s="436" customFormat="1">
      <c r="A760" s="418"/>
      <c r="B760" s="476"/>
      <c r="C760" s="764"/>
      <c r="D760" s="520"/>
      <c r="E760" s="1834"/>
      <c r="F760" s="1834"/>
      <c r="G760" s="1834"/>
      <c r="H760" s="1834"/>
      <c r="I760" s="1834"/>
      <c r="J760" s="1834"/>
      <c r="K760" s="1834"/>
      <c r="L760" s="1834"/>
      <c r="M760" s="1834"/>
      <c r="N760" s="1834"/>
      <c r="O760" s="1834"/>
      <c r="P760" s="1834"/>
      <c r="Q760" s="1834"/>
      <c r="R760" s="1834"/>
      <c r="S760" s="1834"/>
      <c r="T760" s="1834"/>
      <c r="U760" s="1834"/>
      <c r="V760" s="1834"/>
      <c r="W760" s="1834"/>
      <c r="X760" s="1834"/>
      <c r="Y760" s="1834"/>
      <c r="Z760" s="1834"/>
      <c r="AA760" s="1834"/>
      <c r="AB760" s="1834"/>
      <c r="AC760" s="1834"/>
      <c r="AD760" s="1834"/>
      <c r="AE760" s="405"/>
      <c r="AF760" s="405"/>
      <c r="AG760" s="405"/>
      <c r="AH760" s="405"/>
      <c r="AI760" s="405"/>
      <c r="AJ760" s="405"/>
      <c r="AK760" s="405"/>
      <c r="AL760" s="1190"/>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5" customHeight="1">
      <c r="A761" s="418"/>
      <c r="B761" s="476"/>
      <c r="C761" s="764"/>
      <c r="D761" s="520"/>
      <c r="E761" s="1834"/>
      <c r="F761" s="1834"/>
      <c r="G761" s="1834"/>
      <c r="H761" s="1834"/>
      <c r="I761" s="1834"/>
      <c r="J761" s="1834"/>
      <c r="K761" s="1834"/>
      <c r="L761" s="1834"/>
      <c r="M761" s="1834"/>
      <c r="N761" s="1834"/>
      <c r="O761" s="1834"/>
      <c r="P761" s="1834"/>
      <c r="Q761" s="1834"/>
      <c r="R761" s="1834"/>
      <c r="S761" s="1834"/>
      <c r="T761" s="1834"/>
      <c r="U761" s="1834"/>
      <c r="V761" s="1834"/>
      <c r="W761" s="1834"/>
      <c r="X761" s="1834"/>
      <c r="Y761" s="1834"/>
      <c r="Z761" s="1834"/>
      <c r="AA761" s="1834"/>
      <c r="AB761" s="1834"/>
      <c r="AC761" s="1834"/>
      <c r="AD761" s="1834"/>
      <c r="AE761" s="1190"/>
      <c r="AF761" s="1190"/>
      <c r="AG761" s="1190"/>
      <c r="AH761" s="1190"/>
      <c r="AI761" s="1190"/>
      <c r="AJ761" s="1190"/>
      <c r="AK761" s="1190"/>
      <c r="AL761" s="1190"/>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183"/>
      <c r="F762" s="1183"/>
      <c r="G762" s="1183"/>
      <c r="H762" s="1183"/>
      <c r="I762" s="1183"/>
      <c r="J762" s="1183"/>
      <c r="K762" s="1183"/>
      <c r="L762" s="1183"/>
      <c r="M762" s="1183"/>
      <c r="N762" s="1183"/>
      <c r="O762" s="1183"/>
      <c r="P762" s="1183"/>
      <c r="Q762" s="1183"/>
      <c r="R762" s="1183"/>
      <c r="S762" s="1183"/>
      <c r="T762" s="1183"/>
      <c r="U762" s="1183"/>
      <c r="V762" s="1183"/>
      <c r="W762" s="1183"/>
      <c r="X762" s="1183"/>
      <c r="Y762" s="1183"/>
      <c r="Z762" s="1183"/>
      <c r="AA762" s="1183"/>
      <c r="AB762" s="1183"/>
      <c r="AC762" s="1183"/>
      <c r="AD762" s="1183"/>
      <c r="AE762" s="1190"/>
      <c r="AF762" s="405"/>
      <c r="AG762" s="405"/>
      <c r="AH762" s="405"/>
      <c r="AI762" s="405"/>
      <c r="AJ762" s="405"/>
      <c r="AK762" s="405"/>
      <c r="AL762" s="405"/>
      <c r="AM762" s="474"/>
      <c r="AN762" s="459"/>
    </row>
    <row r="763" spans="1:74" s="418" customFormat="1" ht="12.75" customHeight="1">
      <c r="B763" s="476"/>
      <c r="C763" s="764"/>
      <c r="D763" s="520" t="s">
        <v>26</v>
      </c>
      <c r="E763" s="1946" t="s">
        <v>2373</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05"/>
      <c r="AF763" s="1914" t="s">
        <v>2026</v>
      </c>
      <c r="AG763" s="1914"/>
      <c r="AH763" s="1914"/>
      <c r="AI763" s="1914"/>
      <c r="AJ763" s="1914"/>
      <c r="AK763" s="1914"/>
      <c r="AL763" s="1914"/>
      <c r="AM763" s="474"/>
      <c r="AN763" s="459"/>
    </row>
    <row r="764" spans="1:74" s="418" customFormat="1" ht="12.75" customHeight="1">
      <c r="B764" s="476"/>
      <c r="C764" s="764"/>
      <c r="D764" s="520"/>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1190"/>
      <c r="AF764" s="1190"/>
      <c r="AG764" s="1190"/>
      <c r="AH764" s="1190"/>
      <c r="AI764" s="1190"/>
      <c r="AJ764" s="1190"/>
      <c r="AK764" s="1190"/>
      <c r="AL764" s="1190"/>
      <c r="AM764" s="474"/>
      <c r="AN764" s="459"/>
    </row>
    <row r="765" spans="1:74" s="418" customFormat="1" ht="12.75" customHeight="1">
      <c r="B765" s="476"/>
      <c r="C765" s="764"/>
      <c r="D765" s="520"/>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1190"/>
      <c r="AF765" s="1190"/>
      <c r="AG765" s="1190"/>
      <c r="AH765" s="1190"/>
      <c r="AI765" s="1190"/>
      <c r="AJ765" s="1190"/>
      <c r="AK765" s="1190"/>
      <c r="AL765" s="1190"/>
      <c r="AM765" s="474"/>
      <c r="AN765" s="459"/>
    </row>
    <row r="766" spans="1:74" s="418" customFormat="1" ht="12.75" customHeight="1">
      <c r="B766" s="476"/>
      <c r="C766" s="764"/>
      <c r="D766" s="520"/>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1190"/>
      <c r="AF766" s="1190"/>
      <c r="AG766" s="1190"/>
      <c r="AH766" s="1190"/>
      <c r="AI766" s="1190"/>
      <c r="AJ766" s="1190"/>
      <c r="AK766" s="1190"/>
      <c r="AL766" s="1190"/>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2302</v>
      </c>
      <c r="E768" s="1208"/>
      <c r="F768" s="1208"/>
      <c r="G768" s="1208"/>
      <c r="H768" s="1858" t="s">
        <v>299</v>
      </c>
      <c r="I768" s="1858"/>
      <c r="J768" s="1197"/>
      <c r="K768" s="1197"/>
      <c r="L768" s="1197"/>
      <c r="M768" s="1197"/>
      <c r="N768" s="1197"/>
      <c r="O768" s="1197"/>
      <c r="P768" s="1197"/>
      <c r="Q768" s="1197"/>
      <c r="R768" s="1197"/>
      <c r="S768" s="1197"/>
      <c r="T768" s="1197"/>
      <c r="U768" s="1197"/>
      <c r="V768" s="1197"/>
      <c r="W768" s="1197"/>
      <c r="X768" s="1197"/>
      <c r="Y768" s="1197"/>
      <c r="Z768" s="1197"/>
      <c r="AA768" s="1197"/>
      <c r="AB768" s="1197"/>
      <c r="AC768" s="1197"/>
      <c r="AD768" s="1197"/>
      <c r="AE768" s="1197"/>
      <c r="AF768" s="1197"/>
      <c r="AG768" s="476"/>
      <c r="AH768" s="405"/>
      <c r="AI768" s="1184"/>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84"/>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2374</v>
      </c>
      <c r="AJ770" s="1841">
        <f>VLOOKUP($H$768,$AO$758:$AP$760,2,FALSE)</f>
        <v>0</v>
      </c>
      <c r="AK770" s="1843"/>
      <c r="AL770" s="457"/>
      <c r="AN770" s="459"/>
    </row>
    <row r="771" spans="1:81" s="436" customFormat="1">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84"/>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c r="A772" s="418"/>
      <c r="B772" s="476"/>
      <c r="C772" s="408" t="s">
        <v>2375</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84"/>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75" customHeight="1">
      <c r="A774" s="418"/>
      <c r="B774" s="476"/>
      <c r="C774" s="764"/>
      <c r="D774" s="520" t="s">
        <v>21</v>
      </c>
      <c r="E774" s="1834" t="s">
        <v>2376</v>
      </c>
      <c r="F774" s="1834"/>
      <c r="G774" s="1834"/>
      <c r="H774" s="1834"/>
      <c r="I774" s="1834"/>
      <c r="J774" s="1834"/>
      <c r="K774" s="1834"/>
      <c r="L774" s="1834"/>
      <c r="M774" s="1834"/>
      <c r="N774" s="1834"/>
      <c r="O774" s="1834"/>
      <c r="P774" s="1834"/>
      <c r="Q774" s="1834"/>
      <c r="R774" s="1834"/>
      <c r="S774" s="1834"/>
      <c r="T774" s="1834"/>
      <c r="U774" s="1834"/>
      <c r="V774" s="1834"/>
      <c r="W774" s="1834"/>
      <c r="X774" s="1834"/>
      <c r="Y774" s="1834"/>
      <c r="Z774" s="1834"/>
      <c r="AA774" s="1834"/>
      <c r="AB774" s="1834"/>
      <c r="AC774" s="1834"/>
      <c r="AD774" s="1834"/>
      <c r="AE774" s="405"/>
      <c r="AF774" s="1914" t="s">
        <v>2026</v>
      </c>
      <c r="AG774" s="1914"/>
      <c r="AH774" s="1914"/>
      <c r="AI774" s="1914"/>
      <c r="AJ774" s="1914"/>
      <c r="AK774" s="1914"/>
      <c r="AL774" s="1914"/>
      <c r="AM774" s="474"/>
      <c r="AN774" s="540"/>
      <c r="AO774" s="472" t="s">
        <v>837</v>
      </c>
      <c r="AP774" s="418">
        <v>3</v>
      </c>
      <c r="AT774" s="531"/>
      <c r="AU774" s="531"/>
      <c r="AV774" s="531"/>
      <c r="AW774" s="531"/>
      <c r="AX774" s="531"/>
      <c r="AY774" s="531"/>
      <c r="AZ774" s="531"/>
    </row>
    <row r="775" spans="1:81" s="436" customFormat="1" ht="13.75" customHeight="1">
      <c r="A775" s="418"/>
      <c r="B775" s="476"/>
      <c r="C775" s="764"/>
      <c r="D775" s="520"/>
      <c r="E775" s="1834"/>
      <c r="F775" s="1834"/>
      <c r="G775" s="1834"/>
      <c r="H775" s="1834"/>
      <c r="I775" s="1834"/>
      <c r="J775" s="1834"/>
      <c r="K775" s="1834"/>
      <c r="L775" s="1834"/>
      <c r="M775" s="1834"/>
      <c r="N775" s="1834"/>
      <c r="O775" s="1834"/>
      <c r="P775" s="1834"/>
      <c r="Q775" s="1834"/>
      <c r="R775" s="1834"/>
      <c r="S775" s="1834"/>
      <c r="T775" s="1834"/>
      <c r="U775" s="1834"/>
      <c r="V775" s="1834"/>
      <c r="W775" s="1834"/>
      <c r="X775" s="1834"/>
      <c r="Y775" s="1834"/>
      <c r="Z775" s="1834"/>
      <c r="AA775" s="1834"/>
      <c r="AB775" s="1834"/>
      <c r="AC775" s="1834"/>
      <c r="AD775" s="1834"/>
      <c r="AE775" s="405"/>
      <c r="AF775" s="1190"/>
      <c r="AG775" s="1190"/>
      <c r="AH775" s="1190"/>
      <c r="AI775" s="1190"/>
      <c r="AJ775" s="1190"/>
      <c r="AK775" s="1190"/>
      <c r="AL775" s="1190"/>
      <c r="AM775" s="474"/>
      <c r="AN775" s="540"/>
      <c r="AO775" s="472"/>
      <c r="AP775" s="418"/>
      <c r="AT775" s="531"/>
      <c r="AU775" s="531"/>
      <c r="AV775" s="531"/>
      <c r="AW775" s="531"/>
      <c r="AX775" s="531"/>
      <c r="AY775" s="531"/>
      <c r="AZ775" s="531"/>
    </row>
    <row r="776" spans="1:81" s="436" customFormat="1">
      <c r="A776" s="418"/>
      <c r="B776" s="476"/>
      <c r="C776" s="764"/>
      <c r="D776" s="520"/>
      <c r="E776" s="1834"/>
      <c r="F776" s="1834"/>
      <c r="G776" s="1834"/>
      <c r="H776" s="1834"/>
      <c r="I776" s="1834"/>
      <c r="J776" s="1834"/>
      <c r="K776" s="1834"/>
      <c r="L776" s="1834"/>
      <c r="M776" s="1834"/>
      <c r="N776" s="1834"/>
      <c r="O776" s="1834"/>
      <c r="P776" s="1834"/>
      <c r="Q776" s="1834"/>
      <c r="R776" s="1834"/>
      <c r="S776" s="1834"/>
      <c r="T776" s="1834"/>
      <c r="U776" s="1834"/>
      <c r="V776" s="1834"/>
      <c r="W776" s="1834"/>
      <c r="X776" s="1834"/>
      <c r="Y776" s="1834"/>
      <c r="Z776" s="1834"/>
      <c r="AA776" s="1834"/>
      <c r="AB776" s="1834"/>
      <c r="AC776" s="1834"/>
      <c r="AD776" s="1834"/>
      <c r="AE776" s="1190"/>
      <c r="AF776" s="1190"/>
      <c r="AG776" s="1190"/>
      <c r="AH776" s="1190"/>
      <c r="AI776" s="1190"/>
      <c r="AJ776" s="1190"/>
      <c r="AK776" s="1190"/>
      <c r="AL776" s="1190"/>
      <c r="AM776" s="474"/>
      <c r="AN776" s="540"/>
      <c r="AO776" s="472"/>
      <c r="AP776" s="418"/>
      <c r="AT776" s="531"/>
      <c r="AU776" s="531"/>
      <c r="AV776" s="531"/>
      <c r="AW776" s="531"/>
      <c r="AX776" s="531"/>
      <c r="AY776" s="531"/>
      <c r="AZ776" s="531"/>
    </row>
    <row r="777" spans="1:81" s="436" customFormat="1">
      <c r="A777" s="418"/>
      <c r="B777" s="476"/>
      <c r="C777" s="764"/>
      <c r="D777" s="520"/>
      <c r="E777" s="1834"/>
      <c r="F777" s="1834"/>
      <c r="G777" s="1834"/>
      <c r="H777" s="1834"/>
      <c r="I777" s="1834"/>
      <c r="J777" s="1834"/>
      <c r="K777" s="1834"/>
      <c r="L777" s="1834"/>
      <c r="M777" s="1834"/>
      <c r="N777" s="1834"/>
      <c r="O777" s="1834"/>
      <c r="P777" s="1834"/>
      <c r="Q777" s="1834"/>
      <c r="R777" s="1834"/>
      <c r="S777" s="1834"/>
      <c r="T777" s="1834"/>
      <c r="U777" s="1834"/>
      <c r="V777" s="1834"/>
      <c r="W777" s="1834"/>
      <c r="X777" s="1834"/>
      <c r="Y777" s="1834"/>
      <c r="Z777" s="1834"/>
      <c r="AA777" s="1834"/>
      <c r="AB777" s="1834"/>
      <c r="AC777" s="1834"/>
      <c r="AD777" s="1834"/>
      <c r="AE777" s="1190"/>
      <c r="AF777" s="1190"/>
      <c r="AG777" s="1190"/>
      <c r="AH777" s="1190"/>
      <c r="AI777" s="1190"/>
      <c r="AJ777" s="1190"/>
      <c r="AK777" s="1190"/>
      <c r="AL777" s="1190"/>
      <c r="AM777" s="474"/>
      <c r="AN777" s="540"/>
      <c r="AO777" s="547"/>
      <c r="AT777" s="531"/>
      <c r="AU777" s="531"/>
      <c r="AV777" s="531"/>
      <c r="AW777" s="531"/>
      <c r="AX777" s="531"/>
      <c r="AY777" s="531"/>
      <c r="AZ777" s="531"/>
    </row>
    <row r="778" spans="1:81" s="436" customFormat="1">
      <c r="A778" s="418"/>
      <c r="B778" s="476"/>
      <c r="C778" s="764"/>
      <c r="D778" s="520"/>
      <c r="E778" s="1197"/>
      <c r="F778" s="1197"/>
      <c r="G778" s="1197"/>
      <c r="H778" s="1197"/>
      <c r="I778" s="1197"/>
      <c r="J778" s="1197"/>
      <c r="K778" s="1197"/>
      <c r="L778" s="1197"/>
      <c r="M778" s="1197"/>
      <c r="N778" s="1197"/>
      <c r="O778" s="1197"/>
      <c r="P778" s="1197"/>
      <c r="Q778" s="1197"/>
      <c r="R778" s="1197"/>
      <c r="S778" s="1197"/>
      <c r="T778" s="1197"/>
      <c r="U778" s="1197"/>
      <c r="V778" s="1197"/>
      <c r="W778" s="1197"/>
      <c r="X778" s="1197"/>
      <c r="Y778" s="1197"/>
      <c r="Z778" s="1197"/>
      <c r="AA778" s="1197"/>
      <c r="AB778" s="1197"/>
      <c r="AC778" s="1197"/>
      <c r="AD778" s="1197"/>
      <c r="AE778" s="1190"/>
      <c r="AF778" s="1190"/>
      <c r="AG778" s="1190"/>
      <c r="AH778" s="1190"/>
      <c r="AI778" s="1190"/>
      <c r="AJ778" s="1190"/>
      <c r="AK778" s="1190"/>
      <c r="AL778" s="1190"/>
      <c r="AM778" s="474"/>
      <c r="AN778" s="540"/>
      <c r="AO778" s="547"/>
      <c r="AT778" s="531"/>
      <c r="AU778" s="531"/>
      <c r="AV778" s="531"/>
      <c r="AW778" s="531"/>
      <c r="AX778" s="531"/>
      <c r="AY778" s="531"/>
      <c r="AZ778" s="531"/>
    </row>
    <row r="779" spans="1:81" s="436" customFormat="1">
      <c r="A779" s="418"/>
      <c r="B779" s="476"/>
      <c r="C779" s="764"/>
      <c r="D779" s="405" t="s">
        <v>2302</v>
      </c>
      <c r="E779" s="1208"/>
      <c r="F779" s="1208"/>
      <c r="G779" s="1208"/>
      <c r="H779" s="1858" t="s">
        <v>837</v>
      </c>
      <c r="I779" s="1858"/>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84"/>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2377</v>
      </c>
      <c r="AJ781" s="1841">
        <f>VLOOKUP($H$779,$AO$773:$AP$774,2,FALSE)</f>
        <v>3</v>
      </c>
      <c r="AK781" s="1843"/>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2378</v>
      </c>
      <c r="AK783" s="1841">
        <f>IF(($AJ$610+$AJ$629+$AJ$641+$AJ$676+$AJ$700+$AJ$714+$AJ$726+$AJ$742+$AJ$754+$AJ$770+AJ781)&gt;10,10,($AJ$610+$AJ$629+$AJ$641+$AJ$676+$AJ$700+$AJ$714+$AJ$726+$AJ$742+$AJ$754+$AJ$770+AJ781))</f>
        <v>10</v>
      </c>
      <c r="AL783" s="1842"/>
      <c r="AM783" s="1843"/>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84"/>
      <c r="AJ784" s="1184"/>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1905" t="s">
        <v>2379</v>
      </c>
      <c r="B786" s="1906"/>
      <c r="C786" s="1906"/>
      <c r="D786" s="1906"/>
      <c r="E786" s="1906"/>
      <c r="F786" s="1906"/>
      <c r="G786" s="1906"/>
      <c r="H786" s="1906"/>
      <c r="I786" s="1906"/>
      <c r="J786" s="1906"/>
      <c r="K786" s="1906"/>
      <c r="L786" s="1906"/>
      <c r="M786" s="1906"/>
      <c r="N786" s="1906"/>
      <c r="O786" s="1906"/>
      <c r="P786" s="1906"/>
      <c r="Q786" s="1906"/>
      <c r="R786" s="1906"/>
      <c r="S786" s="1906"/>
      <c r="T786" s="1906"/>
      <c r="U786" s="1906"/>
      <c r="V786" s="1906"/>
      <c r="W786" s="1906"/>
      <c r="X786" s="1906"/>
      <c r="Y786" s="1906"/>
      <c r="Z786" s="1906"/>
      <c r="AA786" s="1906"/>
      <c r="AB786" s="1906"/>
      <c r="AC786" s="1906"/>
      <c r="AD786" s="1906"/>
      <c r="AE786" s="1906"/>
      <c r="AF786" s="1906"/>
      <c r="AG786" s="1906"/>
      <c r="AH786" s="1906"/>
      <c r="AI786" s="1906"/>
      <c r="AJ786" s="1906"/>
      <c r="AK786" s="1906"/>
      <c r="AL786" s="1906"/>
      <c r="AM786" s="1906"/>
    </row>
    <row r="787" spans="1:43">
      <c r="A787" s="1907"/>
      <c r="B787" s="1907"/>
      <c r="C787" s="1907"/>
      <c r="D787" s="1907"/>
      <c r="E787" s="1907"/>
      <c r="F787" s="1907"/>
      <c r="G787" s="1907"/>
      <c r="H787" s="1907"/>
      <c r="I787" s="1907"/>
      <c r="J787" s="1907"/>
      <c r="K787" s="1907"/>
      <c r="L787" s="1907"/>
      <c r="M787" s="1907"/>
      <c r="N787" s="1907"/>
      <c r="O787" s="1907"/>
      <c r="P787" s="1907"/>
      <c r="Q787" s="1907"/>
      <c r="R787" s="1907"/>
      <c r="S787" s="1907"/>
      <c r="T787" s="1907"/>
      <c r="U787" s="1907"/>
      <c r="V787" s="1907"/>
      <c r="W787" s="1907"/>
      <c r="X787" s="1907"/>
      <c r="Y787" s="1907"/>
      <c r="Z787" s="1907"/>
      <c r="AA787" s="1907"/>
      <c r="AB787" s="1907"/>
      <c r="AC787" s="1907"/>
      <c r="AD787" s="1907"/>
      <c r="AE787" s="1907"/>
      <c r="AF787" s="1907"/>
      <c r="AG787" s="1907"/>
      <c r="AH787" s="1907"/>
      <c r="AI787" s="1907"/>
      <c r="AJ787" s="1907"/>
      <c r="AK787" s="1907"/>
      <c r="AL787" s="1907"/>
      <c r="AM787" s="1907"/>
      <c r="AO787" s="666"/>
      <c r="AP787" s="666"/>
      <c r="AQ787" s="666"/>
    </row>
    <row r="788" spans="1:43">
      <c r="A788" s="418"/>
      <c r="B788" s="437"/>
      <c r="C788" s="438"/>
      <c r="D788" s="438"/>
      <c r="E788" s="438"/>
      <c r="F788" s="438"/>
      <c r="G788" s="438"/>
      <c r="H788" s="438"/>
      <c r="I788" s="1204"/>
      <c r="J788" s="1204"/>
      <c r="K788" s="1204"/>
      <c r="L788" s="1204"/>
      <c r="M788" s="1204"/>
      <c r="N788" s="1204"/>
      <c r="O788" s="1204"/>
      <c r="P788" s="1204"/>
      <c r="Q788" s="1204"/>
      <c r="S788" s="408"/>
      <c r="T788" s="408"/>
      <c r="U788" s="408"/>
      <c r="V788" s="408"/>
      <c r="W788" s="408"/>
      <c r="X788" s="408"/>
      <c r="Y788" s="408"/>
      <c r="Z788" s="408"/>
      <c r="AA788" s="408"/>
      <c r="AB788" s="408"/>
      <c r="AC788" s="408"/>
      <c r="AD788" s="408"/>
      <c r="AE788" s="408"/>
      <c r="AG788" s="408"/>
      <c r="AH788" s="408"/>
      <c r="AI788" s="408"/>
      <c r="AJ788" s="408"/>
      <c r="AK788" s="418"/>
      <c r="AL788" s="418"/>
      <c r="AM788" s="406"/>
      <c r="AO788" s="666"/>
      <c r="AP788" s="666"/>
      <c r="AQ788" s="666"/>
    </row>
    <row r="789" spans="1:43">
      <c r="A789" s="1844"/>
      <c r="B789" s="1844"/>
      <c r="C789" s="1844"/>
      <c r="D789" s="1844"/>
      <c r="E789" s="1844"/>
      <c r="F789" s="1844"/>
      <c r="G789" s="1844"/>
      <c r="H789" s="1844"/>
      <c r="I789" s="1844"/>
      <c r="J789" s="1844"/>
      <c r="K789" s="1844"/>
      <c r="L789" s="1844"/>
      <c r="M789" s="1844"/>
      <c r="N789" s="1844"/>
      <c r="O789" s="1844"/>
      <c r="P789" s="1844"/>
      <c r="Q789" s="1844"/>
      <c r="R789" s="1844"/>
      <c r="S789" s="1844"/>
      <c r="T789" s="1844"/>
      <c r="U789" s="1844"/>
      <c r="V789" s="1844"/>
      <c r="W789" s="1844"/>
      <c r="X789" s="1844"/>
      <c r="Y789" s="1844"/>
      <c r="Z789" s="1844"/>
      <c r="AA789" s="1844"/>
      <c r="AB789" s="1844"/>
      <c r="AC789" s="1844"/>
      <c r="AD789" s="1844"/>
      <c r="AE789" s="1844"/>
      <c r="AF789" s="1844"/>
      <c r="AG789" s="1844"/>
      <c r="AH789" s="1844"/>
      <c r="AI789" s="1844"/>
      <c r="AJ789" s="1844"/>
      <c r="AK789" s="1844"/>
      <c r="AL789" s="1844"/>
      <c r="AM789" s="1844"/>
      <c r="AP789" s="666"/>
      <c r="AQ789" s="666"/>
    </row>
    <row r="790" spans="1:43">
      <c r="A790" s="1844"/>
      <c r="B790" s="1844"/>
      <c r="C790" s="1844"/>
      <c r="D790" s="1844"/>
      <c r="E790" s="1844"/>
      <c r="F790" s="1844"/>
      <c r="G790" s="1844"/>
      <c r="H790" s="1844"/>
      <c r="I790" s="1844"/>
      <c r="J790" s="1844"/>
      <c r="K790" s="1844"/>
      <c r="L790" s="1844"/>
      <c r="M790" s="1844"/>
      <c r="N790" s="1844"/>
      <c r="O790" s="1844"/>
      <c r="P790" s="1844"/>
      <c r="Q790" s="1844"/>
      <c r="R790" s="1844"/>
      <c r="S790" s="1844"/>
      <c r="T790" s="1844"/>
      <c r="U790" s="1844"/>
      <c r="V790" s="1844"/>
      <c r="W790" s="1844"/>
      <c r="X790" s="1844"/>
      <c r="Y790" s="1844"/>
      <c r="Z790" s="1844"/>
      <c r="AA790" s="1844"/>
      <c r="AB790" s="1844"/>
      <c r="AC790" s="1844"/>
      <c r="AD790" s="1844"/>
      <c r="AE790" s="1844"/>
      <c r="AF790" s="1844"/>
      <c r="AG790" s="1844"/>
      <c r="AH790" s="1844"/>
      <c r="AI790" s="1844"/>
      <c r="AJ790" s="1844"/>
      <c r="AK790" s="1844"/>
      <c r="AL790" s="1844"/>
      <c r="AM790" s="1844"/>
      <c r="AO790" s="666"/>
      <c r="AQ790" s="666"/>
    </row>
    <row r="791" spans="1:43">
      <c r="A791" s="667"/>
      <c r="B791" s="524"/>
      <c r="C791" s="524"/>
      <c r="D791" s="524"/>
      <c r="E791" s="524"/>
      <c r="F791" s="524"/>
      <c r="G791" s="524"/>
      <c r="H791" s="524"/>
      <c r="I791" s="524"/>
      <c r="J791" s="524"/>
      <c r="K791" s="524"/>
      <c r="L791" s="524"/>
      <c r="M791" s="524"/>
      <c r="N791" s="524"/>
      <c r="O791" s="524"/>
      <c r="P791" s="524"/>
      <c r="Q791" s="524"/>
      <c r="R791" s="524"/>
      <c r="S791" s="526"/>
      <c r="T791" s="1908" t="s">
        <v>2380</v>
      </c>
      <c r="U791" s="1909"/>
      <c r="V791" s="1909"/>
      <c r="W791" s="1909"/>
      <c r="X791" s="1909"/>
      <c r="Y791" s="1910"/>
      <c r="Z791" s="1908" t="s">
        <v>2381</v>
      </c>
      <c r="AA791" s="1909"/>
      <c r="AB791" s="1909"/>
      <c r="AC791" s="1909"/>
      <c r="AD791" s="1909"/>
      <c r="AE791" s="1910"/>
      <c r="AF791" s="1908" t="s">
        <v>2382</v>
      </c>
      <c r="AG791" s="1909"/>
      <c r="AH791" s="1909"/>
      <c r="AI791" s="1909"/>
      <c r="AJ791" s="1909"/>
      <c r="AK791" s="1910"/>
      <c r="AL791" s="668"/>
      <c r="AM791" s="458"/>
      <c r="AO791" s="666"/>
      <c r="AP791" s="666"/>
      <c r="AQ791" s="666"/>
    </row>
    <row r="792" spans="1:43">
      <c r="A792" s="669"/>
      <c r="B792" s="549"/>
      <c r="C792" s="549"/>
      <c r="D792" s="549"/>
      <c r="E792" s="549"/>
      <c r="F792" s="549"/>
      <c r="G792" s="549"/>
      <c r="H792" s="549"/>
      <c r="I792" s="549"/>
      <c r="J792" s="549"/>
      <c r="K792" s="549"/>
      <c r="L792" s="549"/>
      <c r="M792" s="549"/>
      <c r="N792" s="549"/>
      <c r="O792" s="549"/>
      <c r="P792" s="549"/>
      <c r="Q792" s="549"/>
      <c r="R792" s="549"/>
      <c r="S792" s="563"/>
      <c r="T792" s="1911"/>
      <c r="U792" s="1912"/>
      <c r="V792" s="1912"/>
      <c r="W792" s="1912"/>
      <c r="X792" s="1912"/>
      <c r="Y792" s="1913"/>
      <c r="Z792" s="1911"/>
      <c r="AA792" s="1912"/>
      <c r="AB792" s="1912"/>
      <c r="AC792" s="1912"/>
      <c r="AD792" s="1912"/>
      <c r="AE792" s="1913"/>
      <c r="AF792" s="1911"/>
      <c r="AG792" s="1912"/>
      <c r="AH792" s="1912"/>
      <c r="AI792" s="1912"/>
      <c r="AJ792" s="1912"/>
      <c r="AK792" s="1913"/>
      <c r="AL792" s="668"/>
      <c r="AM792" s="458"/>
      <c r="AO792" s="666"/>
      <c r="AP792" s="666"/>
      <c r="AQ792" s="666"/>
    </row>
    <row r="793" spans="1:43">
      <c r="A793" s="669" t="s">
        <v>52</v>
      </c>
      <c r="B793" s="1865" t="s">
        <v>1945</v>
      </c>
      <c r="C793" s="1865"/>
      <c r="D793" s="1865"/>
      <c r="E793" s="1865"/>
      <c r="F793" s="1865"/>
      <c r="G793" s="1865"/>
      <c r="H793" s="1865"/>
      <c r="I793" s="1865"/>
      <c r="J793" s="1865"/>
      <c r="K793" s="1865"/>
      <c r="L793" s="1865"/>
      <c r="M793" s="1865"/>
      <c r="N793" s="1865"/>
      <c r="O793" s="1865"/>
      <c r="P793" s="1865"/>
      <c r="Q793" s="1865"/>
      <c r="R793" s="1865"/>
      <c r="S793" s="1866"/>
      <c r="T793" s="1893">
        <f>AK56</f>
        <v>0</v>
      </c>
      <c r="U793" s="1869"/>
      <c r="V793" s="1869"/>
      <c r="W793" s="1869"/>
      <c r="X793" s="1869"/>
      <c r="Y793" s="1870"/>
      <c r="Z793" s="1868">
        <v>20</v>
      </c>
      <c r="AA793" s="1869"/>
      <c r="AB793" s="1869"/>
      <c r="AC793" s="1869"/>
      <c r="AD793" s="1869"/>
      <c r="AE793" s="1870"/>
      <c r="AF793" s="1854">
        <f>IF(T793&gt;Z793,Z793,T793)</f>
        <v>0</v>
      </c>
      <c r="AG793" s="1854"/>
      <c r="AH793" s="1854"/>
      <c r="AI793" s="1854"/>
      <c r="AJ793" s="1854"/>
      <c r="AK793" s="1854"/>
      <c r="AL793" s="668"/>
      <c r="AM793" s="458"/>
      <c r="AO793" s="666"/>
      <c r="AP793" s="666"/>
      <c r="AQ793" s="666"/>
    </row>
    <row r="794" spans="1:43">
      <c r="A794" s="669" t="s">
        <v>2233</v>
      </c>
      <c r="B794" s="1865" t="s">
        <v>785</v>
      </c>
      <c r="C794" s="1865"/>
      <c r="D794" s="1865"/>
      <c r="E794" s="1865"/>
      <c r="F794" s="1865"/>
      <c r="G794" s="1865"/>
      <c r="H794" s="1865"/>
      <c r="I794" s="1865"/>
      <c r="J794" s="1865"/>
      <c r="K794" s="1865"/>
      <c r="L794" s="1865"/>
      <c r="M794" s="1865"/>
      <c r="N794" s="1865"/>
      <c r="O794" s="1865"/>
      <c r="P794" s="1865"/>
      <c r="Q794" s="1865"/>
      <c r="R794" s="1865"/>
      <c r="S794" s="1866"/>
      <c r="T794" s="1893">
        <f>AK78</f>
        <v>10</v>
      </c>
      <c r="U794" s="1869"/>
      <c r="V794" s="1869"/>
      <c r="W794" s="1869"/>
      <c r="X794" s="1869"/>
      <c r="Y794" s="1870"/>
      <c r="Z794" s="1868">
        <v>10</v>
      </c>
      <c r="AA794" s="1869"/>
      <c r="AB794" s="1869"/>
      <c r="AC794" s="1869"/>
      <c r="AD794" s="1869"/>
      <c r="AE794" s="1870"/>
      <c r="AF794" s="1854">
        <f>IF(T794&gt;Z794,Z794,T794)</f>
        <v>10</v>
      </c>
      <c r="AG794" s="1854"/>
      <c r="AH794" s="1854"/>
      <c r="AI794" s="1854"/>
      <c r="AJ794" s="1854"/>
      <c r="AK794" s="1854"/>
      <c r="AL794" s="668"/>
      <c r="AM794" s="458"/>
      <c r="AO794" s="666"/>
      <c r="AP794" s="666"/>
      <c r="AQ794" s="666"/>
    </row>
    <row r="795" spans="1:43">
      <c r="A795" s="669" t="s">
        <v>2242</v>
      </c>
      <c r="B795" s="1865" t="s">
        <v>1983</v>
      </c>
      <c r="C795" s="1865"/>
      <c r="D795" s="1865"/>
      <c r="E795" s="1865"/>
      <c r="F795" s="1865"/>
      <c r="G795" s="1865"/>
      <c r="H795" s="1865"/>
      <c r="I795" s="1865"/>
      <c r="J795" s="1865"/>
      <c r="K795" s="1865"/>
      <c r="L795" s="1865"/>
      <c r="M795" s="1865"/>
      <c r="N795" s="1865"/>
      <c r="O795" s="1865"/>
      <c r="P795" s="1865"/>
      <c r="Q795" s="1865"/>
      <c r="R795" s="1865"/>
      <c r="S795" s="1866"/>
      <c r="T795" s="1893">
        <f ca="1">AK103</f>
        <v>20</v>
      </c>
      <c r="U795" s="1869"/>
      <c r="V795" s="1869"/>
      <c r="W795" s="1869"/>
      <c r="X795" s="1869"/>
      <c r="Y795" s="1870"/>
      <c r="Z795" s="1868">
        <v>20</v>
      </c>
      <c r="AA795" s="1869"/>
      <c r="AB795" s="1869"/>
      <c r="AC795" s="1869"/>
      <c r="AD795" s="1869"/>
      <c r="AE795" s="1870"/>
      <c r="AF795" s="1854">
        <f ca="1">IF(T795&gt;Z795,Z795,T795)</f>
        <v>20</v>
      </c>
      <c r="AG795" s="1854"/>
      <c r="AH795" s="1854"/>
      <c r="AI795" s="1854"/>
      <c r="AJ795" s="1854"/>
      <c r="AK795" s="1854"/>
      <c r="AL795" s="668"/>
      <c r="AM795" s="458"/>
      <c r="AO795" s="666"/>
      <c r="AP795" s="666"/>
      <c r="AQ795" s="666"/>
    </row>
    <row r="796" spans="1:43">
      <c r="A796" s="669" t="s">
        <v>2383</v>
      </c>
      <c r="B796" s="1865" t="s">
        <v>1994</v>
      </c>
      <c r="C796" s="1865"/>
      <c r="D796" s="1865"/>
      <c r="E796" s="1865"/>
      <c r="F796" s="1865"/>
      <c r="G796" s="1865"/>
      <c r="H796" s="1865"/>
      <c r="I796" s="1865"/>
      <c r="J796" s="1865"/>
      <c r="K796" s="1865"/>
      <c r="L796" s="1865"/>
      <c r="M796" s="1865"/>
      <c r="N796" s="1865"/>
      <c r="O796" s="1865"/>
      <c r="P796" s="1865"/>
      <c r="Q796" s="1865"/>
      <c r="R796" s="1865"/>
      <c r="S796" s="1866"/>
      <c r="T796" s="1893">
        <f ca="1">AK137</f>
        <v>0</v>
      </c>
      <c r="U796" s="1869"/>
      <c r="V796" s="1869"/>
      <c r="W796" s="1869"/>
      <c r="X796" s="1869"/>
      <c r="Y796" s="1870"/>
      <c r="Z796" s="1868">
        <v>10</v>
      </c>
      <c r="AA796" s="1869"/>
      <c r="AB796" s="1869"/>
      <c r="AC796" s="1869"/>
      <c r="AD796" s="1869"/>
      <c r="AE796" s="1870"/>
      <c r="AF796" s="1854">
        <f ca="1">IF(T796&gt;Z796,Z796,T796)</f>
        <v>0</v>
      </c>
      <c r="AG796" s="1854"/>
      <c r="AH796" s="1854"/>
      <c r="AI796" s="1854"/>
      <c r="AJ796" s="1854"/>
      <c r="AK796" s="1854"/>
      <c r="AL796" s="668"/>
      <c r="AM796" s="458"/>
      <c r="AO796" s="666"/>
      <c r="AP796" s="666"/>
      <c r="AQ796" s="666"/>
    </row>
    <row r="797" spans="1:43">
      <c r="A797" s="1215" t="s">
        <v>2384</v>
      </c>
      <c r="B797" s="1865" t="s">
        <v>2385</v>
      </c>
      <c r="C797" s="1865"/>
      <c r="D797" s="1865"/>
      <c r="E797" s="1865"/>
      <c r="F797" s="1865"/>
      <c r="G797" s="1865"/>
      <c r="H797" s="1865"/>
      <c r="I797" s="1865"/>
      <c r="J797" s="1865"/>
      <c r="K797" s="1865"/>
      <c r="L797" s="1865"/>
      <c r="M797" s="1865"/>
      <c r="N797" s="1865"/>
      <c r="O797" s="1865"/>
      <c r="P797" s="1865"/>
      <c r="Q797" s="1865"/>
      <c r="R797" s="1865"/>
      <c r="S797" s="1866"/>
      <c r="T797" s="1867">
        <f>SUM(T798:Y799)</f>
        <v>10</v>
      </c>
      <c r="U797" s="1867"/>
      <c r="V797" s="1867"/>
      <c r="W797" s="1867"/>
      <c r="X797" s="1867"/>
      <c r="Y797" s="1867"/>
      <c r="Z797" s="1854">
        <v>10</v>
      </c>
      <c r="AA797" s="1854"/>
      <c r="AB797" s="1854"/>
      <c r="AC797" s="1854"/>
      <c r="AD797" s="1854"/>
      <c r="AE797" s="1854"/>
      <c r="AF797" s="1854">
        <f>IF(T797&gt;Z797,Z797,T797)</f>
        <v>10</v>
      </c>
      <c r="AG797" s="1854"/>
      <c r="AH797" s="1854"/>
      <c r="AI797" s="1854"/>
      <c r="AJ797" s="1854"/>
      <c r="AK797" s="1854"/>
      <c r="AL797" s="668"/>
      <c r="AM797" s="458"/>
    </row>
    <row r="798" spans="1:43">
      <c r="A798" s="404"/>
      <c r="B798" s="463"/>
      <c r="C798" s="1871" t="s">
        <v>2386</v>
      </c>
      <c r="D798" s="1871"/>
      <c r="E798" s="1871"/>
      <c r="F798" s="1871"/>
      <c r="G798" s="1871"/>
      <c r="H798" s="1871"/>
      <c r="I798" s="1871"/>
      <c r="J798" s="1871"/>
      <c r="K798" s="1871"/>
      <c r="L798" s="1871"/>
      <c r="M798" s="1871"/>
      <c r="N798" s="1871"/>
      <c r="O798" s="1871"/>
      <c r="P798" s="1871"/>
      <c r="Q798" s="1871"/>
      <c r="R798" s="1871"/>
      <c r="S798" s="1872"/>
      <c r="T798" s="1873">
        <f>AJ155</f>
        <v>7</v>
      </c>
      <c r="U798" s="1873"/>
      <c r="V798" s="1873"/>
      <c r="W798" s="1873"/>
      <c r="X798" s="1873"/>
      <c r="Y798" s="1873"/>
      <c r="Z798" s="1874">
        <v>7</v>
      </c>
      <c r="AA798" s="1874"/>
      <c r="AB798" s="1874"/>
      <c r="AC798" s="1874"/>
      <c r="AD798" s="1874"/>
      <c r="AE798" s="1874"/>
      <c r="AF798" s="1875"/>
      <c r="AG798" s="1875"/>
      <c r="AH798" s="1875"/>
      <c r="AI798" s="1875"/>
      <c r="AJ798" s="1875"/>
      <c r="AK798" s="1875"/>
      <c r="AL798" s="668"/>
      <c r="AM798" s="458"/>
    </row>
    <row r="799" spans="1:43">
      <c r="A799" s="462"/>
      <c r="B799" s="463"/>
      <c r="C799" s="1871" t="s">
        <v>2387</v>
      </c>
      <c r="D799" s="1871"/>
      <c r="E799" s="1871"/>
      <c r="F799" s="1871"/>
      <c r="G799" s="1871"/>
      <c r="H799" s="1871"/>
      <c r="I799" s="1871"/>
      <c r="J799" s="1871"/>
      <c r="K799" s="1871"/>
      <c r="L799" s="1871"/>
      <c r="M799" s="1871"/>
      <c r="N799" s="1871"/>
      <c r="O799" s="1871"/>
      <c r="P799" s="1871"/>
      <c r="Q799" s="1871"/>
      <c r="R799" s="1871"/>
      <c r="S799" s="1872"/>
      <c r="T799" s="1873">
        <f>AJ169</f>
        <v>3</v>
      </c>
      <c r="U799" s="1873"/>
      <c r="V799" s="1873"/>
      <c r="W799" s="1873"/>
      <c r="X799" s="1873"/>
      <c r="Y799" s="1873"/>
      <c r="Z799" s="1874">
        <v>3</v>
      </c>
      <c r="AA799" s="1874"/>
      <c r="AB799" s="1874"/>
      <c r="AC799" s="1874"/>
      <c r="AD799" s="1874"/>
      <c r="AE799" s="1874"/>
      <c r="AF799" s="1875"/>
      <c r="AG799" s="1875"/>
      <c r="AH799" s="1875"/>
      <c r="AI799" s="1875"/>
      <c r="AJ799" s="1875"/>
      <c r="AK799" s="1875"/>
      <c r="AL799" s="668"/>
      <c r="AM799" s="458"/>
      <c r="AO799" s="418"/>
    </row>
    <row r="800" spans="1:43">
      <c r="A800" s="1215" t="s">
        <v>2038</v>
      </c>
      <c r="B800" s="1865" t="s">
        <v>2388</v>
      </c>
      <c r="C800" s="1865"/>
      <c r="D800" s="1865"/>
      <c r="E800" s="1865"/>
      <c r="F800" s="1865"/>
      <c r="G800" s="1865"/>
      <c r="H800" s="1865"/>
      <c r="I800" s="1865"/>
      <c r="J800" s="1865"/>
      <c r="K800" s="1865"/>
      <c r="L800" s="1865"/>
      <c r="M800" s="1865"/>
      <c r="N800" s="1865"/>
      <c r="O800" s="1865"/>
      <c r="P800" s="1865"/>
      <c r="Q800" s="1865"/>
      <c r="R800" s="1865"/>
      <c r="S800" s="1866"/>
      <c r="T800" s="1867">
        <f>AK180</f>
        <v>10</v>
      </c>
      <c r="U800" s="1867"/>
      <c r="V800" s="1867"/>
      <c r="W800" s="1867"/>
      <c r="X800" s="1867"/>
      <c r="Y800" s="1867"/>
      <c r="Z800" s="1854">
        <v>10</v>
      </c>
      <c r="AA800" s="1854"/>
      <c r="AB800" s="1854"/>
      <c r="AC800" s="1854"/>
      <c r="AD800" s="1854"/>
      <c r="AE800" s="1854"/>
      <c r="AF800" s="1854">
        <f>IF(T800&gt;Z800,Z800,T800)</f>
        <v>10</v>
      </c>
      <c r="AG800" s="1854"/>
      <c r="AH800" s="1854"/>
      <c r="AI800" s="1854"/>
      <c r="AJ800" s="1854"/>
      <c r="AK800" s="1854"/>
      <c r="AL800" s="668"/>
      <c r="AM800" s="458"/>
    </row>
    <row r="801" spans="1:81">
      <c r="A801" s="669" t="s">
        <v>2048</v>
      </c>
      <c r="B801" s="1865" t="s">
        <v>2049</v>
      </c>
      <c r="C801" s="1865"/>
      <c r="D801" s="1865"/>
      <c r="E801" s="1865"/>
      <c r="F801" s="1865"/>
      <c r="G801" s="1865"/>
      <c r="H801" s="1865"/>
      <c r="I801" s="1865"/>
      <c r="J801" s="1865"/>
      <c r="K801" s="1865"/>
      <c r="L801" s="1865"/>
      <c r="M801" s="1865"/>
      <c r="N801" s="1865"/>
      <c r="O801" s="1865"/>
      <c r="P801" s="1865"/>
      <c r="Q801" s="1865"/>
      <c r="R801" s="1865"/>
      <c r="S801" s="1866"/>
      <c r="T801" s="1867">
        <f>AK262</f>
        <v>8</v>
      </c>
      <c r="U801" s="1867"/>
      <c r="V801" s="1867"/>
      <c r="W801" s="1867"/>
      <c r="X801" s="1867"/>
      <c r="Y801" s="1867"/>
      <c r="Z801" s="1868">
        <v>8</v>
      </c>
      <c r="AA801" s="1869"/>
      <c r="AB801" s="1869"/>
      <c r="AC801" s="1869"/>
      <c r="AD801" s="1869"/>
      <c r="AE801" s="1870"/>
      <c r="AF801" s="1854">
        <f>IF(T801&gt;Z801,Z801,T801)</f>
        <v>8</v>
      </c>
      <c r="AG801" s="1854"/>
      <c r="AH801" s="1854"/>
      <c r="AI801" s="1854"/>
      <c r="AJ801" s="1854"/>
      <c r="AK801" s="1854"/>
      <c r="AL801" s="668"/>
      <c r="AM801" s="458"/>
    </row>
    <row r="802" spans="1:81" s="403" customFormat="1" hidden="1">
      <c r="A802" s="1215" t="s">
        <v>1058</v>
      </c>
      <c r="B802" s="1865" t="s">
        <v>2389</v>
      </c>
      <c r="C802" s="1865"/>
      <c r="D802" s="1865"/>
      <c r="E802" s="1865"/>
      <c r="F802" s="1865"/>
      <c r="G802" s="1865"/>
      <c r="H802" s="1865"/>
      <c r="I802" s="1865"/>
      <c r="J802" s="1865"/>
      <c r="K802" s="1865"/>
      <c r="L802" s="1865"/>
      <c r="M802" s="1865"/>
      <c r="N802" s="1865"/>
      <c r="O802" s="1865"/>
      <c r="P802" s="1865"/>
      <c r="Q802" s="1865"/>
      <c r="R802" s="1865"/>
      <c r="S802" s="1866"/>
      <c r="T802" s="1867">
        <f>IF(AK524&gt;5,5,AK524)</f>
        <v>0</v>
      </c>
      <c r="U802" s="1867"/>
      <c r="V802" s="1867"/>
      <c r="W802" s="1867"/>
      <c r="X802" s="1867"/>
      <c r="Y802" s="1867"/>
      <c r="Z802" s="1854">
        <v>5</v>
      </c>
      <c r="AA802" s="1854"/>
      <c r="AB802" s="1854"/>
      <c r="AC802" s="1854"/>
      <c r="AD802" s="1854"/>
      <c r="AE802" s="1854"/>
      <c r="AF802" s="1854">
        <f>IF(T802&gt;Z802,5,T802)</f>
        <v>0</v>
      </c>
      <c r="AG802" s="1854"/>
      <c r="AH802" s="1854"/>
      <c r="AI802" s="1854"/>
      <c r="AJ802" s="1854"/>
      <c r="AK802" s="1854"/>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c r="A803" s="669" t="s">
        <v>2101</v>
      </c>
      <c r="B803" s="1865" t="s">
        <v>2390</v>
      </c>
      <c r="C803" s="1865"/>
      <c r="D803" s="1865"/>
      <c r="E803" s="1865"/>
      <c r="F803" s="1865"/>
      <c r="G803" s="1865"/>
      <c r="H803" s="1865"/>
      <c r="I803" s="1865"/>
      <c r="J803" s="1865"/>
      <c r="K803" s="1865"/>
      <c r="L803" s="1865"/>
      <c r="M803" s="1865"/>
      <c r="N803" s="1865"/>
      <c r="O803" s="1865"/>
      <c r="P803" s="1865"/>
      <c r="Q803" s="1865"/>
      <c r="R803" s="1865"/>
      <c r="S803" s="1866"/>
      <c r="T803" s="1867">
        <f>AK274</f>
        <v>10</v>
      </c>
      <c r="U803" s="1867"/>
      <c r="V803" s="1867"/>
      <c r="W803" s="1867"/>
      <c r="X803" s="1867"/>
      <c r="Y803" s="1867"/>
      <c r="Z803" s="1854">
        <v>10</v>
      </c>
      <c r="AA803" s="1854"/>
      <c r="AB803" s="1854"/>
      <c r="AC803" s="1854"/>
      <c r="AD803" s="1854"/>
      <c r="AE803" s="1854"/>
      <c r="AF803" s="1876">
        <f>IF(T803&gt;Z803,Z803,T803)</f>
        <v>10</v>
      </c>
      <c r="AG803" s="1877"/>
      <c r="AH803" s="1877"/>
      <c r="AI803" s="1877"/>
      <c r="AJ803" s="1877"/>
      <c r="AK803" s="1878"/>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c r="A804" s="1215" t="s">
        <v>2105</v>
      </c>
      <c r="B804" s="1865" t="s">
        <v>2391</v>
      </c>
      <c r="C804" s="1865"/>
      <c r="D804" s="1865"/>
      <c r="E804" s="1865"/>
      <c r="F804" s="1865"/>
      <c r="G804" s="1865"/>
      <c r="H804" s="1865"/>
      <c r="I804" s="1865"/>
      <c r="J804" s="1865"/>
      <c r="K804" s="1865"/>
      <c r="L804" s="1865"/>
      <c r="M804" s="1865"/>
      <c r="N804" s="1865"/>
      <c r="O804" s="1865"/>
      <c r="P804" s="1865"/>
      <c r="Q804" s="1865"/>
      <c r="R804" s="1865"/>
      <c r="S804" s="1866"/>
      <c r="T804" s="1867">
        <f>AK327</f>
        <v>10</v>
      </c>
      <c r="U804" s="1867"/>
      <c r="V804" s="1867"/>
      <c r="W804" s="1867"/>
      <c r="X804" s="1867"/>
      <c r="Y804" s="1867"/>
      <c r="Z804" s="1876">
        <v>10</v>
      </c>
      <c r="AA804" s="1877"/>
      <c r="AB804" s="1877"/>
      <c r="AC804" s="1877"/>
      <c r="AD804" s="1877"/>
      <c r="AE804" s="1878"/>
      <c r="AF804" s="1876">
        <f>IF(T804&gt;Z804,Z804,T804)</f>
        <v>10</v>
      </c>
      <c r="AG804" s="1877"/>
      <c r="AH804" s="1877"/>
      <c r="AI804" s="1877"/>
      <c r="AJ804" s="1877"/>
      <c r="AK804" s="1878"/>
      <c r="AL804" s="408"/>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idden="1">
      <c r="A805" s="1215"/>
      <c r="B805" s="1213"/>
      <c r="C805" s="670" t="s">
        <v>2392</v>
      </c>
      <c r="D805" s="671"/>
      <c r="E805" s="671"/>
      <c r="F805" s="671"/>
      <c r="G805" s="671"/>
      <c r="H805" s="671"/>
      <c r="I805" s="671"/>
      <c r="J805" s="671"/>
      <c r="K805" s="671"/>
      <c r="L805" s="671"/>
      <c r="M805" s="671"/>
      <c r="N805" s="671"/>
      <c r="O805" s="671"/>
      <c r="P805" s="671"/>
      <c r="Q805" s="671"/>
      <c r="R805" s="1213"/>
      <c r="S805" s="1214"/>
      <c r="T805" s="1873">
        <f>AK327</f>
        <v>10</v>
      </c>
      <c r="U805" s="1873"/>
      <c r="V805" s="1873"/>
      <c r="W805" s="1873"/>
      <c r="X805" s="1873"/>
      <c r="Y805" s="1873"/>
      <c r="Z805" s="1841">
        <v>20</v>
      </c>
      <c r="AA805" s="1842"/>
      <c r="AB805" s="1842"/>
      <c r="AC805" s="1842"/>
      <c r="AD805" s="1842"/>
      <c r="AE805" s="1843"/>
      <c r="AF805" s="1875"/>
      <c r="AG805" s="1875"/>
      <c r="AH805" s="1875"/>
      <c r="AI805" s="1875"/>
      <c r="AJ805" s="1875"/>
      <c r="AK805" s="1875"/>
      <c r="AL805" s="408"/>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c r="A806" s="1215" t="s">
        <v>2135</v>
      </c>
      <c r="B806" s="1865" t="s">
        <v>2136</v>
      </c>
      <c r="C806" s="1865"/>
      <c r="D806" s="1865"/>
      <c r="E806" s="1865"/>
      <c r="F806" s="1865"/>
      <c r="G806" s="1865"/>
      <c r="H806" s="1865"/>
      <c r="I806" s="1865"/>
      <c r="J806" s="1865"/>
      <c r="K806" s="1865"/>
      <c r="L806" s="1865"/>
      <c r="M806" s="1865"/>
      <c r="N806" s="1865"/>
      <c r="O806" s="1865"/>
      <c r="P806" s="1865"/>
      <c r="Q806" s="1865"/>
      <c r="R806" s="1865"/>
      <c r="S806" s="1866"/>
      <c r="T806" s="1867">
        <f>AK458</f>
        <v>10</v>
      </c>
      <c r="U806" s="1867"/>
      <c r="V806" s="1867"/>
      <c r="W806" s="1867"/>
      <c r="X806" s="1867"/>
      <c r="Y806" s="1867"/>
      <c r="Z806" s="1876">
        <v>10</v>
      </c>
      <c r="AA806" s="1877"/>
      <c r="AB806" s="1877"/>
      <c r="AC806" s="1877"/>
      <c r="AD806" s="1877"/>
      <c r="AE806" s="1878"/>
      <c r="AF806" s="1854">
        <f>IF(T806&gt;Z806,Z806,T806)</f>
        <v>10</v>
      </c>
      <c r="AG806" s="1854"/>
      <c r="AH806" s="1854"/>
      <c r="AI806" s="1854"/>
      <c r="AJ806" s="1854"/>
      <c r="AK806" s="1854"/>
      <c r="AL806" s="408"/>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c r="A807" s="1215" t="s">
        <v>2252</v>
      </c>
      <c r="B807" s="1865" t="s">
        <v>2253</v>
      </c>
      <c r="C807" s="1865"/>
      <c r="D807" s="1865"/>
      <c r="E807" s="1865"/>
      <c r="F807" s="1865"/>
      <c r="G807" s="1865"/>
      <c r="H807" s="1865"/>
      <c r="I807" s="1865"/>
      <c r="J807" s="1865"/>
      <c r="K807" s="1865"/>
      <c r="L807" s="1865"/>
      <c r="M807" s="1865"/>
      <c r="N807" s="1865"/>
      <c r="O807" s="1865"/>
      <c r="P807" s="1865"/>
      <c r="Q807" s="1865"/>
      <c r="R807" s="1865"/>
      <c r="S807" s="1866"/>
      <c r="T807" s="1867">
        <f>AK548</f>
        <v>12</v>
      </c>
      <c r="U807" s="1867"/>
      <c r="V807" s="1867"/>
      <c r="W807" s="1867"/>
      <c r="X807" s="1867"/>
      <c r="Y807" s="1867"/>
      <c r="Z807" s="1876">
        <v>12</v>
      </c>
      <c r="AA807" s="1877"/>
      <c r="AB807" s="1877"/>
      <c r="AC807" s="1877"/>
      <c r="AD807" s="1877"/>
      <c r="AE807" s="1878"/>
      <c r="AF807" s="1854">
        <f>IF(T807&gt;Z807,Z807,T807)</f>
        <v>12</v>
      </c>
      <c r="AG807" s="1854"/>
      <c r="AH807" s="1854"/>
      <c r="AI807" s="1854"/>
      <c r="AJ807" s="1854"/>
      <c r="AK807" s="1854"/>
      <c r="AL807" s="408"/>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c r="A808" s="1215" t="s">
        <v>2393</v>
      </c>
      <c r="B808" s="1865" t="s">
        <v>2394</v>
      </c>
      <c r="C808" s="1865"/>
      <c r="D808" s="1865"/>
      <c r="E808" s="1865"/>
      <c r="F808" s="1865"/>
      <c r="G808" s="1865"/>
      <c r="H808" s="1865"/>
      <c r="I808" s="1865"/>
      <c r="J808" s="1865"/>
      <c r="K808" s="1865"/>
      <c r="L808" s="1865"/>
      <c r="M808" s="1865"/>
      <c r="N808" s="1865"/>
      <c r="O808" s="1865"/>
      <c r="P808" s="1865"/>
      <c r="Q808" s="1865"/>
      <c r="R808" s="1865"/>
      <c r="S808" s="1866"/>
      <c r="T808" s="1867">
        <f>AK783</f>
        <v>10</v>
      </c>
      <c r="U808" s="1867"/>
      <c r="V808" s="1867"/>
      <c r="W808" s="1867"/>
      <c r="X808" s="1867"/>
      <c r="Y808" s="1867"/>
      <c r="Z808" s="1876">
        <v>10</v>
      </c>
      <c r="AA808" s="1877"/>
      <c r="AB808" s="1877"/>
      <c r="AC808" s="1877"/>
      <c r="AD808" s="1877"/>
      <c r="AE808" s="1878"/>
      <c r="AF808" s="1854">
        <f>IF(T808&gt;Z808,Z808,T808)</f>
        <v>10</v>
      </c>
      <c r="AG808" s="1854"/>
      <c r="AH808" s="1854"/>
      <c r="AI808" s="1854"/>
      <c r="AJ808" s="1854"/>
      <c r="AK808" s="1854"/>
      <c r="AL808" s="408"/>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c r="A809" s="1879" t="s">
        <v>2395</v>
      </c>
      <c r="B809" s="1865"/>
      <c r="C809" s="1865"/>
      <c r="D809" s="1865"/>
      <c r="E809" s="1865"/>
      <c r="F809" s="1865"/>
      <c r="G809" s="1865"/>
      <c r="H809" s="1865"/>
      <c r="I809" s="1865"/>
      <c r="J809" s="1865"/>
      <c r="K809" s="1865"/>
      <c r="L809" s="1865"/>
      <c r="M809" s="1865"/>
      <c r="N809" s="1865"/>
      <c r="O809" s="1865"/>
      <c r="P809" s="1865"/>
      <c r="Q809" s="1865"/>
      <c r="R809" s="1865"/>
      <c r="S809" s="1866"/>
      <c r="T809" s="1880"/>
      <c r="U809" s="1880"/>
      <c r="V809" s="1880"/>
      <c r="W809" s="1880"/>
      <c r="X809" s="1880"/>
      <c r="Y809" s="1880"/>
      <c r="Z809" s="1874" t="s">
        <v>2396</v>
      </c>
      <c r="AA809" s="1874"/>
      <c r="AB809" s="1874"/>
      <c r="AC809" s="1874"/>
      <c r="AD809" s="1874"/>
      <c r="AE809" s="1874"/>
      <c r="AF809" s="1876">
        <f>IF(T809&gt;0,T809,0)</f>
        <v>0</v>
      </c>
      <c r="AG809" s="1877"/>
      <c r="AH809" s="1877"/>
      <c r="AI809" s="1877"/>
      <c r="AJ809" s="1877"/>
      <c r="AK809" s="1878"/>
      <c r="AL809" s="1201"/>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6">
      <c r="A810" s="1881" t="s">
        <v>2397</v>
      </c>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c r="AA810" s="1882"/>
      <c r="AB810" s="1882"/>
      <c r="AC810" s="1882"/>
      <c r="AD810" s="1882"/>
      <c r="AE810" s="1883"/>
      <c r="AF810" s="1887">
        <f ca="1">SUM(AF793:AK808)-AF809</f>
        <v>110</v>
      </c>
      <c r="AG810" s="1888"/>
      <c r="AH810" s="1888"/>
      <c r="AI810" s="1888"/>
      <c r="AJ810" s="1888"/>
      <c r="AK810" s="1889"/>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6">
      <c r="A811" s="1884"/>
      <c r="B811" s="1885"/>
      <c r="C811" s="1885"/>
      <c r="D811" s="1885"/>
      <c r="E811" s="1885"/>
      <c r="F811" s="1885"/>
      <c r="G811" s="1885"/>
      <c r="H811" s="1885"/>
      <c r="I811" s="1885"/>
      <c r="J811" s="1885"/>
      <c r="K811" s="1885"/>
      <c r="L811" s="1885"/>
      <c r="M811" s="1885"/>
      <c r="N811" s="1885"/>
      <c r="O811" s="1885"/>
      <c r="P811" s="1885"/>
      <c r="Q811" s="1885"/>
      <c r="R811" s="1885"/>
      <c r="S811" s="1885"/>
      <c r="T811" s="1885"/>
      <c r="U811" s="1885"/>
      <c r="V811" s="1885"/>
      <c r="W811" s="1885"/>
      <c r="X811" s="1885"/>
      <c r="Y811" s="1885"/>
      <c r="Z811" s="1885"/>
      <c r="AA811" s="1885"/>
      <c r="AB811" s="1885"/>
      <c r="AC811" s="1885"/>
      <c r="AD811" s="1885"/>
      <c r="AE811" s="1886"/>
      <c r="AF811" s="1890"/>
      <c r="AG811" s="1891"/>
      <c r="AH811" s="1891"/>
      <c r="AI811" s="1891"/>
      <c r="AJ811" s="1891"/>
      <c r="AK811" s="1892"/>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75" workbookViewId="0">
      <selection activeCell="H74" sqref="H74"/>
    </sheetView>
  </sheetViews>
  <sheetFormatPr baseColWidth="10" defaultColWidth="9.1640625" defaultRowHeight="14"/>
  <cols>
    <col min="1" max="1" width="2.5" style="849" customWidth="1"/>
    <col min="2" max="9" width="14.5" style="849" customWidth="1"/>
    <col min="10" max="10" width="2.5" style="849" customWidth="1"/>
    <col min="11" max="11" width="11.83203125" style="850" customWidth="1"/>
    <col min="12" max="13" width="10.5" style="849" customWidth="1"/>
    <col min="14" max="14" width="10.83203125" style="849" customWidth="1"/>
    <col min="15" max="16384" width="9.1640625" style="849"/>
  </cols>
  <sheetData>
    <row r="1" spans="1:13" ht="30" customHeight="1">
      <c r="A1" s="2068" t="s">
        <v>2398</v>
      </c>
      <c r="B1" s="2068"/>
      <c r="C1" s="2068"/>
      <c r="D1" s="2068"/>
      <c r="E1" s="2068"/>
      <c r="F1" s="2068"/>
      <c r="G1" s="2068"/>
      <c r="H1" s="2068"/>
      <c r="I1" s="2068"/>
      <c r="J1" s="2068"/>
    </row>
    <row r="2" spans="1:13" ht="15" customHeight="1" thickBot="1">
      <c r="A2" s="851"/>
      <c r="B2" s="851"/>
      <c r="I2" s="852"/>
      <c r="K2" s="853"/>
    </row>
    <row r="3" spans="1:13" s="856" customFormat="1" ht="20" customHeight="1">
      <c r="A3" s="909"/>
      <c r="B3" s="910"/>
      <c r="C3" s="911"/>
      <c r="D3" s="916"/>
      <c r="E3" s="911"/>
      <c r="F3" s="912" t="s">
        <v>2399</v>
      </c>
      <c r="G3" s="911"/>
      <c r="H3" s="913">
        <f>E16</f>
        <v>25883188</v>
      </c>
      <c r="I3" s="914"/>
    </row>
    <row r="4" spans="1:13" s="856" customFormat="1" ht="20" customHeight="1">
      <c r="B4" s="903"/>
      <c r="D4" s="917"/>
      <c r="F4" s="901" t="s">
        <v>2400</v>
      </c>
      <c r="G4" s="900" t="s">
        <v>2401</v>
      </c>
      <c r="H4" s="902">
        <f>I16</f>
        <v>30204405.492156863</v>
      </c>
      <c r="I4" s="904"/>
      <c r="K4" s="860"/>
    </row>
    <row r="5" spans="1:13" s="856" customFormat="1" ht="20" customHeight="1" thickBot="1">
      <c r="B5" s="905"/>
      <c r="C5" s="906"/>
      <c r="D5" s="918"/>
      <c r="E5" s="907"/>
      <c r="F5" s="918" t="s">
        <v>2402</v>
      </c>
      <c r="G5" s="919"/>
      <c r="H5" s="915">
        <f>H3/H4</f>
        <v>0.85693419811626659</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69" t="s">
        <v>2403</v>
      </c>
      <c r="C8" s="2070"/>
      <c r="D8" s="2070"/>
      <c r="E8" s="2071"/>
      <c r="G8" s="2072" t="s">
        <v>2404</v>
      </c>
      <c r="H8" s="2073"/>
      <c r="I8" s="2074"/>
      <c r="K8" s="862"/>
    </row>
    <row r="9" spans="1:13" ht="15" customHeight="1">
      <c r="A9" s="851"/>
      <c r="B9" s="2063" t="s">
        <v>2405</v>
      </c>
      <c r="C9" s="2063"/>
      <c r="D9" s="2063"/>
      <c r="E9" s="864">
        <f>G31</f>
        <v>3825000</v>
      </c>
      <c r="G9" s="2066" t="s">
        <v>2406</v>
      </c>
      <c r="H9" s="2066"/>
      <c r="I9" s="865">
        <f>Application!AM554</f>
        <v>28826216</v>
      </c>
      <c r="K9" s="866"/>
      <c r="M9" s="867"/>
    </row>
    <row r="10" spans="1:13" ht="15" customHeight="1" thickBot="1">
      <c r="A10" s="851"/>
      <c r="B10" s="2063" t="s">
        <v>2407</v>
      </c>
      <c r="C10" s="2063"/>
      <c r="D10" s="2063"/>
      <c r="E10" s="865">
        <f>G40</f>
        <v>14144688.000000002</v>
      </c>
      <c r="G10" s="2066" t="s">
        <v>2408</v>
      </c>
      <c r="H10" s="2066"/>
      <c r="I10" s="950">
        <f>'Basis &amp; Credits'!AB78</f>
        <v>13000000</v>
      </c>
      <c r="M10" s="867"/>
    </row>
    <row r="11" spans="1:13" ht="15" customHeight="1">
      <c r="A11" s="868"/>
      <c r="B11" s="2063" t="s">
        <v>2409</v>
      </c>
      <c r="C11" s="2063"/>
      <c r="D11" s="2063"/>
      <c r="E11" s="865">
        <f>G49</f>
        <v>0</v>
      </c>
      <c r="G11" s="2066" t="s">
        <v>2410</v>
      </c>
      <c r="H11" s="2066"/>
      <c r="I11" s="949">
        <f>I9+I10</f>
        <v>41826216</v>
      </c>
      <c r="M11" s="867"/>
    </row>
    <row r="12" spans="1:13" ht="15" customHeight="1">
      <c r="A12" s="854"/>
      <c r="B12" s="2063" t="s">
        <v>2411</v>
      </c>
      <c r="C12" s="2063"/>
      <c r="D12" s="2063"/>
      <c r="E12" s="865">
        <f>G58</f>
        <v>340000</v>
      </c>
      <c r="G12" s="951" t="s">
        <v>2412</v>
      </c>
      <c r="H12" s="952"/>
      <c r="M12" s="867"/>
    </row>
    <row r="13" spans="1:13" ht="15" customHeight="1">
      <c r="A13" s="851"/>
      <c r="B13" s="2063" t="s">
        <v>2413</v>
      </c>
      <c r="C13" s="2063"/>
      <c r="D13" s="2063"/>
      <c r="E13" s="870">
        <f>G83</f>
        <v>5278500</v>
      </c>
      <c r="G13" s="2067" t="s">
        <v>1824</v>
      </c>
      <c r="H13" s="2067"/>
      <c r="I13" s="869">
        <f>15%*(AND(G111="Yes",G113&lt;&gt;""))</f>
        <v>0.15</v>
      </c>
      <c r="M13" s="867"/>
    </row>
    <row r="14" spans="1:13" ht="15" customHeight="1">
      <c r="A14" s="851"/>
      <c r="B14" s="2063" t="s">
        <v>2414</v>
      </c>
      <c r="C14" s="2063"/>
      <c r="D14" s="2063"/>
      <c r="E14" s="865">
        <f>IF(G96&gt;G106,G96,0)</f>
        <v>2295000</v>
      </c>
      <c r="G14" s="1216" t="s">
        <v>2415</v>
      </c>
      <c r="H14" s="1216"/>
      <c r="I14" s="869">
        <f>IF(Application!AJ1031&gt;0,10%,IF(Application!AJ1035&gt;0,5%,0))</f>
        <v>0</v>
      </c>
      <c r="M14" s="867"/>
    </row>
    <row r="15" spans="1:13" ht="15" customHeight="1" thickBot="1">
      <c r="A15" s="851"/>
      <c r="B15" s="2064" t="s">
        <v>2416</v>
      </c>
      <c r="C15" s="2064"/>
      <c r="D15" s="2064"/>
      <c r="E15" s="920">
        <f>IF(E14&gt;0,0,G106)</f>
        <v>0</v>
      </c>
      <c r="G15" s="2061" t="s">
        <v>2417</v>
      </c>
      <c r="H15" s="2062"/>
      <c r="I15" s="922">
        <f>G123</f>
        <v>0.127859477124183</v>
      </c>
      <c r="M15" s="867"/>
    </row>
    <row r="16" spans="1:13" ht="15" customHeight="1">
      <c r="A16" s="851"/>
      <c r="B16" s="2065" t="s">
        <v>2418</v>
      </c>
      <c r="C16" s="2065"/>
      <c r="D16" s="2065"/>
      <c r="E16" s="921">
        <f>SUM(E9:E15)</f>
        <v>25883188</v>
      </c>
      <c r="G16" s="948" t="s">
        <v>2419</v>
      </c>
      <c r="H16" s="948"/>
      <c r="I16" s="923">
        <f>I11-((I11*I13)+(I11*I14)+(I11*I15))</f>
        <v>30204405.492156863</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64</v>
      </c>
      <c r="O18" s="894" t="s">
        <v>982</v>
      </c>
      <c r="P18" s="849">
        <f>MATCH(Application!T189,Application!BV490:BV547,0)</f>
        <v>41</v>
      </c>
      <c r="S18" s="871">
        <f>SUM(Cdlac[Population])</f>
        <v>0</v>
      </c>
    </row>
    <row r="19" spans="1:20" ht="15" customHeight="1">
      <c r="A19" s="851"/>
      <c r="B19" s="851"/>
      <c r="I19" s="877"/>
      <c r="L19" s="849" t="s">
        <v>2420</v>
      </c>
      <c r="M19" s="849" t="s">
        <v>2421</v>
      </c>
      <c r="N19" s="849" t="s">
        <v>2422</v>
      </c>
      <c r="O19" s="849" t="s">
        <v>2423</v>
      </c>
      <c r="P19" s="849" t="s">
        <v>2424</v>
      </c>
      <c r="Q19" s="849" t="s">
        <v>2425</v>
      </c>
      <c r="R19" s="849" t="s">
        <v>2426</v>
      </c>
      <c r="S19" s="849" t="s">
        <v>2427</v>
      </c>
      <c r="T19" s="849" t="s">
        <v>1045</v>
      </c>
    </row>
    <row r="20" spans="1:20" ht="15" customHeight="1">
      <c r="A20" s="854"/>
      <c r="C20" s="2059" t="s">
        <v>2428</v>
      </c>
      <c r="D20" s="2059" t="s">
        <v>2429</v>
      </c>
      <c r="E20" s="2059" t="s">
        <v>2430</v>
      </c>
      <c r="F20" s="2059" t="s">
        <v>2431</v>
      </c>
      <c r="G20" s="2059" t="s">
        <v>2432</v>
      </c>
      <c r="H20" s="878"/>
      <c r="I20" s="877"/>
      <c r="L20" s="849">
        <f>IFERROR(MIN(4,MATCH(Application!B718,UnitSizes,0)-1),"")</f>
        <v>1</v>
      </c>
      <c r="M20" s="871">
        <f>Application!G718</f>
        <v>4</v>
      </c>
      <c r="N20" s="879">
        <f>Application!AC718</f>
        <v>0.7</v>
      </c>
      <c r="O20" s="879">
        <f>IF(Cdlac[[#This Row],[Quantity]]&gt;0,IF(Cdlac[[#This Row],[Federal]],30%,IF($G$36,40%,Cdlac[[#This Row],[iAMI]])),"")</f>
        <v>0.7</v>
      </c>
      <c r="P20" s="871" cm="1">
        <f t="array" ref="P20">IF(Cdlac[[#This Row],[Quantity]]&gt;0,INDEX(TcacRents,$P$18,Cdlac[[#This Row],[Bedrooms]]+1)*Cdlac[[#This Row],[AMI]],"")</f>
        <v>2570.3999999999996</v>
      </c>
      <c r="Q20" s="871" cm="1">
        <f t="array" ref="Q20">IF(Cdlac[[#This Row],[Quantity]]&gt;0,INDEX(HudFmrs,$P$18,Cdlac[[#This Row],[Bedrooms]]+1),"")</f>
        <v>2818</v>
      </c>
      <c r="R20" s="871">
        <f>IF(Cdlac[[#This Row],[Quantity]]&gt;0,MAX(0,Cdlac[[#This Row],[Fair Market Rent]]-Cdlac[[#This Row],[Restricted Rent]]),"")</f>
        <v>247.60000000000036</v>
      </c>
      <c r="S20" s="849">
        <f>IF(Cdlac[[#This Row],[Quantity]]&gt;0,AND(Application!AK718&lt;&gt;"N/A",Application!AK718&lt;&gt;"")*Cdlac[[#This Row],[Quantity]],"")</f>
        <v>0</v>
      </c>
      <c r="T20" s="849" t="b">
        <f>AND('Subsidy Contract Calculation'!F4&gt;0,'Subsidy Contract Calculation'!C4="Federal",Cdlac[[#This Row],[Quantity]]&gt;0)</f>
        <v>0</v>
      </c>
    </row>
    <row r="21" spans="1:20" ht="15" customHeight="1">
      <c r="A21" s="854"/>
      <c r="C21" s="2060"/>
      <c r="D21" s="2060"/>
      <c r="E21" s="2060"/>
      <c r="F21" s="2060"/>
      <c r="G21" s="2060"/>
      <c r="H21" s="878"/>
      <c r="I21" s="877"/>
      <c r="L21" s="849">
        <f>IFERROR(MIN(4,MATCH(Application!B719,UnitSizes,0)-1),"")</f>
        <v>1</v>
      </c>
      <c r="M21" s="871">
        <f>Application!G719</f>
        <v>15</v>
      </c>
      <c r="N21" s="879">
        <f>Application!AC719</f>
        <v>0.5</v>
      </c>
      <c r="O21" s="879">
        <f>IF(Cdlac[[#This Row],[Quantity]]&gt;0,IF(Cdlac[[#This Row],[Federal]],30%,IF($G$36,40%,Cdlac[[#This Row],[iAMI]])),"")</f>
        <v>0.5</v>
      </c>
      <c r="P21" s="871" cm="1">
        <f t="array" ref="P21">IF(Cdlac[[#This Row],[Quantity]]&gt;0,INDEX(TcacRents,$P$18,Cdlac[[#This Row],[Bedrooms]]+1)*Cdlac[[#This Row],[AMI]],"")</f>
        <v>1836</v>
      </c>
      <c r="Q21" s="871" cm="1">
        <f t="array" ref="Q21">IF(Cdlac[[#This Row],[Quantity]]&gt;0,INDEX(HudFmrs,$P$18,Cdlac[[#This Row],[Bedrooms]]+1),"")</f>
        <v>2818</v>
      </c>
      <c r="R21" s="871">
        <f>IF(Cdlac[[#This Row],[Quantity]]&gt;0,MAX(0,Cdlac[[#This Row],[Fair Market Rent]]-Cdlac[[#This Row],[Restricted Rent]]),"")</f>
        <v>982</v>
      </c>
      <c r="S21" s="849">
        <f>IF(Cdlac[[#This Row],[Quantity]]&gt;0,AND(Application!AK719&lt;&gt;"N/A",Application!AK719&lt;&gt;"")*Cdlac[[#This Row],[Quantity]],"")</f>
        <v>0</v>
      </c>
      <c r="T21" s="849" t="b">
        <f>AND('Subsidy Contract Calculation'!F5&gt;0,'Subsidy Contract Calculation'!C5="Federal",Cdlac[[#This Row],[Quantity]]&gt;0)</f>
        <v>0</v>
      </c>
    </row>
    <row r="22" spans="1:20" ht="15" customHeight="1">
      <c r="C22" s="880">
        <v>0</v>
      </c>
      <c r="D22" s="881">
        <v>0.9</v>
      </c>
      <c r="E22" s="880">
        <f>SUMIFS(Cdlac[Quantity],Cdlac[Bedrooms],C22)</f>
        <v>0</v>
      </c>
      <c r="F22" s="880">
        <f>E22</f>
        <v>0</v>
      </c>
      <c r="G22" s="880">
        <f>D22*F22</f>
        <v>0</v>
      </c>
      <c r="L22" s="849">
        <f>IFERROR(MIN(4,MATCH(Application!B720,UnitSizes,0)-1),"")</f>
        <v>1</v>
      </c>
      <c r="M22" s="871">
        <f>Application!G720</f>
        <v>11</v>
      </c>
      <c r="N22" s="879">
        <f>Application!AC720</f>
        <v>0.3</v>
      </c>
      <c r="O22" s="879">
        <f>IF(Cdlac[[#This Row],[Quantity]]&gt;0,IF(Cdlac[[#This Row],[Federal]],30%,IF($G$36,40%,Cdlac[[#This Row],[iAMI]])),"")</f>
        <v>0.3</v>
      </c>
      <c r="P22" s="871" cm="1">
        <f t="array" ref="P22">IF(Cdlac[[#This Row],[Quantity]]&gt;0,INDEX(TcacRents,$P$18,Cdlac[[#This Row],[Bedrooms]]+1)*Cdlac[[#This Row],[AMI]],"")</f>
        <v>1101.5999999999999</v>
      </c>
      <c r="Q22" s="871" cm="1">
        <f t="array" ref="Q22">IF(Cdlac[[#This Row],[Quantity]]&gt;0,INDEX(HudFmrs,$P$18,Cdlac[[#This Row],[Bedrooms]]+1),"")</f>
        <v>2818</v>
      </c>
      <c r="R22" s="871">
        <f>IF(Cdlac[[#This Row],[Quantity]]&gt;0,MAX(0,Cdlac[[#This Row],[Fair Market Rent]]-Cdlac[[#This Row],[Restricted Rent]]),"")</f>
        <v>1716.4</v>
      </c>
      <c r="S22" s="849">
        <f>IF(Cdlac[[#This Row],[Quantity]]&gt;0,AND(Application!AK720&lt;&gt;"N/A",Application!AK720&lt;&gt;"")*Cdlac[[#This Row],[Quantity]],"")</f>
        <v>0</v>
      </c>
      <c r="T22" s="849" t="b">
        <f>AND('Subsidy Contract Calculation'!F6&gt;0,'Subsidy Contract Calculation'!C6="Federal",Cdlac[[#This Row],[Quantity]]&gt;0)</f>
        <v>0</v>
      </c>
    </row>
    <row r="23" spans="1:20" ht="15" customHeight="1">
      <c r="C23" s="880">
        <v>1</v>
      </c>
      <c r="D23" s="881">
        <v>1</v>
      </c>
      <c r="E23" s="880">
        <f>SUMIFS(Cdlac[Quantity],Cdlac[Bedrooms],C23)</f>
        <v>30</v>
      </c>
      <c r="F23" s="880">
        <f>E23</f>
        <v>30</v>
      </c>
      <c r="G23" s="880">
        <f>D23*F23</f>
        <v>30</v>
      </c>
      <c r="L23" s="849">
        <f>IFERROR(MIN(4,MATCH(Application!B721,UnitSizes,0)-1),"")</f>
        <v>2</v>
      </c>
      <c r="M23" s="871">
        <f>Application!G721</f>
        <v>4</v>
      </c>
      <c r="N23" s="879">
        <f>Application!AC721</f>
        <v>0.7</v>
      </c>
      <c r="O23" s="879">
        <f>IF(Cdlac[[#This Row],[Quantity]]&gt;0,IF(Cdlac[[#This Row],[Federal]],30%,IF($G$36,40%,Cdlac[[#This Row],[iAMI]])),"")</f>
        <v>0.7</v>
      </c>
      <c r="P23" s="871" cm="1">
        <f t="array" ref="P23">IF(Cdlac[[#This Row],[Quantity]]&gt;0,INDEX(TcacRents,$P$18,Cdlac[[#This Row],[Bedrooms]]+1)*Cdlac[[#This Row],[AMI]],"")</f>
        <v>3084.2</v>
      </c>
      <c r="Q23" s="871" cm="1">
        <f t="array" ref="Q23">IF(Cdlac[[#This Row],[Quantity]]&gt;0,INDEX(HudFmrs,$P$18,Cdlac[[#This Row],[Bedrooms]]+1),"")</f>
        <v>3359</v>
      </c>
      <c r="R23" s="871">
        <f>IF(Cdlac[[#This Row],[Quantity]]&gt;0,MAX(0,Cdlac[[#This Row],[Fair Market Rent]]-Cdlac[[#This Row],[Restricted Rent]]),"")</f>
        <v>274.80000000000018</v>
      </c>
      <c r="S23" s="849">
        <f>IF(Cdlac[[#This Row],[Quantity]]&gt;0,AND(Application!AK721&lt;&gt;"N/A",Application!AK721&lt;&gt;"")*Cdlac[[#This Row],[Quantity]],"")</f>
        <v>0</v>
      </c>
      <c r="T23" s="849" t="b">
        <f>AND('Subsidy Contract Calculation'!F7&gt;0,'Subsidy Contract Calculation'!C7="Federal",Cdlac[[#This Row],[Quantity]]&gt;0)</f>
        <v>0</v>
      </c>
    </row>
    <row r="24" spans="1:20" ht="15" customHeight="1">
      <c r="A24" s="882"/>
      <c r="C24" s="883">
        <v>2</v>
      </c>
      <c r="D24" s="881">
        <v>1.25</v>
      </c>
      <c r="E24" s="880">
        <f>SUMIFS(Cdlac[Quantity],Cdlac[Bedrooms],C24)</f>
        <v>18</v>
      </c>
      <c r="F24" s="883">
        <f>SUM(E24:E26)-SUM(F25:F26)</f>
        <v>18</v>
      </c>
      <c r="G24" s="880">
        <f>D24*F24</f>
        <v>22.5</v>
      </c>
      <c r="H24" s="882"/>
      <c r="I24" s="882"/>
      <c r="L24" s="849">
        <f>IFERROR(MIN(4,MATCH(Application!B722,UnitSizes,0)-1),"")</f>
        <v>2</v>
      </c>
      <c r="M24" s="871">
        <f>Application!G722</f>
        <v>11</v>
      </c>
      <c r="N24" s="879">
        <f>Application!AC722</f>
        <v>0.5</v>
      </c>
      <c r="O24" s="879">
        <f>IF(Cdlac[[#This Row],[Quantity]]&gt;0,IF(Cdlac[[#This Row],[Federal]],30%,IF($G$36,40%,Cdlac[[#This Row],[iAMI]])),"")</f>
        <v>0.5</v>
      </c>
      <c r="P24" s="871" cm="1">
        <f t="array" ref="P24">IF(Cdlac[[#This Row],[Quantity]]&gt;0,INDEX(TcacRents,$P$18,Cdlac[[#This Row],[Bedrooms]]+1)*Cdlac[[#This Row],[AMI]],"")</f>
        <v>2203</v>
      </c>
      <c r="Q24" s="871" cm="1">
        <f t="array" ref="Q24">IF(Cdlac[[#This Row],[Quantity]]&gt;0,INDEX(HudFmrs,$P$18,Cdlac[[#This Row],[Bedrooms]]+1),"")</f>
        <v>3359</v>
      </c>
      <c r="R24" s="871">
        <f>IF(Cdlac[[#This Row],[Quantity]]&gt;0,MAX(0,Cdlac[[#This Row],[Fair Market Rent]]-Cdlac[[#This Row],[Restricted Rent]]),"")</f>
        <v>1156</v>
      </c>
      <c r="S24" s="849">
        <f>IF(Cdlac[[#This Row],[Quantity]]&gt;0,AND(Application!AK722&lt;&gt;"N/A",Application!AK722&lt;&gt;"")*Cdlac[[#This Row],[Quantity]],"")</f>
        <v>0</v>
      </c>
      <c r="T24" s="849" t="b">
        <f>AND('Subsidy Contract Calculation'!F8&gt;0,'Subsidy Contract Calculation'!C8="Federal",Cdlac[[#This Row],[Quantity]]&gt;0)</f>
        <v>0</v>
      </c>
    </row>
    <row r="25" spans="1:20" ht="15" customHeight="1">
      <c r="A25" s="882"/>
      <c r="C25" s="883">
        <v>3</v>
      </c>
      <c r="D25" s="881">
        <f>1.5+0.25*0</f>
        <v>1.5</v>
      </c>
      <c r="E25" s="880">
        <f>SUMIFS(Cdlac[Quantity],Cdlac[Bedrooms],C25)</f>
        <v>16</v>
      </c>
      <c r="F25" s="883">
        <f>MIN(E25,ROUNDDOWN(E27*30%,0))</f>
        <v>16</v>
      </c>
      <c r="G25" s="880">
        <f>D25*F25</f>
        <v>24</v>
      </c>
      <c r="H25" s="882"/>
      <c r="I25" s="882"/>
      <c r="L25" s="849">
        <f>IFERROR(MIN(4,MATCH(Application!B723,UnitSizes,0)-1),"")</f>
        <v>2</v>
      </c>
      <c r="M25" s="871">
        <f>Application!G723</f>
        <v>3</v>
      </c>
      <c r="N25" s="879">
        <f>Application!AC723</f>
        <v>0.3</v>
      </c>
      <c r="O25" s="879">
        <f>IF(Cdlac[[#This Row],[Quantity]]&gt;0,IF(Cdlac[[#This Row],[Federal]],30%,IF($G$36,40%,Cdlac[[#This Row],[iAMI]])),"")</f>
        <v>0.3</v>
      </c>
      <c r="P25" s="871" cm="1">
        <f t="array" ref="P25">IF(Cdlac[[#This Row],[Quantity]]&gt;0,INDEX(TcacRents,$P$18,Cdlac[[#This Row],[Bedrooms]]+1)*Cdlac[[#This Row],[AMI]],"")</f>
        <v>1321.8</v>
      </c>
      <c r="Q25" s="871" cm="1">
        <f t="array" ref="Q25">IF(Cdlac[[#This Row],[Quantity]]&gt;0,INDEX(HudFmrs,$P$18,Cdlac[[#This Row],[Bedrooms]]+1),"")</f>
        <v>3359</v>
      </c>
      <c r="R25" s="871">
        <f>IF(Cdlac[[#This Row],[Quantity]]&gt;0,MAX(0,Cdlac[[#This Row],[Fair Market Rent]]-Cdlac[[#This Row],[Restricted Rent]]),"")</f>
        <v>2037.2</v>
      </c>
      <c r="S25" s="849">
        <f>IF(Cdlac[[#This Row],[Quantity]]&gt;0,AND(Application!AK723&lt;&gt;"N/A",Application!AK723&lt;&gt;"")*Cdlac[[#This Row],[Quantity]],"")</f>
        <v>0</v>
      </c>
      <c r="T25" s="849" t="b">
        <f>AND('Subsidy Contract Calculation'!F9&gt;0,'Subsidy Contract Calculation'!C9="Federal",Cdlac[[#This Row],[Quantity]]&gt;0)</f>
        <v>0</v>
      </c>
    </row>
    <row r="26" spans="1:20" ht="15" customHeight="1" thickBot="1">
      <c r="A26" s="882"/>
      <c r="C26" s="895">
        <v>4</v>
      </c>
      <c r="D26" s="896">
        <f>1.75+0.25*0</f>
        <v>1.75</v>
      </c>
      <c r="E26" s="897">
        <f>SUMIFS(Cdlac[Quantity],Cdlac[Bedrooms],C26)</f>
        <v>0</v>
      </c>
      <c r="F26" s="895">
        <f>MIN(E26,ROUNDDOWN(E27*10%,0))</f>
        <v>0</v>
      </c>
      <c r="G26" s="897">
        <f>D26*F26</f>
        <v>0</v>
      </c>
      <c r="H26" s="882"/>
      <c r="I26" s="882"/>
      <c r="L26" s="849">
        <f>IFERROR(MIN(4,MATCH(Application!B724,UnitSizes,0)-1),"")</f>
        <v>3</v>
      </c>
      <c r="M26" s="871">
        <f>Application!G724</f>
        <v>4</v>
      </c>
      <c r="N26" s="879">
        <f>Application!AC724</f>
        <v>0.7</v>
      </c>
      <c r="O26" s="879">
        <f>IF(Cdlac[[#This Row],[Quantity]]&gt;0,IF(Cdlac[[#This Row],[Federal]],30%,IF($G$36,40%,Cdlac[[#This Row],[iAMI]])),"")</f>
        <v>0.7</v>
      </c>
      <c r="P26" s="871" cm="1">
        <f t="array" ref="P26">IF(Cdlac[[#This Row],[Quantity]]&gt;0,INDEX(TcacRents,$P$18,Cdlac[[#This Row],[Bedrooms]]+1)*Cdlac[[#This Row],[AMI]],"")</f>
        <v>3563</v>
      </c>
      <c r="Q26" s="871" cm="1">
        <f t="array" ref="Q26">IF(Cdlac[[#This Row],[Quantity]]&gt;0,INDEX(HudFmrs,$P$18,Cdlac[[#This Row],[Bedrooms]]+1),"")</f>
        <v>4112</v>
      </c>
      <c r="R26" s="871">
        <f>IF(Cdlac[[#This Row],[Quantity]]&gt;0,MAX(0,Cdlac[[#This Row],[Fair Market Rent]]-Cdlac[[#This Row],[Restricted Rent]]),"")</f>
        <v>549</v>
      </c>
      <c r="S26" s="849">
        <f>IF(Cdlac[[#This Row],[Quantity]]&gt;0,AND(Application!AK724&lt;&gt;"N/A",Application!AK724&lt;&gt;"")*Cdlac[[#This Row],[Quantity]],"")</f>
        <v>0</v>
      </c>
      <c r="T26" s="849" t="b">
        <f>AND('Subsidy Contract Calculation'!F10&gt;0,'Subsidy Contract Calculation'!C10="Federal",Cdlac[[#This Row],[Quantity]]&gt;0)</f>
        <v>0</v>
      </c>
    </row>
    <row r="27" spans="1:20" ht="15" customHeight="1">
      <c r="A27" s="882"/>
      <c r="C27" s="2075" t="s">
        <v>2433</v>
      </c>
      <c r="D27" s="2076"/>
      <c r="E27" s="898">
        <f>SUM(E22:E26)</f>
        <v>64</v>
      </c>
      <c r="F27" s="898">
        <f>SUM(F22:F26)</f>
        <v>64</v>
      </c>
      <c r="G27" s="899">
        <f>SUMPRODUCT(D22:D26,F22:F26)</f>
        <v>76.5</v>
      </c>
      <c r="H27" s="882"/>
      <c r="I27" s="882"/>
      <c r="L27" s="849">
        <f>IFERROR(MIN(4,MATCH(Application!B725,UnitSizes,0)-1),"")</f>
        <v>3</v>
      </c>
      <c r="M27" s="871">
        <f>Application!G725</f>
        <v>9</v>
      </c>
      <c r="N27" s="879">
        <f>Application!AC725</f>
        <v>0.5</v>
      </c>
      <c r="O27" s="879">
        <f>IF(Cdlac[[#This Row],[Quantity]]&gt;0,IF(Cdlac[[#This Row],[Federal]],30%,IF($G$36,40%,Cdlac[[#This Row],[iAMI]])),"")</f>
        <v>0.5</v>
      </c>
      <c r="P27" s="871" cm="1">
        <f t="array" ref="P27">IF(Cdlac[[#This Row],[Quantity]]&gt;0,INDEX(TcacRents,$P$18,Cdlac[[#This Row],[Bedrooms]]+1)*Cdlac[[#This Row],[AMI]],"")</f>
        <v>2545</v>
      </c>
      <c r="Q27" s="871" cm="1">
        <f t="array" ref="Q27">IF(Cdlac[[#This Row],[Quantity]]&gt;0,INDEX(HudFmrs,$P$18,Cdlac[[#This Row],[Bedrooms]]+1),"")</f>
        <v>4112</v>
      </c>
      <c r="R27" s="871">
        <f>IF(Cdlac[[#This Row],[Quantity]]&gt;0,MAX(0,Cdlac[[#This Row],[Fair Market Rent]]-Cdlac[[#This Row],[Restricted Rent]]),"")</f>
        <v>1567</v>
      </c>
      <c r="S27" s="849">
        <f>IF(Cdlac[[#This Row],[Quantity]]&gt;0,AND(Application!AK725&lt;&gt;"N/A",Application!AK725&lt;&gt;"")*Cdlac[[#This Row],[Quantity]],"")</f>
        <v>0</v>
      </c>
      <c r="T27" s="849" t="b">
        <f>AND('Subsidy Contract Calculation'!F11&gt;0,'Subsidy Contract Calculation'!C11="Federal",Cdlac[[#This Row],[Quantity]]&gt;0)</f>
        <v>0</v>
      </c>
    </row>
    <row r="28" spans="1:20" ht="15" customHeight="1">
      <c r="A28" s="882"/>
      <c r="C28" s="882"/>
      <c r="D28" s="882"/>
      <c r="E28" s="882"/>
      <c r="F28" s="882"/>
      <c r="G28" s="882"/>
      <c r="H28" s="882"/>
      <c r="I28" s="882"/>
      <c r="L28" s="849">
        <f>IFERROR(MIN(4,MATCH(Application!B726,UnitSizes,0)-1),"")</f>
        <v>3</v>
      </c>
      <c r="M28" s="871">
        <f>Application!G726</f>
        <v>3</v>
      </c>
      <c r="N28" s="879">
        <f>Application!AC726</f>
        <v>0.3</v>
      </c>
      <c r="O28" s="879">
        <f>IF(Cdlac[[#This Row],[Quantity]]&gt;0,IF(Cdlac[[#This Row],[Federal]],30%,IF($G$36,40%,Cdlac[[#This Row],[iAMI]])),"")</f>
        <v>0.3</v>
      </c>
      <c r="P28" s="871" cm="1">
        <f t="array" ref="P28">IF(Cdlac[[#This Row],[Quantity]]&gt;0,INDEX(TcacRents,$P$18,Cdlac[[#This Row],[Bedrooms]]+1)*Cdlac[[#This Row],[AMI]],"")</f>
        <v>1527</v>
      </c>
      <c r="Q28" s="871" cm="1">
        <f t="array" ref="Q28">IF(Cdlac[[#This Row],[Quantity]]&gt;0,INDEX(HudFmrs,$P$18,Cdlac[[#This Row],[Bedrooms]]+1),"")</f>
        <v>4112</v>
      </c>
      <c r="R28" s="871">
        <f>IF(Cdlac[[#This Row],[Quantity]]&gt;0,MAX(0,Cdlac[[#This Row],[Fair Market Rent]]-Cdlac[[#This Row],[Restricted Rent]]),"")</f>
        <v>2585</v>
      </c>
      <c r="S28" s="849">
        <f>IF(Cdlac[[#This Row],[Quantity]]&gt;0,AND(Application!AK726&lt;&gt;"N/A",Application!AK726&lt;&gt;"")*Cdlac[[#This Row],[Quantity]],"")</f>
        <v>0</v>
      </c>
      <c r="T28" s="849" t="b">
        <f>AND('Subsidy Contract Calculation'!F12&gt;0,'Subsidy Contract Calculation'!C12="Federal",Cdlac[[#This Row],[Quantity]]&gt;0)</f>
        <v>0</v>
      </c>
    </row>
    <row r="29" spans="1:20" ht="15" customHeight="1">
      <c r="A29" s="882"/>
      <c r="E29" s="928" t="s">
        <v>2432</v>
      </c>
      <c r="G29" s="925">
        <f>G27</f>
        <v>76.5</v>
      </c>
      <c r="H29" s="882"/>
      <c r="I29" s="882"/>
      <c r="L29" s="849" t="str">
        <f>IFERROR(MIN(4,MATCH(Application!B727,UnitSizes,0)-1),"")</f>
        <v/>
      </c>
      <c r="M29" s="871">
        <f>Application!G727</f>
        <v>0</v>
      </c>
      <c r="N29" s="879">
        <f>Application!AC727</f>
        <v>0</v>
      </c>
      <c r="O29" s="879" t="str">
        <f>IF(Cdlac[[#This Row],[Quantity]]&gt;0,IF(Cdlac[[#This Row],[Federal]],30%,IF($G$36,40%,Cdlac[[#This Row],[iAMI]])),"")</f>
        <v/>
      </c>
      <c r="P29" s="871" t="str" cm="1">
        <f t="array" ref="P29">IF(Cdlac[[#This Row],[Quantity]]&gt;0,INDEX(TcacRents,$P$18,Cdlac[[#This Row],[Bedrooms]]+1)*Cdlac[[#This Row],[AMI]],"")</f>
        <v/>
      </c>
      <c r="Q29" s="871" t="str" cm="1">
        <f t="array" ref="Q29">IF(Cdlac[[#This Row],[Quantity]]&gt;0,INDEX(HudFmrs,$P$18,Cdlac[[#This Row],[Bedrooms]]+1),"")</f>
        <v/>
      </c>
      <c r="R29" s="871" t="str">
        <f>IF(Cdlac[[#This Row],[Quantity]]&gt;0,MAX(0,Cdlac[[#This Row],[Fair Market Rent]]-Cdlac[[#This Row],[Restricted Rent]]),"")</f>
        <v/>
      </c>
      <c r="S29" s="849" t="str">
        <f>IF(Cdlac[[#This Row],[Quantity]]&gt;0,AND(Application!AK727&lt;&gt;"N/A",Application!AK727&lt;&gt;"")*Cdlac[[#This Row],[Quantity]],"")</f>
        <v/>
      </c>
      <c r="T29" s="849" t="b">
        <f>AND('Subsidy Contract Calculation'!F13&gt;0,'Subsidy Contract Calculation'!C13="Federal",Cdlac[[#This Row],[Quantity]]&gt;0)</f>
        <v>0</v>
      </c>
    </row>
    <row r="30" spans="1:20" ht="15" customHeight="1">
      <c r="A30" s="882"/>
      <c r="E30" s="928" t="s">
        <v>2434</v>
      </c>
      <c r="F30" s="924" t="s">
        <v>2435</v>
      </c>
      <c r="G30" s="926">
        <v>50000</v>
      </c>
      <c r="H30" s="882"/>
      <c r="I30" s="882"/>
      <c r="L30" s="849" t="str">
        <f>IFERROR(MIN(4,MATCH(Application!B728,UnitSizes,0)-1),"")</f>
        <v/>
      </c>
      <c r="M30" s="871">
        <f>Application!G728</f>
        <v>0</v>
      </c>
      <c r="N30" s="879">
        <f>Application!AC728</f>
        <v>0</v>
      </c>
      <c r="O30" s="879" t="str">
        <f>IF(Cdlac[[#This Row],[Quantity]]&gt;0,IF(Cdlac[[#This Row],[Federal]],30%,IF($G$36,40%,Cdlac[[#This Row],[iAMI]])),"")</f>
        <v/>
      </c>
      <c r="P30" s="871" t="str" cm="1">
        <f t="array" ref="P30">IF(Cdlac[[#This Row],[Quantity]]&gt;0,INDEX(TcacRents,$P$18,Cdlac[[#This Row],[Bedrooms]]+1)*Cdlac[[#This Row],[AMI]],"")</f>
        <v/>
      </c>
      <c r="Q30" s="871" t="str" cm="1">
        <f t="array" ref="Q30">IF(Cdlac[[#This Row],[Quantity]]&gt;0,INDEX(HudFmrs,$P$18,Cdlac[[#This Row],[Bedrooms]]+1),"")</f>
        <v/>
      </c>
      <c r="R30" s="871" t="str">
        <f>IF(Cdlac[[#This Row],[Quantity]]&gt;0,MAX(0,Cdlac[[#This Row],[Fair Market Rent]]-Cdlac[[#This Row],[Restricted Rent]]),"")</f>
        <v/>
      </c>
      <c r="S30" s="849" t="str">
        <f>IF(Cdlac[[#This Row],[Quantity]]&gt;0,AND(Application!AK728&lt;&gt;"N/A",Application!AK728&lt;&gt;"")*Cdlac[[#This Row],[Quantity]],"")</f>
        <v/>
      </c>
      <c r="T30" s="849" t="b">
        <f>AND('Subsidy Contract Calculation'!F14&gt;0,'Subsidy Contract Calculation'!C14="Federal",Cdlac[[#This Row],[Quantity]]&gt;0)</f>
        <v>0</v>
      </c>
    </row>
    <row r="31" spans="1:20" ht="15" customHeight="1">
      <c r="A31" s="882"/>
      <c r="E31" s="929" t="s">
        <v>2436</v>
      </c>
      <c r="F31" s="851"/>
      <c r="G31" s="930">
        <f>G30*G29</f>
        <v>3825000</v>
      </c>
      <c r="H31" s="882"/>
      <c r="I31" s="882"/>
      <c r="L31" s="849" t="str">
        <f>IFERROR(MIN(4,MATCH(Application!B729,UnitSizes,0)-1),"")</f>
        <v/>
      </c>
      <c r="M31" s="871">
        <f>Application!G729</f>
        <v>0</v>
      </c>
      <c r="N31" s="879">
        <f>Application!AC729</f>
        <v>0</v>
      </c>
      <c r="O31" s="879" t="str">
        <f>IF(Cdlac[[#This Row],[Quantity]]&gt;0,IF(Cdlac[[#This Row],[Federal]],30%,IF($G$36,40%,Cdlac[[#This Row],[iAMI]])),"")</f>
        <v/>
      </c>
      <c r="P31" s="871" t="str" cm="1">
        <f t="array" ref="P31">IF(Cdlac[[#This Row],[Quantity]]&gt;0,INDEX(TcacRents,$P$18,Cdlac[[#This Row],[Bedrooms]]+1)*Cdlac[[#This Row],[AMI]],"")</f>
        <v/>
      </c>
      <c r="Q31" s="871" t="str" cm="1">
        <f t="array" ref="Q31">IF(Cdlac[[#This Row],[Quantity]]&gt;0,INDEX(HudFmrs,$P$18,Cdlac[[#This Row],[Bedrooms]]+1),"")</f>
        <v/>
      </c>
      <c r="R31" s="871" t="str">
        <f>IF(Cdlac[[#This Row],[Quantity]]&gt;0,MAX(0,Cdlac[[#This Row],[Fair Market Rent]]-Cdlac[[#This Row],[Restricted Rent]]),"")</f>
        <v/>
      </c>
      <c r="S31" s="849" t="str">
        <f>IF(Cdlac[[#This Row],[Quantity]]&gt;0,AND(Application!AK729&lt;&gt;"N/A",Application!AK729&lt;&gt;"")*Cdlac[[#This Row],[Quantity]],"")</f>
        <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t="str">
        <f>IFERROR(MIN(4,MATCH(Application!B730,UnitSizes,0)-1),"")</f>
        <v/>
      </c>
      <c r="M32" s="871">
        <f>Application!G730</f>
        <v>0</v>
      </c>
      <c r="N32" s="879">
        <f>Application!AC730</f>
        <v>0</v>
      </c>
      <c r="O32" s="879" t="str">
        <f>IF(Cdlac[[#This Row],[Quantity]]&gt;0,IF(Cdlac[[#This Row],[Federal]],30%,IF($G$36,40%,Cdlac[[#This Row],[iAMI]])),"")</f>
        <v/>
      </c>
      <c r="P32" s="871" t="str" cm="1">
        <f t="array" ref="P32">IF(Cdlac[[#This Row],[Quantity]]&gt;0,INDEX(TcacRents,$P$18,Cdlac[[#This Row],[Bedrooms]]+1)*Cdlac[[#This Row],[AMI]],"")</f>
        <v/>
      </c>
      <c r="Q32" s="871" t="str" cm="1">
        <f t="array" ref="Q32">IF(Cdlac[[#This Row],[Quantity]]&gt;0,INDEX(HudFmrs,$P$18,Cdlac[[#This Row],[Bedrooms]]+1),"")</f>
        <v/>
      </c>
      <c r="R32" s="871" t="str">
        <f>IF(Cdlac[[#This Row],[Quantity]]&gt;0,MAX(0,Cdlac[[#This Row],[Fair Market Rent]]-Cdlac[[#This Row],[Restricted Rent]]),"")</f>
        <v/>
      </c>
      <c r="S32" s="849" t="str">
        <f>IF(Cdlac[[#This Row],[Quantity]]&gt;0,AND(Application!AK730&lt;&gt;"N/A",Application!AK730&lt;&gt;"")*Cdlac[[#This Row],[Quantity]],"")</f>
        <v/>
      </c>
      <c r="T32" s="849" t="b">
        <f>AND('Subsidy Contract Calculation'!F16&gt;0,'Subsidy Contract Calculation'!C16="Federal",Cdlac[[#This Row],[Quantity]]&gt;0)</f>
        <v>0</v>
      </c>
    </row>
    <row r="33" spans="2:20" ht="15" customHeight="1">
      <c r="B33" s="874" t="str">
        <f>B10</f>
        <v>B. Rent Savings Benefit</v>
      </c>
      <c r="C33" s="875"/>
      <c r="D33" s="875"/>
      <c r="E33" s="875"/>
      <c r="F33" s="875"/>
      <c r="G33" s="875"/>
      <c r="H33" s="875"/>
      <c r="I33" s="876"/>
      <c r="L33" s="849" t="str">
        <f>IFERROR(MIN(4,MATCH(Application!B731,UnitSizes,0)-1),"")</f>
        <v/>
      </c>
      <c r="M33" s="871">
        <f>Application!G731</f>
        <v>0</v>
      </c>
      <c r="N33" s="879">
        <f>Application!AC731</f>
        <v>0</v>
      </c>
      <c r="O33" s="879" t="str">
        <f>IF(Cdlac[[#This Row],[Quantity]]&gt;0,IF(Cdlac[[#This Row],[Federal]],30%,IF($G$36,40%,Cdlac[[#This Row],[iAMI]])),"")</f>
        <v/>
      </c>
      <c r="P33" s="871" t="str" cm="1">
        <f t="array" ref="P33">IF(Cdlac[[#This Row],[Quantity]]&gt;0,INDEX(TcacRents,$P$18,Cdlac[[#This Row],[Bedrooms]]+1)*Cdlac[[#This Row],[AMI]],"")</f>
        <v/>
      </c>
      <c r="Q33" s="871" t="str" cm="1">
        <f t="array" ref="Q33">IF(Cdlac[[#This Row],[Quantity]]&gt;0,INDEX(HudFmrs,$P$18,Cdlac[[#This Row],[Bedrooms]]+1),"")</f>
        <v/>
      </c>
      <c r="R33" s="871" t="str">
        <f>IF(Cdlac[[#This Row],[Quantity]]&gt;0,MAX(0,Cdlac[[#This Row],[Fair Market Rent]]-Cdlac[[#This Row],[Restricted Rent]]),"")</f>
        <v/>
      </c>
      <c r="S33" s="849" t="str">
        <f>IF(Cdlac[[#This Row],[Quantity]]&gt;0,AND(Application!AK731&lt;&gt;"N/A",Application!AK731&lt;&gt;"")*Cdlac[[#This Row],[Quantity]],"")</f>
        <v/>
      </c>
      <c r="T33" s="849" t="b">
        <f>AND('Subsidy Contract Calculation'!F17&gt;0,'Subsidy Contract Calculation'!C17="Federal",Cdlac[[#This Row],[Quantity]]&gt;0)</f>
        <v>0</v>
      </c>
    </row>
    <row r="34" spans="2:20" ht="15" customHeight="1">
      <c r="L34" s="849" t="str">
        <f>IFERROR(MIN(4,MATCH(Application!B732,UnitSizes,0)-1),"")</f>
        <v/>
      </c>
      <c r="M34" s="871">
        <f>Application!G732</f>
        <v>0</v>
      </c>
      <c r="N34" s="879">
        <f>Application!AC732</f>
        <v>0</v>
      </c>
      <c r="O34" s="879" t="str">
        <f>IF(Cdlac[[#This Row],[Quantity]]&gt;0,IF(Cdlac[[#This Row],[Federal]],30%,IF($G$36,40%,Cdlac[[#This Row],[iAMI]])),"")</f>
        <v/>
      </c>
      <c r="P34" s="871" t="str" cm="1">
        <f t="array" ref="P34">IF(Cdlac[[#This Row],[Quantity]]&gt;0,INDEX(TcacRents,$P$18,Cdlac[[#This Row],[Bedrooms]]+1)*Cdlac[[#This Row],[AMI]],"")</f>
        <v/>
      </c>
      <c r="Q34" s="871" t="str" cm="1">
        <f t="array" ref="Q34">IF(Cdlac[[#This Row],[Quantity]]&gt;0,INDEX(HudFmrs,$P$18,Cdlac[[#This Row],[Bedrooms]]+1),"")</f>
        <v/>
      </c>
      <c r="R34" s="871" t="str">
        <f>IF(Cdlac[[#This Row],[Quantity]]&gt;0,MAX(0,Cdlac[[#This Row],[Fair Market Rent]]-Cdlac[[#This Row],[Restricted Rent]]),"")</f>
        <v/>
      </c>
      <c r="S34" s="849" t="str">
        <f>IF(Cdlac[[#This Row],[Quantity]]&gt;0,AND(Application!AK732&lt;&gt;"N/A",Application!AK732&lt;&gt;"")*Cdlac[[#This Row],[Quantity]],"")</f>
        <v/>
      </c>
      <c r="T34" s="849" t="b">
        <f>AND('Subsidy Contract Calculation'!F18&gt;0,'Subsidy Contract Calculation'!C18="Federal",Cdlac[[#This Row],[Quantity]]&gt;0)</f>
        <v>0</v>
      </c>
    </row>
    <row r="35" spans="2:20" ht="15" customHeight="1">
      <c r="E35" s="894" t="s">
        <v>2437</v>
      </c>
      <c r="G35" s="931" cm="1">
        <f t="array" ref="G35">SUMPRODUCT(Cdlac[Quantity],Cdlac[iAMI],IF(Cdlac[Federal],0,1))/SUMIFS(Cdlac[Quantity],Cdlac[Federal],FALSE)</f>
        <v>0.484375</v>
      </c>
      <c r="L35" s="849" t="str">
        <f>IFERROR(MIN(4,MATCH(Application!B733,UnitSizes,0)-1),"")</f>
        <v/>
      </c>
      <c r="M35" s="871">
        <f>Application!G733</f>
        <v>0</v>
      </c>
      <c r="N35" s="879">
        <f>Application!AC733</f>
        <v>0</v>
      </c>
      <c r="O35" s="879" t="str">
        <f>IF(Cdlac[[#This Row],[Quantity]]&gt;0,IF(Cdlac[[#This Row],[Federal]],30%,IF($G$36,40%,Cdlac[[#This Row],[iAMI]])),"")</f>
        <v/>
      </c>
      <c r="P35" s="871" t="str" cm="1">
        <f t="array" ref="P35">IF(Cdlac[[#This Row],[Quantity]]&gt;0,INDEX(TcacRents,$P$18,Cdlac[[#This Row],[Bedrooms]]+1)*Cdlac[[#This Row],[AMI]],"")</f>
        <v/>
      </c>
      <c r="Q35" s="871" t="str" cm="1">
        <f t="array" ref="Q35">IF(Cdlac[[#This Row],[Quantity]]&gt;0,INDEX(HudFmrs,$P$18,Cdlac[[#This Row],[Bedrooms]]+1),"")</f>
        <v/>
      </c>
      <c r="R35" s="871" t="str">
        <f>IF(Cdlac[[#This Row],[Quantity]]&gt;0,MAX(0,Cdlac[[#This Row],[Fair Market Rent]]-Cdlac[[#This Row],[Restricted Rent]]),"")</f>
        <v/>
      </c>
      <c r="S35" s="849" t="str">
        <f>IF(Cdlac[[#This Row],[Quantity]]&gt;0,AND(Application!AK733&lt;&gt;"N/A",Application!AK733&lt;&gt;"")*Cdlac[[#This Row],[Quantity]],"")</f>
        <v/>
      </c>
      <c r="T35" s="849" t="b">
        <f>AND('Subsidy Contract Calculation'!F19&gt;0,'Subsidy Contract Calculation'!C19="Federal",Cdlac[[#This Row],[Quantity]]&gt;0)</f>
        <v>0</v>
      </c>
    </row>
    <row r="36" spans="2:20" ht="15" customHeight="1">
      <c r="E36" s="894" t="s">
        <v>2438</v>
      </c>
      <c r="G36" s="889" t="b">
        <f>G35&lt;40%</f>
        <v>0</v>
      </c>
      <c r="L36" s="849" t="str">
        <f>IFERROR(MIN(4,MATCH(Application!B734,UnitSizes,0)-1),"")</f>
        <v/>
      </c>
      <c r="M36" s="871">
        <f>Application!G734</f>
        <v>0</v>
      </c>
      <c r="N36" s="879">
        <f>Application!AC734</f>
        <v>0</v>
      </c>
      <c r="O36" s="879" t="str">
        <f>IF(Cdlac[[#This Row],[Quantity]]&gt;0,IF(Cdlac[[#This Row],[Federal]],30%,IF($G$36,40%,Cdlac[[#This Row],[iAMI]])),"")</f>
        <v/>
      </c>
      <c r="P36" s="871" t="str" cm="1">
        <f t="array" ref="P36">IF(Cdlac[[#This Row],[Quantity]]&gt;0,INDEX(TcacRents,$P$18,Cdlac[[#This Row],[Bedrooms]]+1)*Cdlac[[#This Row],[AMI]],"")</f>
        <v/>
      </c>
      <c r="Q36" s="871" t="str" cm="1">
        <f t="array" ref="Q36">IF(Cdlac[[#This Row],[Quantity]]&gt;0,INDEX(HudFmrs,$P$18,Cdlac[[#This Row],[Bedrooms]]+1),"")</f>
        <v/>
      </c>
      <c r="R36" s="871" t="str">
        <f>IF(Cdlac[[#This Row],[Quantity]]&gt;0,MAX(0,Cdlac[[#This Row],[Fair Market Rent]]-Cdlac[[#This Row],[Restricted Rent]]),"")</f>
        <v/>
      </c>
      <c r="S36" s="849" t="str">
        <f>IF(Cdlac[[#This Row],[Quantity]]&gt;0,AND(Application!AK734&lt;&gt;"N/A",Application!AK734&lt;&gt;"")*Cdlac[[#This Row],[Quantity]],"")</f>
        <v/>
      </c>
      <c r="T36" s="849" t="b">
        <f>AND('Subsidy Contract Calculation'!F20&gt;0,'Subsidy Contract Calculation'!C20="Federal",Cdlac[[#This Row],[Quantity]]&gt;0)</f>
        <v>0</v>
      </c>
    </row>
    <row r="37" spans="2:20" ht="15" customHeight="1">
      <c r="L37" s="849" t="str">
        <f>IFERROR(MIN(4,MATCH(Application!B735,UnitSizes,0)-1),"")</f>
        <v/>
      </c>
      <c r="M37" s="871">
        <f>Application!G735</f>
        <v>0</v>
      </c>
      <c r="N37" s="879">
        <f>Application!AC735</f>
        <v>0</v>
      </c>
      <c r="O37" s="879" t="str">
        <f>IF(Cdlac[[#This Row],[Quantity]]&gt;0,IF(Cdlac[[#This Row],[Federal]],30%,IF($G$36,40%,Cdlac[[#This Row],[iAMI]])),"")</f>
        <v/>
      </c>
      <c r="P37" s="871" t="str" cm="1">
        <f t="array" ref="P37">IF(Cdlac[[#This Row],[Quantity]]&gt;0,INDEX(TcacRents,$P$18,Cdlac[[#This Row],[Bedrooms]]+1)*Cdlac[[#This Row],[AMI]],"")</f>
        <v/>
      </c>
      <c r="Q37" s="871" t="str" cm="1">
        <f t="array" ref="Q37">IF(Cdlac[[#This Row],[Quantity]]&gt;0,INDEX(HudFmrs,$P$18,Cdlac[[#This Row],[Bedrooms]]+1),"")</f>
        <v/>
      </c>
      <c r="R37" s="871" t="str">
        <f>IF(Cdlac[[#This Row],[Quantity]]&gt;0,MAX(0,Cdlac[[#This Row],[Fair Market Rent]]-Cdlac[[#This Row],[Restricted Rent]]),"")</f>
        <v/>
      </c>
      <c r="S37" s="849" t="str">
        <f>IF(Cdlac[[#This Row],[Quantity]]&gt;0,AND(Application!AK735&lt;&gt;"N/A",Application!AK735&lt;&gt;"")*Cdlac[[#This Row],[Quantity]],"")</f>
        <v/>
      </c>
      <c r="T37" s="849" t="b">
        <f>AND('Subsidy Contract Calculation'!F21&gt;0,'Subsidy Contract Calculation'!C21="Federal",Cdlac[[#This Row],[Quantity]]&gt;0)</f>
        <v>0</v>
      </c>
    </row>
    <row r="38" spans="2:20" ht="15" customHeight="1">
      <c r="E38" s="894" t="s">
        <v>2439</v>
      </c>
      <c r="G38" s="886">
        <f>SUMPRODUCT(Cdlac[Quantity],Cdlac[Delta])</f>
        <v>78581.600000000006</v>
      </c>
      <c r="L38" s="849" t="str">
        <f>IFERROR(MIN(4,MATCH(Application!B736,UnitSizes,0)-1),"")</f>
        <v/>
      </c>
      <c r="M38" s="871">
        <f>Application!G736</f>
        <v>0</v>
      </c>
      <c r="N38" s="879">
        <f>Application!AC736</f>
        <v>0</v>
      </c>
      <c r="O38" s="879" t="str">
        <f>IF(Cdlac[[#This Row],[Quantity]]&gt;0,IF(Cdlac[[#This Row],[Federal]],30%,IF($G$36,40%,Cdlac[[#This Row],[iAMI]])),"")</f>
        <v/>
      </c>
      <c r="P38" s="871" t="str" cm="1">
        <f t="array" ref="P38">IF(Cdlac[[#This Row],[Quantity]]&gt;0,INDEX(TcacRents,$P$18,Cdlac[[#This Row],[Bedrooms]]+1)*Cdlac[[#This Row],[AMI]],"")</f>
        <v/>
      </c>
      <c r="Q38" s="871" t="str" cm="1">
        <f t="array" ref="Q38">IF(Cdlac[[#This Row],[Quantity]]&gt;0,INDEX(HudFmrs,$P$18,Cdlac[[#This Row],[Bedrooms]]+1),"")</f>
        <v/>
      </c>
      <c r="R38" s="871" t="str">
        <f>IF(Cdlac[[#This Row],[Quantity]]&gt;0,MAX(0,Cdlac[[#This Row],[Fair Market Rent]]-Cdlac[[#This Row],[Restricted Rent]]),"")</f>
        <v/>
      </c>
      <c r="S38" s="849" t="str">
        <f>IF(Cdlac[[#This Row],[Quantity]]&gt;0,AND(Application!AK736&lt;&gt;"N/A",Application!AK736&lt;&gt;"")*Cdlac[[#This Row],[Quantity]],"")</f>
        <v/>
      </c>
      <c r="T38" s="849" t="b">
        <f>AND('Subsidy Contract Calculation'!F22&gt;0,'Subsidy Contract Calculation'!C22="Federal",Cdlac[[#This Row],[Quantity]]&gt;0)</f>
        <v>0</v>
      </c>
    </row>
    <row r="39" spans="2:20" ht="15" customHeight="1">
      <c r="E39" s="928" t="s">
        <v>2440</v>
      </c>
      <c r="F39" s="924" t="s">
        <v>2435</v>
      </c>
      <c r="G39" s="932">
        <f>12*15</f>
        <v>180</v>
      </c>
      <c r="L39" s="849" t="str">
        <f>IFERROR(MIN(4,MATCH(Application!B737,UnitSizes,0)-1),"")</f>
        <v/>
      </c>
      <c r="M39" s="871">
        <f>Application!G737</f>
        <v>0</v>
      </c>
      <c r="N39" s="879">
        <f>Application!AC737</f>
        <v>0</v>
      </c>
      <c r="O39" s="879" t="str">
        <f>IF(Cdlac[[#This Row],[Quantity]]&gt;0,IF(Cdlac[[#This Row],[Federal]],30%,IF($G$36,40%,Cdlac[[#This Row],[iAMI]])),"")</f>
        <v/>
      </c>
      <c r="P39" s="871" t="str" cm="1">
        <f t="array" ref="P39">IF(Cdlac[[#This Row],[Quantity]]&gt;0,INDEX(TcacRents,$P$18,Cdlac[[#This Row],[Bedrooms]]+1)*Cdlac[[#This Row],[AMI]],"")</f>
        <v/>
      </c>
      <c r="Q39" s="871" t="str" cm="1">
        <f t="array" ref="Q39">IF(Cdlac[[#This Row],[Quantity]]&gt;0,INDEX(HudFmrs,$P$18,Cdlac[[#This Row],[Bedrooms]]+1),"")</f>
        <v/>
      </c>
      <c r="R39" s="871" t="str">
        <f>IF(Cdlac[[#This Row],[Quantity]]&gt;0,MAX(0,Cdlac[[#This Row],[Fair Market Rent]]-Cdlac[[#This Row],[Restricted Rent]]),"")</f>
        <v/>
      </c>
      <c r="S39" s="849" t="str">
        <f>IF(Cdlac[[#This Row],[Quantity]]&gt;0,AND(Application!AK737&lt;&gt;"N/A",Application!AK737&lt;&gt;"")*Cdlac[[#This Row],[Quantity]],"")</f>
        <v/>
      </c>
      <c r="T39" s="849" t="b">
        <f>AND('Subsidy Contract Calculation'!F23&gt;0,'Subsidy Contract Calculation'!C23="Federal",Cdlac[[#This Row],[Quantity]]&gt;0)</f>
        <v>0</v>
      </c>
    </row>
    <row r="40" spans="2:20" ht="15" customHeight="1">
      <c r="E40" s="933" t="s">
        <v>2441</v>
      </c>
      <c r="F40" s="851"/>
      <c r="G40" s="934">
        <f>G38*G39</f>
        <v>14144688.000000002</v>
      </c>
      <c r="L40" s="849" t="str">
        <f>IFERROR(MIN(4,MATCH(Application!B738,UnitSizes,0)-1),"")</f>
        <v/>
      </c>
      <c r="M40" s="871">
        <f>Application!G738</f>
        <v>0</v>
      </c>
      <c r="N40" s="879">
        <f>Application!AC738</f>
        <v>0</v>
      </c>
      <c r="O40" s="879" t="str">
        <f>IF(Cdlac[[#This Row],[Quantity]]&gt;0,IF(Cdlac[[#This Row],[Federal]],30%,IF($G$36,40%,Cdlac[[#This Row],[iAMI]])),"")</f>
        <v/>
      </c>
      <c r="P40" s="871" t="str" cm="1">
        <f t="array" ref="P40">IF(Cdlac[[#This Row],[Quantity]]&gt;0,INDEX(TcacRents,$P$18,Cdlac[[#This Row],[Bedrooms]]+1)*Cdlac[[#This Row],[AMI]],"")</f>
        <v/>
      </c>
      <c r="Q40" s="871" t="str" cm="1">
        <f t="array" ref="Q40">IF(Cdlac[[#This Row],[Quantity]]&gt;0,INDEX(HudFmrs,$P$18,Cdlac[[#This Row],[Bedrooms]]+1),"")</f>
        <v/>
      </c>
      <c r="R40" s="871" t="str">
        <f>IF(Cdlac[[#This Row],[Quantity]]&gt;0,MAX(0,Cdlac[[#This Row],[Fair Market Rent]]-Cdlac[[#This Row],[Restricted Rent]]),"")</f>
        <v/>
      </c>
      <c r="S40" s="849" t="str">
        <f>IF(Cdlac[[#This Row],[Quantity]]&gt;0,AND(Application!AK738&lt;&gt;"N/A",Application!AK738&lt;&gt;"")*Cdlac[[#This Row],[Quantity]],"")</f>
        <v/>
      </c>
      <c r="T40" s="849" t="b">
        <f>AND('Subsidy Contract Calculation'!F24&gt;0,'Subsidy Contract Calculation'!C24="Federal",Cdlac[[#This Row],[Quantity]]&gt;0)</f>
        <v>0</v>
      </c>
    </row>
    <row r="41" spans="2:20" ht="15" customHeight="1">
      <c r="L41" s="849" t="str">
        <f>IFERROR(MIN(4,MATCH(Application!B739,UnitSizes,0)-1),"")</f>
        <v/>
      </c>
      <c r="M41" s="871">
        <f>Application!G739</f>
        <v>0</v>
      </c>
      <c r="N41" s="879">
        <f>Application!AC739</f>
        <v>0</v>
      </c>
      <c r="O41" s="879" t="str">
        <f>IF(Cdlac[[#This Row],[Quantity]]&gt;0,IF(Cdlac[[#This Row],[Federal]],30%,IF($G$36,40%,Cdlac[[#This Row],[iAMI]])),"")</f>
        <v/>
      </c>
      <c r="P41" s="871" t="str" cm="1">
        <f t="array" ref="P41">IF(Cdlac[[#This Row],[Quantity]]&gt;0,INDEX(TcacRents,$P$18,Cdlac[[#This Row],[Bedrooms]]+1)*Cdlac[[#This Row],[AMI]],"")</f>
        <v/>
      </c>
      <c r="Q41" s="871" t="str" cm="1">
        <f t="array" ref="Q41">IF(Cdlac[[#This Row],[Quantity]]&gt;0,INDEX(HudFmrs,$P$18,Cdlac[[#This Row],[Bedrooms]]+1),"")</f>
        <v/>
      </c>
      <c r="R41" s="871" t="str">
        <f>IF(Cdlac[[#This Row],[Quantity]]&gt;0,MAX(0,Cdlac[[#This Row],[Fair Market Rent]]-Cdlac[[#This Row],[Restricted Rent]]),"")</f>
        <v/>
      </c>
      <c r="S41" s="849" t="str">
        <f>IF(Cdlac[[#This Row],[Quantity]]&gt;0,AND(Application!AK739&lt;&gt;"N/A",Application!AK739&lt;&gt;"")*Cdlac[[#This Row],[Quantity]],"")</f>
        <v/>
      </c>
      <c r="T41" s="849" t="b">
        <f>AND('Subsidy Contract Calculation'!F25&gt;0,'Subsidy Contract Calculation'!C25="Federal",Cdlac[[#This Row],[Quantity]]&gt;0)</f>
        <v>0</v>
      </c>
    </row>
    <row r="42" spans="2:20" ht="15" customHeight="1">
      <c r="B42" s="874" t="str">
        <f>B11</f>
        <v>C. Special Needs Population Benefit</v>
      </c>
      <c r="C42" s="875"/>
      <c r="D42" s="875"/>
      <c r="E42" s="875"/>
      <c r="F42" s="875"/>
      <c r="G42" s="875"/>
      <c r="H42" s="875"/>
      <c r="I42" s="876"/>
      <c r="L42" s="849" t="str">
        <f>IFERROR(MIN(4,MATCH(Application!B740,UnitSizes,0)-1),"")</f>
        <v/>
      </c>
      <c r="M42" s="871">
        <f>Application!G740</f>
        <v>0</v>
      </c>
      <c r="N42" s="879">
        <f>Application!AC740</f>
        <v>0</v>
      </c>
      <c r="O42" s="879" t="str">
        <f>IF(Cdlac[[#This Row],[Quantity]]&gt;0,IF(Cdlac[[#This Row],[Federal]],30%,IF($G$36,40%,Cdlac[[#This Row],[iAMI]])),"")</f>
        <v/>
      </c>
      <c r="P42" s="871" t="str" cm="1">
        <f t="array" ref="P42">IF(Cdlac[[#This Row],[Quantity]]&gt;0,INDEX(TcacRents,$P$18,Cdlac[[#This Row],[Bedrooms]]+1)*Cdlac[[#This Row],[AMI]],"")</f>
        <v/>
      </c>
      <c r="Q42" s="871" t="str" cm="1">
        <f t="array" ref="Q42">IF(Cdlac[[#This Row],[Quantity]]&gt;0,INDEX(HudFmrs,$P$18,Cdlac[[#This Row],[Bedrooms]]+1),"")</f>
        <v/>
      </c>
      <c r="R42" s="871" t="str">
        <f>IF(Cdlac[[#This Row],[Quantity]]&gt;0,MAX(0,Cdlac[[#This Row],[Fair Market Rent]]-Cdlac[[#This Row],[Restricted Rent]]),"")</f>
        <v/>
      </c>
      <c r="S42" s="849" t="str">
        <f>IF(Cdlac[[#This Row],[Quantity]]&gt;0,AND(Application!AK740&lt;&gt;"N/A",Application!AK740&lt;&gt;"")*Cdlac[[#This Row],[Quantity]],"")</f>
        <v/>
      </c>
      <c r="T42" s="849" t="b">
        <f>AND('Subsidy Contract Calculation'!F26&gt;0,'Subsidy Contract Calculation'!C26="Federal",Cdlac[[#This Row],[Quantity]]&gt;0)</f>
        <v>0</v>
      </c>
    </row>
    <row r="43" spans="2:20" ht="15" customHeight="1">
      <c r="L43" s="849" t="str">
        <f>IFERROR(MIN(4,MATCH(Application!B741,UnitSizes,0)-1),"")</f>
        <v/>
      </c>
      <c r="M43" s="871">
        <f>Application!G741</f>
        <v>0</v>
      </c>
      <c r="N43" s="879">
        <f>Application!AC741</f>
        <v>0</v>
      </c>
      <c r="O43" s="879" t="str">
        <f>IF(Cdlac[[#This Row],[Quantity]]&gt;0,IF(Cdlac[[#This Row],[Federal]],30%,IF($G$36,40%,Cdlac[[#This Row],[iAMI]])),"")</f>
        <v/>
      </c>
      <c r="P43" s="871" t="str" cm="1">
        <f t="array" ref="P43">IF(Cdlac[[#This Row],[Quantity]]&gt;0,INDEX(TcacRents,$P$18,Cdlac[[#This Row],[Bedrooms]]+1)*Cdlac[[#This Row],[AMI]],"")</f>
        <v/>
      </c>
      <c r="Q43" s="871" t="str" cm="1">
        <f t="array" ref="Q43">IF(Cdlac[[#This Row],[Quantity]]&gt;0,INDEX(HudFmrs,$P$18,Cdlac[[#This Row],[Bedrooms]]+1),"")</f>
        <v/>
      </c>
      <c r="R43" s="871" t="str">
        <f>IF(Cdlac[[#This Row],[Quantity]]&gt;0,MAX(0,Cdlac[[#This Row],[Fair Market Rent]]-Cdlac[[#This Row],[Restricted Rent]]),"")</f>
        <v/>
      </c>
      <c r="S43" s="849" t="str">
        <f>IF(Cdlac[[#This Row],[Quantity]]&gt;0,AND(Application!AK741&lt;&gt;"N/A",Application!AK741&lt;&gt;"")*Cdlac[[#This Row],[Quantity]],"")</f>
        <v/>
      </c>
      <c r="T43" s="849" t="b">
        <f>AND('Subsidy Contract Calculation'!F27&gt;0,'Subsidy Contract Calculation'!C27="Federal",Cdlac[[#This Row],[Quantity]]&gt;0)</f>
        <v>0</v>
      </c>
    </row>
    <row r="44" spans="2:20" ht="15" customHeight="1">
      <c r="E44" s="928" t="s">
        <v>2442</v>
      </c>
      <c r="G44" s="936">
        <f>S18</f>
        <v>0</v>
      </c>
      <c r="L44" s="849" t="str">
        <f>IFERROR(MIN(4,MATCH(Application!B752,UnitSizes,0)-1),"")</f>
        <v/>
      </c>
      <c r="M44" s="871">
        <f>Application!G752</f>
        <v>0</v>
      </c>
      <c r="N44" s="879">
        <f>Application!AC752</f>
        <v>0</v>
      </c>
      <c r="O44" s="890" t="str">
        <f>IF(Cdlac[[#This Row],[Quantity]]&gt;0,IF(Cdlac[[#This Row],[Federal]],30%,IF($G$36,40%,Cdlac[[#This Row],[iAMI]])),"")</f>
        <v/>
      </c>
      <c r="P44" s="871" t="str" cm="1">
        <f t="array" ref="P44">IF(Cdlac[[#This Row],[Quantity]]&gt;0,INDEX(TcacRents,$P$18,Cdlac[[#This Row],[Bedrooms]]+1)*Cdlac[[#This Row],[AMI]],"")</f>
        <v/>
      </c>
      <c r="Q44" s="871" t="str" cm="1">
        <f t="array" ref="Q44">IF(Cdlac[[#This Row],[Quantity]]&gt;0,INDEX(HudFmrs,$P$18,Cdlac[[#This Row],[Bedrooms]]+1),"")</f>
        <v/>
      </c>
      <c r="R44" s="871" t="str">
        <f>IF(Cdlac[[#This Row],[Quantity]]&gt;0,MAX(0,Cdlac[[#This Row],[Fair Market Rent]]-Cdlac[[#This Row],[Restricted Rent]]),"")</f>
        <v/>
      </c>
      <c r="S44" s="849" t="str">
        <f>IF(Cdlac[[#This Row],[Quantity]]&gt;0,AND(Application!AK752&lt;&gt;"N/A",Application!AK752&lt;&gt;"")*Cdlac[[#This Row],[Quantity]],"")</f>
        <v/>
      </c>
      <c r="T44" s="849" t="b">
        <f>AND('Subsidy Contract Calculation'!F38&gt;0,'Subsidy Contract Calculation'!C38="Federal",Cdlac[[#This Row],[Quantity]]&gt;0)</f>
        <v>0</v>
      </c>
    </row>
    <row r="45" spans="2:20" ht="15" customHeight="1">
      <c r="E45" s="928" t="s">
        <v>2443</v>
      </c>
      <c r="G45" s="936">
        <f>ROUNDDOWN(E27*50%,0)</f>
        <v>32</v>
      </c>
    </row>
    <row r="46" spans="2:20" ht="15" customHeight="1">
      <c r="E46" s="928"/>
      <c r="G46" s="936"/>
    </row>
    <row r="47" spans="2:20" ht="15" customHeight="1">
      <c r="E47" s="928" t="s">
        <v>2444</v>
      </c>
      <c r="G47" s="925">
        <f>MIN(G44:G45)</f>
        <v>0</v>
      </c>
    </row>
    <row r="48" spans="2:20" ht="15" customHeight="1">
      <c r="E48" s="928" t="s">
        <v>2434</v>
      </c>
      <c r="F48" s="924" t="s">
        <v>2435</v>
      </c>
      <c r="G48" s="935">
        <v>10000</v>
      </c>
    </row>
    <row r="49" spans="2:14" ht="15" customHeight="1">
      <c r="E49" s="929" t="s">
        <v>2445</v>
      </c>
      <c r="F49" s="851"/>
      <c r="G49" s="934">
        <f>G47*G48</f>
        <v>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2446</v>
      </c>
      <c r="G53" s="887">
        <f>SUMIFS(Cdlac[Quantity],Cdlac[iAMI],"&lt;=30%")</f>
        <v>17</v>
      </c>
    </row>
    <row r="54" spans="2:14" ht="15" customHeight="1">
      <c r="E54" s="928" t="s">
        <v>2443</v>
      </c>
      <c r="G54" s="887">
        <f>ROUNDDOWN(E27*50%,0)</f>
        <v>32</v>
      </c>
    </row>
    <row r="55" spans="2:14" ht="15" customHeight="1">
      <c r="E55" s="928"/>
      <c r="G55" s="887"/>
    </row>
    <row r="56" spans="2:14" ht="15" customHeight="1">
      <c r="E56" s="928" t="s">
        <v>2444</v>
      </c>
      <c r="G56" s="925">
        <f>MIN(G53:G54)</f>
        <v>17</v>
      </c>
    </row>
    <row r="57" spans="2:14" ht="15" customHeight="1">
      <c r="E57" s="928" t="s">
        <v>2434</v>
      </c>
      <c r="F57" s="924" t="s">
        <v>2435</v>
      </c>
      <c r="G57" s="935">
        <v>20000</v>
      </c>
    </row>
    <row r="58" spans="2:14" ht="15" customHeight="1">
      <c r="E58" s="929" t="s">
        <v>2447</v>
      </c>
      <c r="F58" s="851"/>
      <c r="G58" s="934">
        <f>G56*G57</f>
        <v>340000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2448</v>
      </c>
      <c r="G62" s="925">
        <f>VLOOKUP('Points System'!$H$595,'Points System'!$AO$575:$AP$580,2,FALSE)</f>
        <v>7</v>
      </c>
      <c r="L62" s="938" t="str">
        <f>'Points System'!H627</f>
        <v>(i)</v>
      </c>
      <c r="M62" s="2077" t="s">
        <v>2312</v>
      </c>
      <c r="N62" s="2078"/>
    </row>
    <row r="63" spans="2:14" ht="15" customHeight="1">
      <c r="E63" s="894" t="s">
        <v>2434</v>
      </c>
      <c r="F63" s="924" t="s">
        <v>2435</v>
      </c>
      <c r="G63" s="884">
        <v>4000</v>
      </c>
      <c r="L63" s="939" t="str">
        <f>'Points System'!H639</f>
        <v>N/A</v>
      </c>
      <c r="M63" s="2079" t="s">
        <v>2449</v>
      </c>
      <c r="N63" s="2080"/>
    </row>
    <row r="64" spans="2:14" ht="15" customHeight="1">
      <c r="E64" s="894" t="s">
        <v>2450</v>
      </c>
      <c r="F64" s="924" t="s">
        <v>2435</v>
      </c>
      <c r="G64" s="937">
        <f>G27</f>
        <v>76.5</v>
      </c>
      <c r="L64" s="939" t="str">
        <f>'Points System'!H674</f>
        <v>(i)</v>
      </c>
      <c r="M64" s="2079" t="s">
        <v>2451</v>
      </c>
      <c r="N64" s="2080"/>
    </row>
    <row r="65" spans="2:14" ht="15" customHeight="1">
      <c r="E65" s="929" t="s">
        <v>2452</v>
      </c>
      <c r="F65" s="851"/>
      <c r="G65" s="934">
        <f>G62*G63*G64</f>
        <v>2142000</v>
      </c>
      <c r="L65" s="939" t="str">
        <f>IF(OR('Points System'!H698="(ii)",'Points System'!H698="(i)"),"(i)","N/A")</f>
        <v>(i)</v>
      </c>
      <c r="M65" s="2079" t="s">
        <v>2453</v>
      </c>
      <c r="N65" s="2080"/>
    </row>
    <row r="66" spans="2:14" ht="15" customHeight="1">
      <c r="C66" s="885"/>
      <c r="G66" s="925"/>
      <c r="L66" s="940" t="str">
        <f>'Points System'!H712</f>
        <v>N/A</v>
      </c>
      <c r="M66" s="2079" t="s">
        <v>2353</v>
      </c>
      <c r="N66" s="2080"/>
    </row>
    <row r="67" spans="2:14" ht="15" customHeight="1">
      <c r="E67" s="894" t="s">
        <v>2454</v>
      </c>
      <c r="G67" s="937">
        <f>COUNTIFS(L62:L69,"(i)")</f>
        <v>4</v>
      </c>
      <c r="L67" s="939" t="str">
        <f>'Points System'!H724</f>
        <v>N/A</v>
      </c>
      <c r="M67" s="2079" t="s">
        <v>2455</v>
      </c>
      <c r="N67" s="2080"/>
    </row>
    <row r="68" spans="2:14" ht="15" customHeight="1">
      <c r="E68" s="894" t="s">
        <v>2434</v>
      </c>
      <c r="F68" s="924" t="s">
        <v>2435</v>
      </c>
      <c r="G68" s="935">
        <v>4000</v>
      </c>
      <c r="L68" s="939" t="str">
        <f>'Points System'!H740</f>
        <v>N/A</v>
      </c>
      <c r="M68" s="2079" t="s">
        <v>2456</v>
      </c>
      <c r="N68" s="2080"/>
    </row>
    <row r="69" spans="2:14" ht="15" customHeight="1" thickBot="1">
      <c r="E69" s="929" t="s">
        <v>2457</v>
      </c>
      <c r="F69" s="851"/>
      <c r="G69" s="934">
        <f>G64*G67*G68</f>
        <v>1224000</v>
      </c>
      <c r="L69" s="941" t="str">
        <f>'Points System'!H752</f>
        <v>(i)</v>
      </c>
      <c r="M69" s="2088" t="s">
        <v>2357</v>
      </c>
      <c r="N69" s="2089"/>
    </row>
    <row r="70" spans="2:14" ht="15" customHeight="1"/>
    <row r="71" spans="2:14" ht="15" customHeight="1">
      <c r="C71" s="888" t="s">
        <v>2458</v>
      </c>
    </row>
    <row r="72" spans="2:14" ht="15" customHeight="1">
      <c r="C72" s="885" t="s">
        <v>2459</v>
      </c>
      <c r="G72" s="848"/>
    </row>
    <row r="73" spans="2:14" ht="15" customHeight="1">
      <c r="C73" s="885" t="s">
        <v>2460</v>
      </c>
      <c r="G73" s="848"/>
    </row>
    <row r="74" spans="2:14" ht="15" customHeight="1">
      <c r="C74" s="885" t="s">
        <v>2461</v>
      </c>
      <c r="G74" s="848" t="s">
        <v>837</v>
      </c>
    </row>
    <row r="75" spans="2:14" ht="15" customHeight="1">
      <c r="C75" s="885" t="s">
        <v>2462</v>
      </c>
      <c r="G75" s="848"/>
    </row>
    <row r="76" spans="2:14" ht="15" customHeight="1"/>
    <row r="77" spans="2:14" ht="15" customHeight="1">
      <c r="B77" s="886"/>
      <c r="C77" s="885"/>
      <c r="E77" s="894" t="s">
        <v>2463</v>
      </c>
      <c r="G77" s="887" t="b">
        <f>COUNTIFS(G72:G75,"Yes")&gt;=1</f>
        <v>1</v>
      </c>
    </row>
    <row r="78" spans="2:14" ht="15" customHeight="1">
      <c r="E78" s="885"/>
    </row>
    <row r="79" spans="2:14" ht="15" customHeight="1">
      <c r="E79" s="894" t="s">
        <v>2450</v>
      </c>
      <c r="F79" s="924" t="s">
        <v>2435</v>
      </c>
      <c r="G79" s="925">
        <f>G27</f>
        <v>76.5</v>
      </c>
    </row>
    <row r="80" spans="2:14" ht="15" customHeight="1">
      <c r="E80" s="894" t="s">
        <v>2434</v>
      </c>
      <c r="F80" s="924" t="s">
        <v>2435</v>
      </c>
      <c r="G80" s="935">
        <v>25000</v>
      </c>
    </row>
    <row r="81" spans="2:14" ht="15" customHeight="1">
      <c r="E81" s="929" t="s">
        <v>2464</v>
      </c>
      <c r="F81" s="851"/>
      <c r="G81" s="934">
        <f>G77*G80*G64</f>
        <v>1912500</v>
      </c>
    </row>
    <row r="82" spans="2:14" ht="15" customHeight="1">
      <c r="C82" s="885"/>
      <c r="E82" s="885"/>
    </row>
    <row r="83" spans="2:14" ht="15" customHeight="1">
      <c r="E83" s="929" t="s">
        <v>2465</v>
      </c>
      <c r="G83" s="934">
        <f>G81+G69+G65</f>
        <v>5278500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2466</v>
      </c>
      <c r="G87" s="848" t="s">
        <v>837</v>
      </c>
      <c r="L87" s="2090" t="s">
        <v>929</v>
      </c>
      <c r="M87" s="2091"/>
      <c r="N87" s="942">
        <v>30000</v>
      </c>
    </row>
    <row r="88" spans="2:14" ht="15" customHeight="1">
      <c r="C88" s="885" t="s">
        <v>2467</v>
      </c>
      <c r="G88" s="889" t="str">
        <f>IF(Application!D211="Large Family","Yes","No")</f>
        <v>Yes</v>
      </c>
      <c r="L88" s="2084" t="s">
        <v>933</v>
      </c>
      <c r="M88" s="2085"/>
      <c r="N88" s="943">
        <v>20000</v>
      </c>
    </row>
    <row r="89" spans="2:14" ht="15" customHeight="1" thickBot="1">
      <c r="C89" s="885" t="s">
        <v>2468</v>
      </c>
      <c r="G89" s="848"/>
      <c r="L89" s="2086" t="s">
        <v>940</v>
      </c>
      <c r="M89" s="2087"/>
      <c r="N89" s="944">
        <v>10000</v>
      </c>
    </row>
    <row r="90" spans="2:14" ht="15" customHeight="1">
      <c r="C90" s="885" t="s">
        <v>2469</v>
      </c>
      <c r="G90" s="849" t="str">
        <f>Application!T193</f>
        <v>Highest Resource</v>
      </c>
    </row>
    <row r="91" spans="2:14" ht="15" customHeight="1">
      <c r="C91" s="885"/>
    </row>
    <row r="92" spans="2:14" ht="15" customHeight="1">
      <c r="E92" s="894" t="s">
        <v>2463</v>
      </c>
      <c r="G92" s="887" t="b">
        <f>AND(COUNTIFS(G88:G89,"Yes")&gt;=1,G87="Yes")</f>
        <v>1</v>
      </c>
    </row>
    <row r="93" spans="2:14" ht="15" customHeight="1">
      <c r="E93" s="894"/>
      <c r="G93" s="887"/>
    </row>
    <row r="94" spans="2:14" ht="15" customHeight="1">
      <c r="E94" s="894" t="s">
        <v>2434</v>
      </c>
      <c r="G94" s="886">
        <f>IFERROR(INDEX(N87:N89,MATCH(LEFT(G90,17),L87:L89,0)),0)</f>
        <v>30000</v>
      </c>
    </row>
    <row r="95" spans="2:14" ht="15" customHeight="1">
      <c r="E95" s="894" t="str">
        <f>E64</f>
        <v>Bedroom-Adjusted Low-Income Units</v>
      </c>
      <c r="F95" s="924" t="s">
        <v>2435</v>
      </c>
      <c r="G95" s="925">
        <f>G27</f>
        <v>76.5</v>
      </c>
    </row>
    <row r="96" spans="2:14" ht="15" customHeight="1">
      <c r="D96" s="851"/>
      <c r="E96" s="929" t="s">
        <v>2470</v>
      </c>
      <c r="F96" s="851"/>
      <c r="G96" s="934">
        <f>G95*G94*G92</f>
        <v>2295000</v>
      </c>
    </row>
    <row r="97" spans="2:9" ht="15" customHeight="1"/>
    <row r="98" spans="2:9" ht="15" customHeight="1">
      <c r="B98" s="874" t="s">
        <v>2471</v>
      </c>
      <c r="C98" s="875"/>
      <c r="D98" s="875"/>
      <c r="E98" s="875"/>
      <c r="F98" s="875"/>
      <c r="G98" s="875"/>
      <c r="H98" s="875"/>
      <c r="I98" s="876"/>
    </row>
    <row r="99" spans="2:9" ht="15" customHeight="1"/>
    <row r="100" spans="2:9" ht="15" customHeight="1">
      <c r="F100" s="927" t="s">
        <v>2472</v>
      </c>
      <c r="G100" s="848" t="s">
        <v>893</v>
      </c>
    </row>
    <row r="101" spans="2:9" ht="15" customHeight="1">
      <c r="F101" s="927"/>
    </row>
    <row r="102" spans="2:9" ht="15" customHeight="1">
      <c r="E102" s="894" t="s">
        <v>2463</v>
      </c>
      <c r="G102" s="887" t="b">
        <f>G100="Yes"</f>
        <v>0</v>
      </c>
    </row>
    <row r="103" spans="2:9" ht="15" customHeight="1"/>
    <row r="104" spans="2:9" ht="15" customHeight="1">
      <c r="E104" s="894" t="str">
        <f>E64</f>
        <v>Bedroom-Adjusted Low-Income Units</v>
      </c>
      <c r="G104" s="925">
        <f>G27</f>
        <v>76.5</v>
      </c>
    </row>
    <row r="105" spans="2:9" ht="15" customHeight="1">
      <c r="E105" s="894" t="s">
        <v>2434</v>
      </c>
      <c r="F105" s="924" t="s">
        <v>2435</v>
      </c>
      <c r="G105" s="855">
        <v>20000</v>
      </c>
    </row>
    <row r="106" spans="2:9" ht="15" customHeight="1">
      <c r="E106" s="929" t="s">
        <v>2473</v>
      </c>
      <c r="F106" s="851"/>
      <c r="G106" s="934">
        <f>G102*G105*G104</f>
        <v>0</v>
      </c>
    </row>
    <row r="107" spans="2:9" ht="15" customHeight="1"/>
    <row r="108" spans="2:9" ht="15" customHeight="1">
      <c r="B108" s="874" t="s">
        <v>1824</v>
      </c>
      <c r="C108" s="875"/>
      <c r="D108" s="875"/>
      <c r="E108" s="875"/>
      <c r="F108" s="875"/>
      <c r="G108" s="875"/>
      <c r="H108" s="875"/>
      <c r="I108" s="876"/>
    </row>
    <row r="109" spans="2:9" ht="15" customHeight="1"/>
    <row r="110" spans="2:9" ht="15" customHeight="1">
      <c r="C110" s="2081" t="s">
        <v>2474</v>
      </c>
      <c r="D110" s="2081"/>
      <c r="E110" s="2081"/>
      <c r="F110" s="2081"/>
    </row>
    <row r="111" spans="2:9" ht="15" customHeight="1">
      <c r="C111" s="2081"/>
      <c r="D111" s="2081"/>
      <c r="E111" s="2081"/>
      <c r="F111" s="2081"/>
      <c r="G111" s="848" t="s">
        <v>837</v>
      </c>
    </row>
    <row r="112" spans="2:9" ht="15" customHeight="1"/>
    <row r="113" spans="2:9" ht="15" customHeight="1">
      <c r="C113" s="849" t="s">
        <v>2475</v>
      </c>
      <c r="G113" s="2082" t="s">
        <v>2476</v>
      </c>
      <c r="H113" s="2082"/>
    </row>
    <row r="114" spans="2:9" ht="15" customHeight="1">
      <c r="G114" s="2082"/>
      <c r="H114" s="2082"/>
    </row>
    <row r="115" spans="2:9" ht="15" customHeight="1">
      <c r="G115" s="2083"/>
      <c r="H115" s="2083"/>
    </row>
    <row r="116" spans="2:9" ht="15" customHeight="1">
      <c r="G116" s="1028"/>
      <c r="H116" s="1028"/>
    </row>
    <row r="117" spans="2:9" ht="15" customHeight="1">
      <c r="B117" s="874" t="s">
        <v>2477</v>
      </c>
      <c r="C117" s="875"/>
      <c r="D117" s="875"/>
      <c r="E117" s="875"/>
      <c r="F117" s="875"/>
      <c r="G117" s="875"/>
      <c r="H117" s="875"/>
      <c r="I117" s="876"/>
    </row>
    <row r="118" spans="2:9" ht="15" customHeight="1"/>
    <row r="119" spans="2:9" ht="15" customHeight="1">
      <c r="E119" s="894" t="s">
        <v>982</v>
      </c>
      <c r="G119" s="849" t="str">
        <f>IF(Application!T189="","",Application!T189)</f>
        <v>San Mateo</v>
      </c>
    </row>
    <row r="120" spans="2:9" ht="15" customHeight="1">
      <c r="E120" s="894"/>
      <c r="G120" s="886"/>
    </row>
    <row r="121" spans="2:9" ht="15" customHeight="1">
      <c r="E121" s="894" t="str">
        <f>"2-Bedroom "&amp;G119&amp;" County Basis Limit"</f>
        <v>2-Bedroom San Mateo County Basis Limit</v>
      </c>
      <c r="G121" s="886">
        <f>Application!R987</f>
        <v>740000</v>
      </c>
    </row>
    <row r="122" spans="2:9" ht="15" customHeight="1">
      <c r="E122" s="894" t="s">
        <v>2478</v>
      </c>
      <c r="G122" s="886">
        <f>MEDIAN((Application!BR806:BR863))</f>
        <v>489600</v>
      </c>
    </row>
    <row r="123" spans="2:9" ht="15" customHeight="1">
      <c r="D123" s="851"/>
      <c r="E123" s="929" t="s">
        <v>2479</v>
      </c>
      <c r="F123" s="945"/>
      <c r="G123" s="946">
        <f>((G121-G122)/G122)*0.25</f>
        <v>0.127859477124183</v>
      </c>
      <c r="H123" s="847"/>
      <c r="I123" s="847"/>
    </row>
    <row r="124" spans="2:9" ht="15" customHeight="1">
      <c r="D124" s="850"/>
      <c r="E124" s="85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Pretty</cp:lastModifiedBy>
  <cp:revision/>
  <dcterms:created xsi:type="dcterms:W3CDTF">2007-12-27T18:26:28Z</dcterms:created>
  <dcterms:modified xsi:type="dcterms:W3CDTF">2024-08-27T13:02:59Z</dcterms:modified>
  <cp:category/>
  <cp:contentStatus/>
</cp:coreProperties>
</file>